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pivotTables/pivotTable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2.xml" ContentType="application/vnd.openxmlformats-officedocument.spreadsheetml.comments+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omments3.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I:\SA\GECE\ANÁLISE E ACOMPANHAMENTO DE INVESTIMENTO\"/>
    </mc:Choice>
  </mc:AlternateContent>
  <bookViews>
    <workbookView xWindow="0" yWindow="0" windowWidth="19200" windowHeight="11745" tabRatio="878" activeTab="1"/>
  </bookViews>
  <sheets>
    <sheet name="Resumo" sheetId="9" r:id="rId1"/>
    <sheet name="Projetos_Ciclo" sheetId="1" r:id="rId2"/>
    <sheet name="2018 e 2019 TD" sheetId="31" state="hidden" r:id="rId3"/>
    <sheet name="Quadros resumo" sheetId="22" r:id="rId4"/>
    <sheet name="Gráfico - Curva de Desembolsos" sheetId="12" state="hidden" r:id="rId5"/>
    <sheet name="CEI_032018" sheetId="19" state="hidden" r:id="rId6"/>
    <sheet name="CEI_042018" sheetId="21" state="hidden" r:id="rId7"/>
    <sheet name="CEI_052018" sheetId="24" state="hidden" r:id="rId8"/>
    <sheet name="DDC" sheetId="33" r:id="rId9"/>
    <sheet name="PD" sheetId="37" state="hidden" r:id="rId10"/>
    <sheet name="CEI_062018" sheetId="26" state="hidden" r:id="rId11"/>
    <sheet name="CEI_072018" sheetId="34" state="hidden" r:id="rId12"/>
    <sheet name="CEI_022018" sheetId="28" state="hidden" r:id="rId13"/>
    <sheet name="CEI_012018" sheetId="27" state="hidden" r:id="rId14"/>
    <sheet name="CEI_082018" sheetId="36" state="hidden" r:id="rId15"/>
    <sheet name="Workshop DGE" sheetId="41" state="hidden" r:id="rId16"/>
    <sheet name="Acompanhamento 2019" sheetId="43" r:id="rId17"/>
    <sheet name="CEI_092018" sheetId="38" state="hidden" r:id="rId18"/>
    <sheet name="Recurso DDC" sheetId="44" r:id="rId19"/>
    <sheet name="Junção de Projetos" sheetId="23" state="hidden" r:id="rId20"/>
    <sheet name="Plan1" sheetId="25" state="hidden" r:id="rId21"/>
    <sheet name="Macroprojetos" sheetId="20" state="hidden" r:id="rId22"/>
    <sheet name="Resultado do Seminário-D" sheetId="10" state="hidden" r:id="rId23"/>
    <sheet name="Linha do Tempo" sheetId="18" state="hidden" r:id="rId24"/>
    <sheet name="Projetos x Riscos Não Execução" sheetId="11" state="hidden" r:id="rId25"/>
    <sheet name="Gráfico Tendência 2018-2022" sheetId="14" state="hidden" r:id="rId26"/>
  </sheets>
  <externalReferences>
    <externalReference r:id="rId27"/>
    <externalReference r:id="rId28"/>
    <externalReference r:id="rId29"/>
    <externalReference r:id="rId30"/>
  </externalReferences>
  <definedNames>
    <definedName name="_xlnm._FilterDatabase" localSheetId="13" hidden="1">CEI_012018!$A$2:$V$126</definedName>
    <definedName name="_xlnm._FilterDatabase" localSheetId="12" hidden="1">CEI_022018!$A$2:$V$138</definedName>
    <definedName name="_xlnm._FilterDatabase" localSheetId="5" hidden="1">CEI_032018!$A$3:$U$178</definedName>
    <definedName name="_xlnm._FilterDatabase" localSheetId="6" hidden="1">CEI_042018!$A$2:$V$199</definedName>
    <definedName name="_xlnm._FilterDatabase" localSheetId="7" hidden="1">CEI_052018!$A$2:$V$198</definedName>
    <definedName name="_xlnm._FilterDatabase" localSheetId="10" hidden="1">CEI_062018!$A$2:$V$206</definedName>
    <definedName name="_xlnm._FilterDatabase" localSheetId="11" hidden="1">CEI_072018!$A$2:$V$219</definedName>
    <definedName name="_xlnm._FilterDatabase" localSheetId="14" hidden="1">CEI_082018!$A$2:$V$225</definedName>
    <definedName name="_xlnm._FilterDatabase" localSheetId="17" hidden="1">CEI_092018!$A$2:$V$225</definedName>
    <definedName name="_xlnm._FilterDatabase" localSheetId="19" hidden="1">'Junção de Projetos'!$A$3:$XAQ$3</definedName>
    <definedName name="_xlnm._FilterDatabase" localSheetId="9" hidden="1">PD!$B$3:$W$28</definedName>
    <definedName name="_xlnm._FilterDatabase" localSheetId="1" hidden="1">Projetos_Ciclo!$A$1:$GG$315</definedName>
    <definedName name="_xlnm.Print_Area" localSheetId="1">Projetos_Ciclo!$A$1:$CA$316</definedName>
    <definedName name="_xlnm.Print_Area" localSheetId="0">Resumo!$B$1:$I$28</definedName>
    <definedName name="SegmentaçãodeDados_Empresa">#N/A</definedName>
    <definedName name="SegmentaçãodeDados_Macroprojeto">#N/A</definedName>
    <definedName name="_xlnm.Print_Titles" localSheetId="1">Projetos_Ciclo!$1:$1</definedName>
  </definedNames>
  <calcPr calcId="152511"/>
  <pivotCaches>
    <pivotCache cacheId="0" r:id="rId31"/>
    <pivotCache cacheId="1" r:id="rId32"/>
  </pivotCaches>
  <extLst>
    <ext xmlns:x14="http://schemas.microsoft.com/office/spreadsheetml/2009/9/main" uri="{BBE1A952-AA13-448e-AADC-164F8A28A991}">
      <x14:slicerCaches>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3" i="1" l="1"/>
  <c r="Z4" i="1"/>
  <c r="Z5" i="1"/>
  <c r="Z6" i="1"/>
  <c r="Z7" i="1"/>
  <c r="Z8" i="1"/>
  <c r="Z9" i="1"/>
  <c r="Z10" i="1"/>
  <c r="Z12" i="1"/>
  <c r="Z13" i="1"/>
  <c r="Z14" i="1"/>
  <c r="Z15" i="1"/>
  <c r="Z16" i="1"/>
  <c r="Z17" i="1"/>
  <c r="Z18" i="1"/>
  <c r="Z19" i="1"/>
  <c r="Z20" i="1"/>
  <c r="Z21" i="1"/>
  <c r="Z23" i="1"/>
  <c r="Z24" i="1"/>
  <c r="Z25" i="1"/>
  <c r="Z26"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3" i="1"/>
  <c r="Z84" i="1"/>
  <c r="Z85" i="1"/>
  <c r="Z86" i="1"/>
  <c r="Z87" i="1"/>
  <c r="Z88" i="1"/>
  <c r="Z89" i="1"/>
  <c r="Z90" i="1"/>
  <c r="Z91" i="1"/>
  <c r="Z92" i="1"/>
  <c r="Z93" i="1"/>
  <c r="Z95" i="1"/>
  <c r="Z96" i="1"/>
  <c r="Z97"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2" i="1"/>
  <c r="FM316" i="1" l="1"/>
  <c r="FN316" i="1"/>
  <c r="FO316" i="1"/>
  <c r="FP316" i="1"/>
  <c r="FQ316" i="1"/>
  <c r="FR316" i="1"/>
  <c r="FS316" i="1"/>
  <c r="FT316" i="1"/>
  <c r="FU316" i="1"/>
  <c r="FV316" i="1"/>
  <c r="FW316" i="1"/>
  <c r="FX316" i="1"/>
  <c r="FY316" i="1"/>
  <c r="FZ316" i="1"/>
  <c r="GA316" i="1"/>
  <c r="GB316" i="1"/>
  <c r="GC316" i="1"/>
  <c r="GD316" i="1"/>
  <c r="GE316" i="1"/>
  <c r="GF316" i="1"/>
  <c r="GG316" i="1"/>
  <c r="GH316" i="1"/>
  <c r="GI316" i="1"/>
  <c r="GJ316" i="1"/>
  <c r="GK316" i="1"/>
  <c r="GL316" i="1"/>
  <c r="GM316" i="1"/>
  <c r="GN316" i="1"/>
  <c r="GO316" i="1"/>
  <c r="GP316" i="1"/>
  <c r="GQ316" i="1"/>
  <c r="GR316" i="1"/>
  <c r="GS316" i="1"/>
  <c r="GT316" i="1"/>
  <c r="GU316" i="1"/>
  <c r="GV316" i="1"/>
  <c r="GW316" i="1"/>
  <c r="GX316" i="1"/>
  <c r="GY316" i="1"/>
  <c r="GZ316" i="1"/>
  <c r="HA316" i="1"/>
  <c r="HB316" i="1"/>
  <c r="HC316" i="1"/>
  <c r="HD316" i="1"/>
  <c r="HE316" i="1"/>
  <c r="HF316" i="1"/>
  <c r="HG316" i="1"/>
  <c r="HH316" i="1"/>
  <c r="HI316" i="1"/>
  <c r="HJ316" i="1"/>
  <c r="HK316" i="1"/>
  <c r="HL316" i="1"/>
  <c r="HM316" i="1"/>
  <c r="HN316" i="1"/>
  <c r="HO316" i="1"/>
  <c r="HP316" i="1"/>
  <c r="HQ316" i="1"/>
  <c r="HR316" i="1"/>
  <c r="HS316" i="1"/>
  <c r="HT316" i="1"/>
  <c r="N316" i="1" l="1"/>
  <c r="O316" i="1"/>
  <c r="P316" i="1"/>
  <c r="Q316" i="1"/>
  <c r="R316" i="1"/>
  <c r="S316" i="1"/>
  <c r="T316" i="1"/>
  <c r="Y27" i="1" l="1"/>
  <c r="Z27" i="1" s="1"/>
  <c r="Y22" i="1"/>
  <c r="Z22" i="1" s="1"/>
  <c r="D9" i="44"/>
  <c r="E9" i="44"/>
  <c r="F9" i="44"/>
  <c r="G9" i="44"/>
  <c r="H9" i="44"/>
  <c r="C9" i="44"/>
  <c r="H8" i="44"/>
  <c r="AG8" i="1"/>
  <c r="BZ104" i="1"/>
  <c r="BM104" i="1"/>
  <c r="AZ104" i="1"/>
  <c r="AM104" i="1"/>
  <c r="H4" i="44"/>
  <c r="H5" i="44"/>
  <c r="H6" i="44"/>
  <c r="H7" i="44"/>
  <c r="CA104" i="1" l="1"/>
  <c r="C145" i="22" l="1"/>
  <c r="C144" i="22"/>
  <c r="C143" i="22"/>
  <c r="C142" i="22"/>
  <c r="C141" i="22"/>
  <c r="C140" i="22"/>
  <c r="C128" i="22"/>
  <c r="C132" i="22"/>
  <c r="C131" i="22"/>
  <c r="C130" i="22"/>
  <c r="C129" i="22"/>
  <c r="C127" i="22" l="1"/>
  <c r="G28" i="43" l="1"/>
  <c r="H28" i="43"/>
  <c r="F17" i="43"/>
  <c r="G17" i="43"/>
  <c r="H17" i="43"/>
  <c r="F24" i="43"/>
  <c r="G24" i="43"/>
  <c r="H24" i="43"/>
  <c r="D28" i="43"/>
  <c r="D27" i="43"/>
  <c r="D24" i="43"/>
  <c r="D17" i="43"/>
  <c r="D10" i="43"/>
  <c r="E21" i="43"/>
  <c r="E11" i="43"/>
  <c r="E23" i="43"/>
  <c r="E14" i="43"/>
  <c r="E4" i="43"/>
  <c r="E22" i="43"/>
  <c r="E8" i="43"/>
  <c r="E19" i="43"/>
  <c r="E20" i="43"/>
  <c r="E12" i="43"/>
  <c r="E9" i="43"/>
  <c r="E18" i="43"/>
  <c r="E13" i="43"/>
  <c r="E5" i="43"/>
  <c r="E6" i="43"/>
  <c r="E26" i="43"/>
  <c r="E25" i="43"/>
  <c r="E15" i="43"/>
  <c r="E16" i="43"/>
  <c r="E7" i="43"/>
  <c r="E27" i="43" l="1"/>
  <c r="E24" i="43"/>
  <c r="E17" i="43"/>
  <c r="H3" i="43" l="1"/>
  <c r="F10" i="43"/>
  <c r="F28" i="43" s="1"/>
  <c r="E10" i="43"/>
  <c r="E28" i="43" s="1"/>
  <c r="G3" i="43"/>
  <c r="F72" i="41" l="1"/>
  <c r="F73" i="41"/>
  <c r="F74" i="41"/>
  <c r="F75" i="41"/>
  <c r="F76" i="41"/>
  <c r="D71" i="41"/>
  <c r="D72" i="41"/>
  <c r="D73" i="41"/>
  <c r="D74" i="41"/>
  <c r="D75" i="41"/>
  <c r="D76" i="41"/>
  <c r="D77" i="41" s="1"/>
  <c r="C76" i="41"/>
  <c r="C75" i="41"/>
  <c r="E75" i="41" s="1"/>
  <c r="C74" i="41"/>
  <c r="E74" i="41" s="1"/>
  <c r="C73" i="41"/>
  <c r="E73" i="41" s="1"/>
  <c r="C72" i="41"/>
  <c r="C71" i="41"/>
  <c r="E72" i="41"/>
  <c r="E71" i="41"/>
  <c r="F71" i="41" s="1"/>
  <c r="D60" i="41"/>
  <c r="D61" i="41"/>
  <c r="D62" i="41"/>
  <c r="D63" i="41"/>
  <c r="D64" i="41"/>
  <c r="D65" i="41"/>
  <c r="D66" i="41"/>
  <c r="C65" i="41"/>
  <c r="C64" i="41"/>
  <c r="C63" i="41"/>
  <c r="C62" i="41"/>
  <c r="C61" i="41"/>
  <c r="C66" i="41" s="1"/>
  <c r="C60" i="41"/>
  <c r="E76" i="41" l="1"/>
  <c r="C77" i="41"/>
  <c r="E77" i="41"/>
  <c r="F77" i="41" s="1"/>
  <c r="FL319" i="1"/>
  <c r="F40" i="41" l="1"/>
  <c r="F44" i="41"/>
  <c r="F49" i="41"/>
  <c r="E36" i="41"/>
  <c r="F36" i="41" s="1"/>
  <c r="E37" i="41"/>
  <c r="F37" i="41" s="1"/>
  <c r="E38" i="41"/>
  <c r="F38" i="41" s="1"/>
  <c r="E39" i="41"/>
  <c r="E40" i="41"/>
  <c r="E41" i="41"/>
  <c r="F41" i="41" s="1"/>
  <c r="E42" i="41"/>
  <c r="F42" i="41" s="1"/>
  <c r="E43" i="41"/>
  <c r="F43" i="41" s="1"/>
  <c r="E44" i="41"/>
  <c r="E45" i="41"/>
  <c r="E46" i="41"/>
  <c r="F46" i="41" s="1"/>
  <c r="E47" i="41"/>
  <c r="F47" i="41" s="1"/>
  <c r="E48" i="41"/>
  <c r="F48" i="41" s="1"/>
  <c r="E49" i="41"/>
  <c r="E50" i="41"/>
  <c r="F50" i="41" s="1"/>
  <c r="E51" i="41"/>
  <c r="F51" i="41" s="1"/>
  <c r="E52" i="41"/>
  <c r="F52" i="41" s="1"/>
  <c r="E53" i="41"/>
  <c r="F53" i="41" s="1"/>
  <c r="E54" i="41"/>
  <c r="F54" i="41" s="1"/>
  <c r="E35" i="41"/>
  <c r="F35" i="41" s="1"/>
  <c r="D55" i="41"/>
  <c r="C55" i="41"/>
  <c r="E55" i="41" l="1"/>
  <c r="F55" i="41" l="1"/>
  <c r="H125" i="22" l="1"/>
  <c r="E125" i="22"/>
  <c r="C30" i="41" l="1"/>
  <c r="D30" i="41"/>
  <c r="CI330" i="1" l="1"/>
  <c r="BZ196" i="1" l="1"/>
  <c r="BZ295" i="1"/>
  <c r="BZ197" i="1"/>
  <c r="BZ162" i="1"/>
  <c r="BZ198" i="1"/>
  <c r="BZ296" i="1"/>
  <c r="BZ163" i="1"/>
  <c r="BZ297" i="1"/>
  <c r="BZ298" i="1"/>
  <c r="BZ199" i="1"/>
  <c r="BZ164" i="1"/>
  <c r="BZ200" i="1"/>
  <c r="BZ201" i="1"/>
  <c r="BZ165" i="1"/>
  <c r="BZ166" i="1"/>
  <c r="BZ202" i="1"/>
  <c r="BZ203" i="1"/>
  <c r="BZ204" i="1"/>
  <c r="BZ167" i="1"/>
  <c r="BZ205" i="1"/>
  <c r="BZ206" i="1"/>
  <c r="BZ207" i="1"/>
  <c r="BZ208" i="1"/>
  <c r="BZ209" i="1"/>
  <c r="BZ210" i="1"/>
  <c r="BZ168" i="1"/>
  <c r="BZ211" i="1"/>
  <c r="BZ212" i="1"/>
  <c r="BZ213" i="1"/>
  <c r="BZ214" i="1"/>
  <c r="BZ215" i="1"/>
  <c r="BZ216" i="1"/>
  <c r="BZ217" i="1"/>
  <c r="BZ218" i="1"/>
  <c r="BZ219" i="1"/>
  <c r="BZ299" i="1"/>
  <c r="BZ300" i="1"/>
  <c r="BZ301" i="1"/>
  <c r="BZ220" i="1"/>
  <c r="BZ221" i="1"/>
  <c r="BZ222" i="1"/>
  <c r="FJ314" i="1"/>
  <c r="FF314" i="1"/>
  <c r="FE314" i="1"/>
  <c r="FD314" i="1"/>
  <c r="FC314" i="1"/>
  <c r="FB314" i="1"/>
  <c r="FA314" i="1"/>
  <c r="EZ314" i="1"/>
  <c r="EY314" i="1"/>
  <c r="EX314" i="1"/>
  <c r="EV314" i="1"/>
  <c r="EI314" i="1"/>
  <c r="DV314" i="1"/>
  <c r="DI314" i="1"/>
  <c r="CV314" i="1"/>
  <c r="BZ314" i="1"/>
  <c r="BM314" i="1"/>
  <c r="AZ314" i="1"/>
  <c r="AM314" i="1"/>
  <c r="FJ219" i="1"/>
  <c r="FF219" i="1"/>
  <c r="FE219" i="1"/>
  <c r="FD219" i="1"/>
  <c r="FC219" i="1"/>
  <c r="FB219" i="1"/>
  <c r="FA219" i="1"/>
  <c r="EZ219" i="1"/>
  <c r="EY219" i="1"/>
  <c r="EX219" i="1"/>
  <c r="EV219" i="1"/>
  <c r="EI219" i="1"/>
  <c r="DV219" i="1"/>
  <c r="DI219" i="1"/>
  <c r="CV219" i="1"/>
  <c r="BM219" i="1"/>
  <c r="AZ219" i="1"/>
  <c r="AM219" i="1"/>
  <c r="FK219" i="1" l="1"/>
  <c r="FK314" i="1"/>
  <c r="CG219" i="1"/>
  <c r="EW314" i="1"/>
  <c r="EW219" i="1"/>
  <c r="CA314" i="1"/>
  <c r="CA219" i="1"/>
  <c r="EI232" i="1"/>
  <c r="EI174" i="1"/>
  <c r="DV232" i="1"/>
  <c r="DI232" i="1"/>
  <c r="CV232" i="1"/>
  <c r="CV174" i="1"/>
  <c r="EV232" i="1"/>
  <c r="EV174" i="1"/>
  <c r="EV217" i="1"/>
  <c r="E261" i="38"/>
  <c r="F261" i="38"/>
  <c r="G261" i="38"/>
  <c r="H261" i="38"/>
  <c r="I261" i="38"/>
  <c r="J261" i="38"/>
  <c r="K261" i="38"/>
  <c r="L261" i="38"/>
  <c r="M261" i="38"/>
  <c r="N261" i="38"/>
  <c r="O261" i="38"/>
  <c r="P261" i="38"/>
  <c r="Q261" i="38"/>
  <c r="R261" i="38"/>
  <c r="S261" i="38"/>
  <c r="T261" i="38"/>
  <c r="U261" i="38"/>
  <c r="D261" i="38"/>
  <c r="FL314" i="1" l="1"/>
  <c r="FL219" i="1"/>
  <c r="CH219" i="1"/>
  <c r="EW232" i="1"/>
  <c r="Y98" i="1" l="1"/>
  <c r="Y94" i="1"/>
  <c r="Z94" i="1" s="1"/>
  <c r="X332" i="1" l="1"/>
  <c r="Z98" i="1"/>
  <c r="FF12" i="1"/>
  <c r="FF97" i="1"/>
  <c r="FF93" i="1"/>
  <c r="FF96" i="1"/>
  <c r="FF95" i="1"/>
  <c r="FF94" i="1"/>
  <c r="FF81" i="1"/>
  <c r="FF99" i="1"/>
  <c r="FF98" i="1"/>
  <c r="FF38" i="1"/>
  <c r="FF47" i="1"/>
  <c r="FF46" i="1"/>
  <c r="FF30" i="1"/>
  <c r="FF274" i="1"/>
  <c r="FF273" i="1"/>
  <c r="FF146" i="1"/>
  <c r="FF145" i="1"/>
  <c r="FF151" i="1"/>
  <c r="FF185" i="1"/>
  <c r="FF189" i="1"/>
  <c r="FF190" i="1"/>
  <c r="FF186" i="1"/>
  <c r="FF193" i="1"/>
  <c r="FF149" i="1"/>
  <c r="FF192" i="1"/>
  <c r="FF191" i="1"/>
  <c r="FF180" i="1"/>
  <c r="FF188" i="1"/>
  <c r="FF148" i="1"/>
  <c r="FF187" i="1"/>
  <c r="FF152" i="1"/>
  <c r="FF147" i="1"/>
  <c r="FF150" i="1"/>
  <c r="FF100" i="1"/>
  <c r="FF75" i="1"/>
  <c r="FF74" i="1"/>
  <c r="FF73" i="1"/>
  <c r="FF79" i="1"/>
  <c r="FF39" i="1"/>
  <c r="FF50" i="1"/>
  <c r="FF45" i="1"/>
  <c r="FF49" i="1"/>
  <c r="FF40" i="1"/>
  <c r="FF76" i="1"/>
  <c r="FF77" i="1"/>
  <c r="FF44" i="1"/>
  <c r="FF41" i="1"/>
  <c r="FF43" i="1"/>
  <c r="FF78" i="1"/>
  <c r="FF42" i="1"/>
  <c r="FF48" i="1"/>
  <c r="FF31" i="1"/>
  <c r="FF66" i="1"/>
  <c r="FF103" i="1"/>
  <c r="FF102" i="1"/>
  <c r="FF69" i="1"/>
  <c r="FF61" i="1"/>
  <c r="FF71" i="1"/>
  <c r="FF70" i="1"/>
  <c r="FF72" i="1"/>
  <c r="FF101" i="1"/>
  <c r="FF60" i="1"/>
  <c r="FF59" i="1"/>
  <c r="FF58" i="1"/>
  <c r="FF68" i="1"/>
  <c r="FF276" i="1"/>
  <c r="FF275" i="1"/>
  <c r="FF153" i="1"/>
  <c r="FF154" i="1"/>
  <c r="FF155" i="1"/>
  <c r="FF277" i="1"/>
  <c r="FF194" i="1"/>
  <c r="FF67" i="1"/>
  <c r="FF105" i="1"/>
  <c r="FF62" i="1"/>
  <c r="FF65" i="1"/>
  <c r="FF80" i="1"/>
  <c r="FF63" i="1"/>
  <c r="FF64" i="1"/>
  <c r="FF57" i="1"/>
  <c r="FF36" i="1"/>
  <c r="FF37" i="1"/>
  <c r="FF5" i="1"/>
  <c r="FF2" i="1"/>
  <c r="FF3" i="1"/>
  <c r="FF35" i="1"/>
  <c r="FF86" i="1"/>
  <c r="FF10" i="1"/>
  <c r="FF4" i="1"/>
  <c r="FF85" i="1"/>
  <c r="FF9" i="1"/>
  <c r="FF88" i="1"/>
  <c r="FF87" i="1"/>
  <c r="FF84" i="1"/>
  <c r="FF6" i="1"/>
  <c r="FF83" i="1"/>
  <c r="FF32" i="1"/>
  <c r="FF34" i="1"/>
  <c r="FF56" i="1"/>
  <c r="FF18" i="1"/>
  <c r="FF8" i="1"/>
  <c r="FF129" i="1"/>
  <c r="FF25" i="1"/>
  <c r="FF16" i="1"/>
  <c r="FF117" i="1"/>
  <c r="FF26" i="1"/>
  <c r="FF132" i="1"/>
  <c r="FF15" i="1"/>
  <c r="FF19" i="1"/>
  <c r="FF112" i="1"/>
  <c r="FF108" i="1"/>
  <c r="FF21" i="1"/>
  <c r="FF22" i="1"/>
  <c r="FF27" i="1"/>
  <c r="FF17" i="1"/>
  <c r="FF130" i="1"/>
  <c r="FF13" i="1"/>
  <c r="FF122" i="1"/>
  <c r="FF90" i="1"/>
  <c r="FF52" i="1"/>
  <c r="FF127" i="1"/>
  <c r="FF133" i="1"/>
  <c r="FF92" i="1"/>
  <c r="FF118" i="1"/>
  <c r="FF24" i="1"/>
  <c r="FF116" i="1"/>
  <c r="FF28" i="1"/>
  <c r="FF124" i="1"/>
  <c r="FF121" i="1"/>
  <c r="FF131" i="1"/>
  <c r="FF120" i="1"/>
  <c r="FF114" i="1"/>
  <c r="FF82" i="1"/>
  <c r="FF115" i="1"/>
  <c r="FF123" i="1"/>
  <c r="FF113" i="1"/>
  <c r="FF51" i="1"/>
  <c r="FF23" i="1"/>
  <c r="FF91" i="1"/>
  <c r="FF11" i="1"/>
  <c r="FF29" i="1"/>
  <c r="FF55" i="1"/>
  <c r="FF20" i="1"/>
  <c r="FF109" i="1"/>
  <c r="FF7" i="1"/>
  <c r="FF128" i="1"/>
  <c r="FF126" i="1"/>
  <c r="FF107" i="1"/>
  <c r="FF14" i="1"/>
  <c r="FF125" i="1"/>
  <c r="FF111" i="1"/>
  <c r="FF119" i="1"/>
  <c r="FF89" i="1"/>
  <c r="FF33" i="1"/>
  <c r="FF278" i="1"/>
  <c r="FF110" i="1"/>
  <c r="FF106" i="1"/>
  <c r="FF289" i="1"/>
  <c r="FF282" i="1"/>
  <c r="FF281" i="1"/>
  <c r="FF286" i="1"/>
  <c r="FF287" i="1"/>
  <c r="FF294" i="1"/>
  <c r="FF292" i="1"/>
  <c r="FF279" i="1"/>
  <c r="FF156" i="1"/>
  <c r="FF280" i="1"/>
  <c r="FF157" i="1"/>
  <c r="FF291" i="1"/>
  <c r="FF283" i="1"/>
  <c r="FF285" i="1"/>
  <c r="FF288" i="1"/>
  <c r="FF290" i="1"/>
  <c r="FF293" i="1"/>
  <c r="FF284" i="1"/>
  <c r="FF161" i="1"/>
  <c r="FF160" i="1"/>
  <c r="FF159" i="1"/>
  <c r="FF158" i="1"/>
  <c r="FF195" i="1"/>
  <c r="FF266" i="1"/>
  <c r="FF165" i="1"/>
  <c r="FF224" i="1"/>
  <c r="FF203" i="1"/>
  <c r="FF199" i="1"/>
  <c r="FF312" i="1"/>
  <c r="FF173" i="1"/>
  <c r="FF168" i="1"/>
  <c r="FF258" i="1"/>
  <c r="FF222" i="1"/>
  <c r="FF242" i="1"/>
  <c r="FF236" i="1"/>
  <c r="FF234" i="1"/>
  <c r="FF183" i="1"/>
  <c r="FF262" i="1"/>
  <c r="FF308" i="1"/>
  <c r="FF210" i="1"/>
  <c r="FF313" i="1"/>
  <c r="FF304" i="1"/>
  <c r="FF177" i="1"/>
  <c r="FF201" i="1"/>
  <c r="FF305" i="1"/>
  <c r="FF299" i="1"/>
  <c r="FF302" i="1"/>
  <c r="FF296" i="1"/>
  <c r="FF235" i="1"/>
  <c r="FF300" i="1"/>
  <c r="FF169" i="1"/>
  <c r="FF241" i="1"/>
  <c r="FF252" i="1"/>
  <c r="FF267" i="1"/>
  <c r="FF306" i="1"/>
  <c r="FF303" i="1"/>
  <c r="FF311" i="1"/>
  <c r="FF244" i="1"/>
  <c r="FF162" i="1"/>
  <c r="FF298" i="1"/>
  <c r="FF166" i="1"/>
  <c r="FF233" i="1"/>
  <c r="FF307" i="1"/>
  <c r="FF213" i="1"/>
  <c r="FF227" i="1"/>
  <c r="FF204" i="1"/>
  <c r="FF261" i="1"/>
  <c r="FF248" i="1"/>
  <c r="FF240" i="1"/>
  <c r="FF163" i="1"/>
  <c r="FF208" i="1"/>
  <c r="FF295" i="1"/>
  <c r="FF230" i="1"/>
  <c r="FF260" i="1"/>
  <c r="FF257" i="1"/>
  <c r="FF200" i="1"/>
  <c r="FF202" i="1"/>
  <c r="FF270" i="1"/>
  <c r="FF207" i="1"/>
  <c r="FF181" i="1"/>
  <c r="FF182" i="1"/>
  <c r="FF301" i="1"/>
  <c r="FF206" i="1"/>
  <c r="FF205" i="1"/>
  <c r="FF247" i="1"/>
  <c r="FF171" i="1"/>
  <c r="FF172" i="1"/>
  <c r="FF197" i="1"/>
  <c r="FF196" i="1"/>
  <c r="FF255" i="1"/>
  <c r="FF315" i="1"/>
  <c r="FF310" i="1"/>
  <c r="FF297" i="1"/>
  <c r="FF309" i="1"/>
  <c r="FF250" i="1"/>
  <c r="FF256" i="1"/>
  <c r="FF265" i="1"/>
  <c r="FF259" i="1"/>
  <c r="FF225" i="1"/>
  <c r="FF221" i="1"/>
  <c r="FF254" i="1"/>
  <c r="FF216" i="1"/>
  <c r="FF243" i="1"/>
  <c r="FF198" i="1"/>
  <c r="FF268" i="1"/>
  <c r="FF231" i="1"/>
  <c r="FF263" i="1"/>
  <c r="FF246" i="1"/>
  <c r="FF251" i="1"/>
  <c r="FF237" i="1"/>
  <c r="FF238" i="1"/>
  <c r="FF239" i="1"/>
  <c r="FF134" i="1"/>
  <c r="FF249" i="1"/>
  <c r="FF269" i="1"/>
  <c r="FF271" i="1"/>
  <c r="FF245" i="1"/>
  <c r="FF212" i="1"/>
  <c r="FF220" i="1"/>
  <c r="FF253" i="1"/>
  <c r="FF218" i="1"/>
  <c r="FF228" i="1"/>
  <c r="FF167" i="1"/>
  <c r="FF226" i="1"/>
  <c r="FF209" i="1"/>
  <c r="FF232" i="1"/>
  <c r="FF174" i="1"/>
  <c r="FF217" i="1"/>
  <c r="FF184" i="1"/>
  <c r="FF176" i="1"/>
  <c r="FF264" i="1"/>
  <c r="FF175" i="1"/>
  <c r="FF164" i="1"/>
  <c r="FF229" i="1"/>
  <c r="FF214" i="1"/>
  <c r="FF170" i="1"/>
  <c r="FF211" i="1"/>
  <c r="FF215" i="1"/>
  <c r="FF223" i="1"/>
  <c r="FF54" i="1"/>
  <c r="FF138" i="1"/>
  <c r="FF144" i="1"/>
  <c r="FF137" i="1"/>
  <c r="FF139" i="1"/>
  <c r="FF143" i="1"/>
  <c r="FF135" i="1"/>
  <c r="FF141" i="1"/>
  <c r="FF136" i="1"/>
  <c r="FF140" i="1"/>
  <c r="FF142" i="1"/>
  <c r="FF53" i="1"/>
  <c r="FF178" i="1"/>
  <c r="FF179" i="1"/>
  <c r="E14" i="22" l="1"/>
  <c r="E27" i="22"/>
  <c r="E44" i="22"/>
  <c r="E57" i="22"/>
  <c r="E76" i="22"/>
  <c r="E89" i="22"/>
  <c r="E60" i="22"/>
  <c r="E47" i="22"/>
  <c r="E104" i="22"/>
  <c r="E113" i="22"/>
  <c r="E29" i="22"/>
  <c r="E16" i="22"/>
  <c r="E13" i="22"/>
  <c r="E26" i="22"/>
  <c r="E25" i="22"/>
  <c r="E12" i="22"/>
  <c r="E75" i="22"/>
  <c r="E88" i="22"/>
  <c r="E87" i="22"/>
  <c r="E74" i="22"/>
  <c r="E59" i="22"/>
  <c r="E46" i="22"/>
  <c r="E45" i="22"/>
  <c r="E58" i="22"/>
  <c r="E56" i="22"/>
  <c r="E43" i="22"/>
  <c r="E91" i="22"/>
  <c r="E78" i="22"/>
  <c r="E28" i="22"/>
  <c r="E15" i="22"/>
  <c r="E11" i="22"/>
  <c r="E24" i="22"/>
  <c r="E90" i="22"/>
  <c r="E77" i="22"/>
  <c r="E73" i="22"/>
  <c r="E86" i="22"/>
  <c r="E42" i="22"/>
  <c r="E55" i="22"/>
  <c r="FJ97" i="1"/>
  <c r="FK97" i="1" s="1"/>
  <c r="FJ93" i="1"/>
  <c r="FK93" i="1" s="1"/>
  <c r="FJ96" i="1"/>
  <c r="FK96" i="1" s="1"/>
  <c r="FJ95" i="1"/>
  <c r="FK95" i="1" s="1"/>
  <c r="FJ94" i="1"/>
  <c r="FK94" i="1" s="1"/>
  <c r="FJ81" i="1"/>
  <c r="FK81" i="1" s="1"/>
  <c r="FJ99" i="1"/>
  <c r="FK99" i="1" s="1"/>
  <c r="FJ98" i="1"/>
  <c r="FK98" i="1" s="1"/>
  <c r="FJ38" i="1"/>
  <c r="FK38" i="1" s="1"/>
  <c r="FJ47" i="1"/>
  <c r="FK47" i="1" s="1"/>
  <c r="FJ46" i="1"/>
  <c r="FJ30" i="1"/>
  <c r="FK30" i="1" s="1"/>
  <c r="FJ274" i="1"/>
  <c r="FK274" i="1" s="1"/>
  <c r="FJ273" i="1"/>
  <c r="FK273" i="1" s="1"/>
  <c r="FJ146" i="1"/>
  <c r="FK146" i="1" s="1"/>
  <c r="FJ145" i="1"/>
  <c r="FK145" i="1" s="1"/>
  <c r="FJ151" i="1"/>
  <c r="FK151" i="1" s="1"/>
  <c r="FJ185" i="1"/>
  <c r="FK185" i="1" s="1"/>
  <c r="FJ189" i="1"/>
  <c r="FK189" i="1" s="1"/>
  <c r="FJ190" i="1"/>
  <c r="FK190" i="1" s="1"/>
  <c r="FJ186" i="1"/>
  <c r="FK186" i="1" s="1"/>
  <c r="FJ193" i="1"/>
  <c r="FK193" i="1" s="1"/>
  <c r="FJ149" i="1"/>
  <c r="FK149" i="1" s="1"/>
  <c r="FJ192" i="1"/>
  <c r="FK192" i="1" s="1"/>
  <c r="FJ191" i="1"/>
  <c r="FK191" i="1" s="1"/>
  <c r="FJ180" i="1"/>
  <c r="FK180" i="1" s="1"/>
  <c r="FJ188" i="1"/>
  <c r="FK188" i="1" s="1"/>
  <c r="FJ148" i="1"/>
  <c r="FK148" i="1" s="1"/>
  <c r="FJ187" i="1"/>
  <c r="FK187" i="1" s="1"/>
  <c r="FJ152" i="1"/>
  <c r="FK152" i="1" s="1"/>
  <c r="FJ147" i="1"/>
  <c r="FK147" i="1" s="1"/>
  <c r="FJ150" i="1"/>
  <c r="FK150" i="1" s="1"/>
  <c r="FJ100" i="1"/>
  <c r="G14" i="41" s="1"/>
  <c r="FJ75" i="1"/>
  <c r="FK75" i="1" s="1"/>
  <c r="FJ74" i="1"/>
  <c r="FK74" i="1" s="1"/>
  <c r="FJ73" i="1"/>
  <c r="FK73" i="1" s="1"/>
  <c r="FJ79" i="1"/>
  <c r="FK79" i="1" s="1"/>
  <c r="FJ39" i="1"/>
  <c r="FK39" i="1" s="1"/>
  <c r="FJ50" i="1"/>
  <c r="FK50" i="1" s="1"/>
  <c r="FJ45" i="1"/>
  <c r="FK45" i="1" s="1"/>
  <c r="FJ49" i="1"/>
  <c r="FK49" i="1" s="1"/>
  <c r="FJ40" i="1"/>
  <c r="FK40" i="1" s="1"/>
  <c r="FJ76" i="1"/>
  <c r="FK76" i="1" s="1"/>
  <c r="FJ77" i="1"/>
  <c r="FK77" i="1" s="1"/>
  <c r="FJ44" i="1"/>
  <c r="FK44" i="1" s="1"/>
  <c r="FJ41" i="1"/>
  <c r="FK41" i="1" s="1"/>
  <c r="FJ43" i="1"/>
  <c r="FK43" i="1" s="1"/>
  <c r="FJ78" i="1"/>
  <c r="FK78" i="1" s="1"/>
  <c r="FJ42" i="1"/>
  <c r="FK42" i="1" s="1"/>
  <c r="FJ48" i="1"/>
  <c r="FK48" i="1" s="1"/>
  <c r="FJ31" i="1"/>
  <c r="FK31" i="1" s="1"/>
  <c r="FJ66" i="1"/>
  <c r="FK66" i="1" s="1"/>
  <c r="FJ103" i="1"/>
  <c r="FK103" i="1" s="1"/>
  <c r="FJ102" i="1"/>
  <c r="FK102" i="1" s="1"/>
  <c r="FJ69" i="1"/>
  <c r="FK69" i="1" s="1"/>
  <c r="FJ61" i="1"/>
  <c r="FK61" i="1" s="1"/>
  <c r="FJ71" i="1"/>
  <c r="FK71" i="1" s="1"/>
  <c r="FJ70" i="1"/>
  <c r="FK70" i="1" s="1"/>
  <c r="FJ72" i="1"/>
  <c r="FK72" i="1" s="1"/>
  <c r="FJ101" i="1"/>
  <c r="FK101" i="1" s="1"/>
  <c r="FJ60" i="1"/>
  <c r="FK60" i="1" s="1"/>
  <c r="FJ59" i="1"/>
  <c r="FK59" i="1" s="1"/>
  <c r="FJ58" i="1"/>
  <c r="FK58" i="1" s="1"/>
  <c r="FJ68" i="1"/>
  <c r="FK68" i="1" s="1"/>
  <c r="FJ276" i="1"/>
  <c r="FK276" i="1" s="1"/>
  <c r="FJ275" i="1"/>
  <c r="FK275" i="1" s="1"/>
  <c r="FJ153" i="1"/>
  <c r="FK153" i="1" s="1"/>
  <c r="FJ154" i="1"/>
  <c r="FK154" i="1" s="1"/>
  <c r="FJ155" i="1"/>
  <c r="G18" i="41" s="1"/>
  <c r="FJ277" i="1"/>
  <c r="FK277" i="1" s="1"/>
  <c r="FJ194" i="1"/>
  <c r="FK194" i="1" s="1"/>
  <c r="FJ67" i="1"/>
  <c r="FK67" i="1" s="1"/>
  <c r="FJ105" i="1"/>
  <c r="FK105" i="1" s="1"/>
  <c r="FJ62" i="1"/>
  <c r="FK62" i="1" s="1"/>
  <c r="FJ65" i="1"/>
  <c r="FK65" i="1" s="1"/>
  <c r="FJ80" i="1"/>
  <c r="FK80" i="1" s="1"/>
  <c r="FJ63" i="1"/>
  <c r="FK63" i="1" s="1"/>
  <c r="FJ64" i="1"/>
  <c r="FK64" i="1" s="1"/>
  <c r="FJ57" i="1"/>
  <c r="FK57" i="1" s="1"/>
  <c r="FJ36" i="1"/>
  <c r="FK36" i="1" s="1"/>
  <c r="FJ37" i="1"/>
  <c r="FK37" i="1" s="1"/>
  <c r="FJ5" i="1"/>
  <c r="FK5" i="1" s="1"/>
  <c r="FJ2" i="1"/>
  <c r="FK2" i="1" s="1"/>
  <c r="FJ3" i="1"/>
  <c r="FK3" i="1" s="1"/>
  <c r="FJ35" i="1"/>
  <c r="FK35" i="1" s="1"/>
  <c r="FJ86" i="1"/>
  <c r="FK86" i="1" s="1"/>
  <c r="FJ10" i="1"/>
  <c r="FK10" i="1" s="1"/>
  <c r="FJ4" i="1"/>
  <c r="FK4" i="1" s="1"/>
  <c r="FJ85" i="1"/>
  <c r="FK85" i="1" s="1"/>
  <c r="FJ9" i="1"/>
  <c r="FK9" i="1" s="1"/>
  <c r="FJ88" i="1"/>
  <c r="FK88" i="1" s="1"/>
  <c r="FJ87" i="1"/>
  <c r="FK87" i="1" s="1"/>
  <c r="FJ84" i="1"/>
  <c r="FK84" i="1" s="1"/>
  <c r="FJ6" i="1"/>
  <c r="FK6" i="1" s="1"/>
  <c r="FJ83" i="1"/>
  <c r="FK83" i="1" s="1"/>
  <c r="FJ32" i="1"/>
  <c r="FK32" i="1" s="1"/>
  <c r="FJ34" i="1"/>
  <c r="FK34" i="1" s="1"/>
  <c r="FJ56" i="1"/>
  <c r="FK56" i="1" s="1"/>
  <c r="FJ18" i="1"/>
  <c r="FK18" i="1" s="1"/>
  <c r="FJ8" i="1"/>
  <c r="FK8" i="1" s="1"/>
  <c r="FJ129" i="1"/>
  <c r="FK129" i="1" s="1"/>
  <c r="FJ25" i="1"/>
  <c r="FK25" i="1" s="1"/>
  <c r="FJ16" i="1"/>
  <c r="FK16" i="1" s="1"/>
  <c r="FJ117" i="1"/>
  <c r="FK117" i="1" s="1"/>
  <c r="FJ26" i="1"/>
  <c r="FK26" i="1" s="1"/>
  <c r="FJ132" i="1"/>
  <c r="FK132" i="1" s="1"/>
  <c r="FJ15" i="1"/>
  <c r="FK15" i="1" s="1"/>
  <c r="FJ19" i="1"/>
  <c r="FK19" i="1" s="1"/>
  <c r="FJ112" i="1"/>
  <c r="FK112" i="1" s="1"/>
  <c r="FJ108" i="1"/>
  <c r="FK108" i="1" s="1"/>
  <c r="FJ21" i="1"/>
  <c r="FK21" i="1" s="1"/>
  <c r="FJ22" i="1"/>
  <c r="FK22" i="1" s="1"/>
  <c r="FJ27" i="1"/>
  <c r="FK27" i="1" s="1"/>
  <c r="FJ17" i="1"/>
  <c r="FK17" i="1" s="1"/>
  <c r="FJ130" i="1"/>
  <c r="FK130" i="1" s="1"/>
  <c r="FJ13" i="1"/>
  <c r="FK13" i="1" s="1"/>
  <c r="FJ122" i="1"/>
  <c r="FK122" i="1" s="1"/>
  <c r="FJ90" i="1"/>
  <c r="FK90" i="1" s="1"/>
  <c r="FJ52" i="1"/>
  <c r="FK52" i="1" s="1"/>
  <c r="FJ127" i="1"/>
  <c r="FK127" i="1" s="1"/>
  <c r="FJ133" i="1"/>
  <c r="FK133" i="1" s="1"/>
  <c r="FJ92" i="1"/>
  <c r="FK92" i="1" s="1"/>
  <c r="FJ118" i="1"/>
  <c r="FK118" i="1" s="1"/>
  <c r="FJ24" i="1"/>
  <c r="FK24" i="1" s="1"/>
  <c r="FJ116" i="1"/>
  <c r="FK116" i="1" s="1"/>
  <c r="FJ28" i="1"/>
  <c r="FK28" i="1" s="1"/>
  <c r="FJ124" i="1"/>
  <c r="FK124" i="1" s="1"/>
  <c r="FJ121" i="1"/>
  <c r="FK121" i="1" s="1"/>
  <c r="FJ131" i="1"/>
  <c r="FK131" i="1" s="1"/>
  <c r="FJ120" i="1"/>
  <c r="FK120" i="1" s="1"/>
  <c r="FJ114" i="1"/>
  <c r="FK114" i="1" s="1"/>
  <c r="FJ82" i="1"/>
  <c r="FK82" i="1" s="1"/>
  <c r="FJ115" i="1"/>
  <c r="FK115" i="1" s="1"/>
  <c r="FJ123" i="1"/>
  <c r="FK123" i="1" s="1"/>
  <c r="FJ113" i="1"/>
  <c r="FK113" i="1" s="1"/>
  <c r="FJ51" i="1"/>
  <c r="FK51" i="1" s="1"/>
  <c r="FJ23" i="1"/>
  <c r="FK23" i="1" s="1"/>
  <c r="FJ91" i="1"/>
  <c r="FK91" i="1" s="1"/>
  <c r="FJ11" i="1"/>
  <c r="FK11" i="1" s="1"/>
  <c r="FJ29" i="1"/>
  <c r="FK29" i="1" s="1"/>
  <c r="FJ55" i="1"/>
  <c r="FK55" i="1" s="1"/>
  <c r="FJ20" i="1"/>
  <c r="FK20" i="1" s="1"/>
  <c r="FJ109" i="1"/>
  <c r="FK109" i="1" s="1"/>
  <c r="FJ7" i="1"/>
  <c r="FK7" i="1" s="1"/>
  <c r="FJ128" i="1"/>
  <c r="FK128" i="1" s="1"/>
  <c r="FJ126" i="1"/>
  <c r="FK126" i="1" s="1"/>
  <c r="FJ107" i="1"/>
  <c r="FK107" i="1" s="1"/>
  <c r="FJ14" i="1"/>
  <c r="FK14" i="1" s="1"/>
  <c r="FJ125" i="1"/>
  <c r="FK125" i="1" s="1"/>
  <c r="FJ111" i="1"/>
  <c r="FK111" i="1" s="1"/>
  <c r="FJ119" i="1"/>
  <c r="FK119" i="1" s="1"/>
  <c r="FJ89" i="1"/>
  <c r="FK89" i="1" s="1"/>
  <c r="FJ33" i="1"/>
  <c r="FK33" i="1" s="1"/>
  <c r="FJ278" i="1"/>
  <c r="FK278" i="1" s="1"/>
  <c r="FJ110" i="1"/>
  <c r="FK110" i="1" s="1"/>
  <c r="FJ106" i="1"/>
  <c r="FK106" i="1" s="1"/>
  <c r="FJ289" i="1"/>
  <c r="FK289" i="1" s="1"/>
  <c r="FJ282" i="1"/>
  <c r="FK282" i="1" s="1"/>
  <c r="FJ281" i="1"/>
  <c r="FK281" i="1" s="1"/>
  <c r="FJ286" i="1"/>
  <c r="FK286" i="1" s="1"/>
  <c r="FJ287" i="1"/>
  <c r="FK287" i="1" s="1"/>
  <c r="FJ294" i="1"/>
  <c r="FK294" i="1" s="1"/>
  <c r="FJ292" i="1"/>
  <c r="FK292" i="1" s="1"/>
  <c r="FJ279" i="1"/>
  <c r="FK279" i="1" s="1"/>
  <c r="FJ156" i="1"/>
  <c r="FK156" i="1" s="1"/>
  <c r="FJ280" i="1"/>
  <c r="FK280" i="1" s="1"/>
  <c r="FJ157" i="1"/>
  <c r="FK157" i="1" s="1"/>
  <c r="FJ291" i="1"/>
  <c r="FK291" i="1" s="1"/>
  <c r="FJ283" i="1"/>
  <c r="FK283" i="1" s="1"/>
  <c r="FJ285" i="1"/>
  <c r="FK285" i="1" s="1"/>
  <c r="FJ288" i="1"/>
  <c r="FK288" i="1" s="1"/>
  <c r="FJ290" i="1"/>
  <c r="FK290" i="1" s="1"/>
  <c r="FJ293" i="1"/>
  <c r="FK293" i="1" s="1"/>
  <c r="FJ284" i="1"/>
  <c r="FK284" i="1" s="1"/>
  <c r="FJ161" i="1"/>
  <c r="FK161" i="1" s="1"/>
  <c r="FJ160" i="1"/>
  <c r="FK160" i="1" s="1"/>
  <c r="FJ159" i="1"/>
  <c r="FK159" i="1" s="1"/>
  <c r="FJ158" i="1"/>
  <c r="FK158" i="1" s="1"/>
  <c r="FJ195" i="1"/>
  <c r="FK195" i="1" s="1"/>
  <c r="FJ266" i="1"/>
  <c r="FK266" i="1" s="1"/>
  <c r="FJ165" i="1"/>
  <c r="FK165" i="1" s="1"/>
  <c r="FJ224" i="1"/>
  <c r="FK224" i="1" s="1"/>
  <c r="FJ203" i="1"/>
  <c r="FK203" i="1" s="1"/>
  <c r="FJ199" i="1"/>
  <c r="FK199" i="1" s="1"/>
  <c r="FJ312" i="1"/>
  <c r="FK312" i="1" s="1"/>
  <c r="FJ173" i="1"/>
  <c r="FK173" i="1" s="1"/>
  <c r="FJ168" i="1"/>
  <c r="FK168" i="1" s="1"/>
  <c r="FJ258" i="1"/>
  <c r="FK258" i="1" s="1"/>
  <c r="FJ222" i="1"/>
  <c r="FK222" i="1" s="1"/>
  <c r="FJ242" i="1"/>
  <c r="FK242" i="1" s="1"/>
  <c r="FJ236" i="1"/>
  <c r="FK236" i="1" s="1"/>
  <c r="FJ234" i="1"/>
  <c r="FK234" i="1" s="1"/>
  <c r="FJ183" i="1"/>
  <c r="FK183" i="1" s="1"/>
  <c r="FJ262" i="1"/>
  <c r="FK262" i="1" s="1"/>
  <c r="FJ308" i="1"/>
  <c r="FK308" i="1" s="1"/>
  <c r="FJ210" i="1"/>
  <c r="FK210" i="1" s="1"/>
  <c r="FJ313" i="1"/>
  <c r="FK313" i="1" s="1"/>
  <c r="FJ304" i="1"/>
  <c r="FK304" i="1" s="1"/>
  <c r="FJ177" i="1"/>
  <c r="FK177" i="1" s="1"/>
  <c r="FJ201" i="1"/>
  <c r="FK201" i="1" s="1"/>
  <c r="FJ305" i="1"/>
  <c r="FK305" i="1" s="1"/>
  <c r="FJ299" i="1"/>
  <c r="FK299" i="1" s="1"/>
  <c r="FJ302" i="1"/>
  <c r="FK302" i="1" s="1"/>
  <c r="FJ296" i="1"/>
  <c r="FK296" i="1" s="1"/>
  <c r="FJ235" i="1"/>
  <c r="FK235" i="1" s="1"/>
  <c r="FJ300" i="1"/>
  <c r="FK300" i="1" s="1"/>
  <c r="FJ169" i="1"/>
  <c r="FK169" i="1" s="1"/>
  <c r="FJ241" i="1"/>
  <c r="FK241" i="1" s="1"/>
  <c r="FJ252" i="1"/>
  <c r="FK252" i="1" s="1"/>
  <c r="FJ267" i="1"/>
  <c r="FK267" i="1" s="1"/>
  <c r="FJ306" i="1"/>
  <c r="FK306" i="1" s="1"/>
  <c r="FJ303" i="1"/>
  <c r="FK303" i="1" s="1"/>
  <c r="FJ311" i="1"/>
  <c r="FK311" i="1" s="1"/>
  <c r="FJ244" i="1"/>
  <c r="FK244" i="1" s="1"/>
  <c r="FJ162" i="1"/>
  <c r="FK162" i="1" s="1"/>
  <c r="FJ298" i="1"/>
  <c r="FK298" i="1" s="1"/>
  <c r="FJ166" i="1"/>
  <c r="FK166" i="1" s="1"/>
  <c r="FJ233" i="1"/>
  <c r="FK233" i="1" s="1"/>
  <c r="FJ307" i="1"/>
  <c r="FK307" i="1" s="1"/>
  <c r="FJ213" i="1"/>
  <c r="FK213" i="1" s="1"/>
  <c r="FJ227" i="1"/>
  <c r="FK227" i="1" s="1"/>
  <c r="FJ204" i="1"/>
  <c r="FK204" i="1" s="1"/>
  <c r="FJ261" i="1"/>
  <c r="FK261" i="1" s="1"/>
  <c r="FJ248" i="1"/>
  <c r="FK248" i="1" s="1"/>
  <c r="FJ240" i="1"/>
  <c r="FK240" i="1" s="1"/>
  <c r="FJ163" i="1"/>
  <c r="FK163" i="1" s="1"/>
  <c r="FJ208" i="1"/>
  <c r="FK208" i="1" s="1"/>
  <c r="FJ295" i="1"/>
  <c r="FK295" i="1" s="1"/>
  <c r="FJ230" i="1"/>
  <c r="FK230" i="1" s="1"/>
  <c r="FJ260" i="1"/>
  <c r="FK260" i="1" s="1"/>
  <c r="FJ257" i="1"/>
  <c r="FK257" i="1" s="1"/>
  <c r="FJ200" i="1"/>
  <c r="FK200" i="1" s="1"/>
  <c r="FJ202" i="1"/>
  <c r="FK202" i="1" s="1"/>
  <c r="FJ270" i="1"/>
  <c r="FK270" i="1" s="1"/>
  <c r="FJ207" i="1"/>
  <c r="FK207" i="1" s="1"/>
  <c r="FJ181" i="1"/>
  <c r="FK181" i="1" s="1"/>
  <c r="FJ182" i="1"/>
  <c r="FK182" i="1" s="1"/>
  <c r="FJ301" i="1"/>
  <c r="FK301" i="1" s="1"/>
  <c r="FJ206" i="1"/>
  <c r="FK206" i="1" s="1"/>
  <c r="FJ205" i="1"/>
  <c r="FK205" i="1" s="1"/>
  <c r="FJ247" i="1"/>
  <c r="FK247" i="1" s="1"/>
  <c r="FJ171" i="1"/>
  <c r="FK171" i="1" s="1"/>
  <c r="FJ172" i="1"/>
  <c r="FK172" i="1" s="1"/>
  <c r="FJ197" i="1"/>
  <c r="FK197" i="1" s="1"/>
  <c r="FJ196" i="1"/>
  <c r="FJ255" i="1"/>
  <c r="FK255" i="1" s="1"/>
  <c r="FJ315" i="1"/>
  <c r="FK315" i="1" s="1"/>
  <c r="FJ310" i="1"/>
  <c r="FK310" i="1" s="1"/>
  <c r="FJ297" i="1"/>
  <c r="FK297" i="1" s="1"/>
  <c r="FJ309" i="1"/>
  <c r="FK309" i="1" s="1"/>
  <c r="FJ250" i="1"/>
  <c r="FK250" i="1" s="1"/>
  <c r="FJ256" i="1"/>
  <c r="FK256" i="1" s="1"/>
  <c r="FJ265" i="1"/>
  <c r="FK265" i="1" s="1"/>
  <c r="FJ259" i="1"/>
  <c r="FK259" i="1" s="1"/>
  <c r="FJ225" i="1"/>
  <c r="FK225" i="1" s="1"/>
  <c r="FJ221" i="1"/>
  <c r="FK221" i="1" s="1"/>
  <c r="FJ254" i="1"/>
  <c r="FK254" i="1" s="1"/>
  <c r="FJ216" i="1"/>
  <c r="FK216" i="1" s="1"/>
  <c r="FJ243" i="1"/>
  <c r="FK243" i="1" s="1"/>
  <c r="FJ198" i="1"/>
  <c r="FK198" i="1" s="1"/>
  <c r="FJ268" i="1"/>
  <c r="FK268" i="1" s="1"/>
  <c r="FJ231" i="1"/>
  <c r="FK231" i="1" s="1"/>
  <c r="FJ263" i="1"/>
  <c r="FK263" i="1" s="1"/>
  <c r="FJ246" i="1"/>
  <c r="FK246" i="1" s="1"/>
  <c r="FJ251" i="1"/>
  <c r="FK251" i="1" s="1"/>
  <c r="FJ237" i="1"/>
  <c r="FK237" i="1" s="1"/>
  <c r="FJ238" i="1"/>
  <c r="FK238" i="1" s="1"/>
  <c r="FJ239" i="1"/>
  <c r="FK239" i="1" s="1"/>
  <c r="FJ134" i="1"/>
  <c r="FK134" i="1" s="1"/>
  <c r="FJ249" i="1"/>
  <c r="FK249" i="1" s="1"/>
  <c r="FJ269" i="1"/>
  <c r="FK269" i="1" s="1"/>
  <c r="FJ271" i="1"/>
  <c r="FK271" i="1" s="1"/>
  <c r="FJ245" i="1"/>
  <c r="FK245" i="1" s="1"/>
  <c r="FJ212" i="1"/>
  <c r="FK212" i="1" s="1"/>
  <c r="FJ220" i="1"/>
  <c r="FK220" i="1" s="1"/>
  <c r="FJ253" i="1"/>
  <c r="FK253" i="1" s="1"/>
  <c r="FJ218" i="1"/>
  <c r="FK218" i="1" s="1"/>
  <c r="FJ228" i="1"/>
  <c r="FK228" i="1" s="1"/>
  <c r="FJ167" i="1"/>
  <c r="FK167" i="1" s="1"/>
  <c r="FJ226" i="1"/>
  <c r="FK226" i="1" s="1"/>
  <c r="FJ209" i="1"/>
  <c r="FK209" i="1" s="1"/>
  <c r="FJ232" i="1"/>
  <c r="FK232" i="1" s="1"/>
  <c r="FJ174" i="1"/>
  <c r="FK174" i="1" s="1"/>
  <c r="FJ217" i="1"/>
  <c r="FK217" i="1" s="1"/>
  <c r="FJ184" i="1"/>
  <c r="FK184" i="1" s="1"/>
  <c r="FJ176" i="1"/>
  <c r="FK176" i="1" s="1"/>
  <c r="FJ264" i="1"/>
  <c r="FK264" i="1" s="1"/>
  <c r="FJ175" i="1"/>
  <c r="FK175" i="1" s="1"/>
  <c r="FJ164" i="1"/>
  <c r="FK164" i="1" s="1"/>
  <c r="FJ229" i="1"/>
  <c r="FK229" i="1" s="1"/>
  <c r="FJ214" i="1"/>
  <c r="FK214" i="1" s="1"/>
  <c r="FJ170" i="1"/>
  <c r="FK170" i="1" s="1"/>
  <c r="FJ211" i="1"/>
  <c r="FK211" i="1" s="1"/>
  <c r="FJ215" i="1"/>
  <c r="FK215" i="1" s="1"/>
  <c r="FJ223" i="1"/>
  <c r="FK223" i="1" s="1"/>
  <c r="FJ54" i="1"/>
  <c r="FK54" i="1" s="1"/>
  <c r="FJ138" i="1"/>
  <c r="FK138" i="1" s="1"/>
  <c r="FJ144" i="1"/>
  <c r="FK144" i="1" s="1"/>
  <c r="FJ137" i="1"/>
  <c r="FK137" i="1" s="1"/>
  <c r="FJ139" i="1"/>
  <c r="FK139" i="1" s="1"/>
  <c r="FJ143" i="1"/>
  <c r="FK143" i="1" s="1"/>
  <c r="FJ135" i="1"/>
  <c r="FK135" i="1" s="1"/>
  <c r="FJ141" i="1"/>
  <c r="FK141" i="1" s="1"/>
  <c r="FJ136" i="1"/>
  <c r="FK136" i="1" s="1"/>
  <c r="FJ140" i="1"/>
  <c r="FK140" i="1" s="1"/>
  <c r="FJ142" i="1"/>
  <c r="FK142" i="1" s="1"/>
  <c r="FJ53" i="1"/>
  <c r="FK53" i="1" s="1"/>
  <c r="FJ178" i="1"/>
  <c r="G28" i="41" s="1"/>
  <c r="FJ179" i="1"/>
  <c r="FK179" i="1" s="1"/>
  <c r="FJ272" i="1"/>
  <c r="E140" i="22" l="1"/>
  <c r="E132" i="22"/>
  <c r="E145" i="22"/>
  <c r="E128" i="22"/>
  <c r="E142" i="22"/>
  <c r="E143" i="22"/>
  <c r="E141" i="22"/>
  <c r="E129" i="22"/>
  <c r="E130" i="22"/>
  <c r="E127" i="22"/>
  <c r="FK196" i="1"/>
  <c r="G26" i="41"/>
  <c r="FK178" i="1"/>
  <c r="FK100" i="1"/>
  <c r="FK155" i="1"/>
  <c r="G29" i="41"/>
  <c r="G24" i="41"/>
  <c r="G23" i="41"/>
  <c r="G20" i="41"/>
  <c r="G16" i="41"/>
  <c r="G12" i="41"/>
  <c r="G22" i="41"/>
  <c r="G27" i="41"/>
  <c r="G25" i="41"/>
  <c r="G21" i="41"/>
  <c r="G19" i="41"/>
  <c r="G17" i="41"/>
  <c r="G15" i="41"/>
  <c r="G13" i="41"/>
  <c r="G11" i="41"/>
  <c r="FJ12" i="1"/>
  <c r="E233" i="36"/>
  <c r="F233" i="36"/>
  <c r="G233" i="36"/>
  <c r="H233" i="36"/>
  <c r="I233" i="36"/>
  <c r="J233" i="36"/>
  <c r="K233" i="36"/>
  <c r="L233" i="36"/>
  <c r="M233" i="36"/>
  <c r="N233" i="36"/>
  <c r="O233" i="36"/>
  <c r="P233" i="36"/>
  <c r="Q233" i="36"/>
  <c r="R233" i="36"/>
  <c r="S233" i="36"/>
  <c r="T233" i="36"/>
  <c r="U233" i="36"/>
  <c r="D233" i="36"/>
  <c r="G61" i="41" l="1"/>
  <c r="G64" i="41"/>
  <c r="G65" i="41"/>
  <c r="G62" i="41"/>
  <c r="G63" i="41"/>
  <c r="G10" i="41"/>
  <c r="FK12" i="1"/>
  <c r="AG318" i="1"/>
  <c r="Y82" i="1"/>
  <c r="Z82" i="1" s="1"/>
  <c r="G30" i="41" l="1"/>
  <c r="G60" i="41"/>
  <c r="G66" i="41" s="1"/>
  <c r="FE17" i="1"/>
  <c r="FD17" i="1"/>
  <c r="FC17" i="1"/>
  <c r="FB17" i="1"/>
  <c r="FA17" i="1"/>
  <c r="EZ17" i="1"/>
  <c r="EY17" i="1"/>
  <c r="EX17" i="1"/>
  <c r="EV17" i="1"/>
  <c r="EV27" i="1"/>
  <c r="EI17" i="1"/>
  <c r="EI27" i="1"/>
  <c r="DV17" i="1"/>
  <c r="DV27" i="1"/>
  <c r="DI17" i="1"/>
  <c r="DI27" i="1"/>
  <c r="CV17" i="1"/>
  <c r="CV27" i="1"/>
  <c r="BZ17" i="1"/>
  <c r="BM17" i="1"/>
  <c r="AZ17" i="1"/>
  <c r="AM17" i="1"/>
  <c r="FL17" i="1" l="1"/>
  <c r="EW17" i="1"/>
  <c r="EW27" i="1"/>
  <c r="CA17" i="1"/>
  <c r="CH17" i="1"/>
  <c r="CG17" i="1"/>
  <c r="AU124" i="1"/>
  <c r="AV117" i="1"/>
  <c r="AU95" i="1"/>
  <c r="AY18" i="1" l="1"/>
  <c r="AU26" i="1"/>
  <c r="Y11" i="1" l="1"/>
  <c r="Z11" i="1" s="1"/>
  <c r="FK46" i="1"/>
  <c r="FF272" i="1"/>
  <c r="FK272" i="1" s="1"/>
  <c r="V224" i="38"/>
  <c r="V223" i="38"/>
  <c r="V222" i="38"/>
  <c r="V221" i="38"/>
  <c r="V220" i="38"/>
  <c r="V219" i="38"/>
  <c r="V218" i="38"/>
  <c r="V217" i="38"/>
  <c r="V216" i="38"/>
  <c r="V215" i="38"/>
  <c r="V214" i="38"/>
  <c r="V213" i="38"/>
  <c r="V212" i="38"/>
  <c r="V211" i="38"/>
  <c r="V210" i="38"/>
  <c r="V209" i="38"/>
  <c r="V208" i="38"/>
  <c r="V207" i="38"/>
  <c r="V206" i="38"/>
  <c r="V205" i="38"/>
  <c r="V204" i="38"/>
  <c r="V203" i="38"/>
  <c r="V202" i="38"/>
  <c r="V201" i="38"/>
  <c r="V200" i="38"/>
  <c r="V199" i="38"/>
  <c r="V198" i="38"/>
  <c r="V197" i="38"/>
  <c r="V196" i="38"/>
  <c r="V195" i="38"/>
  <c r="V194" i="38"/>
  <c r="V193" i="38"/>
  <c r="V192" i="38"/>
  <c r="V191" i="38"/>
  <c r="V190" i="38"/>
  <c r="V189" i="38"/>
  <c r="V188" i="38"/>
  <c r="V187" i="38"/>
  <c r="V186" i="38"/>
  <c r="V185" i="38"/>
  <c r="V184" i="38"/>
  <c r="V183" i="38"/>
  <c r="V182" i="38"/>
  <c r="V181" i="38"/>
  <c r="V180" i="38"/>
  <c r="V179" i="38"/>
  <c r="V178" i="38"/>
  <c r="V177" i="38"/>
  <c r="V176" i="38"/>
  <c r="V175" i="38"/>
  <c r="V174" i="38"/>
  <c r="V173" i="38"/>
  <c r="V172" i="38"/>
  <c r="V171" i="38"/>
  <c r="V170" i="38"/>
  <c r="V169" i="38"/>
  <c r="V168" i="38"/>
  <c r="V167" i="38"/>
  <c r="V166" i="38"/>
  <c r="V165" i="38"/>
  <c r="V164" i="38"/>
  <c r="V163" i="38"/>
  <c r="V162" i="38"/>
  <c r="V161" i="38"/>
  <c r="V160" i="38"/>
  <c r="V159" i="38"/>
  <c r="V158" i="38"/>
  <c r="V157" i="38"/>
  <c r="V156" i="38"/>
  <c r="V155" i="38"/>
  <c r="V154" i="38"/>
  <c r="V153" i="38"/>
  <c r="V152" i="38"/>
  <c r="V151" i="38"/>
  <c r="V150" i="38"/>
  <c r="V149" i="38"/>
  <c r="V148" i="38"/>
  <c r="V147" i="38"/>
  <c r="V146" i="38"/>
  <c r="V145" i="38"/>
  <c r="V144" i="38"/>
  <c r="V143" i="38"/>
  <c r="V142" i="38"/>
  <c r="V141" i="38"/>
  <c r="V140" i="38"/>
  <c r="V139" i="38"/>
  <c r="V138" i="38"/>
  <c r="V137" i="38"/>
  <c r="V136" i="38"/>
  <c r="V135" i="38"/>
  <c r="V134" i="38"/>
  <c r="V133" i="38"/>
  <c r="V132" i="38"/>
  <c r="V131" i="38"/>
  <c r="V130" i="38"/>
  <c r="V129" i="38"/>
  <c r="V128" i="38"/>
  <c r="V127" i="38"/>
  <c r="V126" i="38"/>
  <c r="V125" i="38"/>
  <c r="V124" i="38"/>
  <c r="V123" i="38"/>
  <c r="V122" i="38"/>
  <c r="V121" i="38"/>
  <c r="V120" i="38"/>
  <c r="V119" i="38"/>
  <c r="V118" i="38"/>
  <c r="V117" i="38"/>
  <c r="V116" i="38"/>
  <c r="V115" i="38"/>
  <c r="V114" i="38"/>
  <c r="V113" i="38"/>
  <c r="V112" i="38"/>
  <c r="V111" i="38"/>
  <c r="V110" i="38"/>
  <c r="V109" i="38"/>
  <c r="V108" i="38"/>
  <c r="V107" i="38"/>
  <c r="V106" i="38"/>
  <c r="V105" i="38"/>
  <c r="V104" i="38"/>
  <c r="V103" i="38"/>
  <c r="V102" i="38"/>
  <c r="V101" i="38"/>
  <c r="V100" i="38"/>
  <c r="V99" i="38"/>
  <c r="V98" i="38"/>
  <c r="V97" i="38"/>
  <c r="V96" i="38"/>
  <c r="V95" i="38"/>
  <c r="V94" i="38"/>
  <c r="V93" i="38"/>
  <c r="V92" i="38"/>
  <c r="V91" i="38"/>
  <c r="V90" i="38"/>
  <c r="V89" i="38"/>
  <c r="V88" i="38"/>
  <c r="V87" i="38"/>
  <c r="V86" i="38"/>
  <c r="V85" i="38"/>
  <c r="V84" i="38"/>
  <c r="V83" i="38"/>
  <c r="V82" i="38"/>
  <c r="V81" i="38"/>
  <c r="V80" i="38"/>
  <c r="V79" i="38"/>
  <c r="V78" i="38"/>
  <c r="V77" i="38"/>
  <c r="V76" i="38"/>
  <c r="V75" i="38"/>
  <c r="V74" i="38"/>
  <c r="V73" i="38"/>
  <c r="V72" i="38"/>
  <c r="V71" i="38"/>
  <c r="V70" i="38"/>
  <c r="V69" i="38"/>
  <c r="V68" i="38"/>
  <c r="V67" i="38"/>
  <c r="V66" i="38"/>
  <c r="V65" i="38"/>
  <c r="V64" i="38"/>
  <c r="V63" i="38"/>
  <c r="V62" i="38"/>
  <c r="V61" i="38"/>
  <c r="V60" i="38"/>
  <c r="V59" i="38"/>
  <c r="V58" i="38"/>
  <c r="V57" i="38"/>
  <c r="V56" i="38"/>
  <c r="V55" i="38"/>
  <c r="V54" i="38"/>
  <c r="V53" i="38"/>
  <c r="V52" i="38"/>
  <c r="V51" i="38"/>
  <c r="V50" i="38"/>
  <c r="V49" i="38"/>
  <c r="V48" i="38"/>
  <c r="V47" i="38"/>
  <c r="V46" i="38"/>
  <c r="V45" i="38"/>
  <c r="V44" i="38"/>
  <c r="V43" i="38"/>
  <c r="V42" i="38"/>
  <c r="V41" i="38"/>
  <c r="V40" i="38"/>
  <c r="V39" i="38"/>
  <c r="V38" i="38"/>
  <c r="V37" i="38"/>
  <c r="V36" i="38"/>
  <c r="V35" i="38"/>
  <c r="V34" i="38"/>
  <c r="V33" i="38"/>
  <c r="V32" i="38"/>
  <c r="V31" i="38"/>
  <c r="V30" i="38"/>
  <c r="V29" i="38"/>
  <c r="V28" i="38"/>
  <c r="V27" i="38"/>
  <c r="V26" i="38"/>
  <c r="V25" i="38"/>
  <c r="V24" i="38"/>
  <c r="V23" i="38"/>
  <c r="V22" i="38"/>
  <c r="V21" i="38"/>
  <c r="V20" i="38"/>
  <c r="V19" i="38"/>
  <c r="V18" i="38"/>
  <c r="V17" i="38"/>
  <c r="V16" i="38"/>
  <c r="V15" i="38"/>
  <c r="V14" i="38"/>
  <c r="V13" i="38"/>
  <c r="V12" i="38"/>
  <c r="V11" i="38"/>
  <c r="V10" i="38"/>
  <c r="V9" i="38"/>
  <c r="V8" i="38"/>
  <c r="V7" i="38"/>
  <c r="V6" i="38"/>
  <c r="V5" i="38"/>
  <c r="V4" i="38"/>
  <c r="E114" i="22" l="1"/>
  <c r="E144" i="22" s="1"/>
  <c r="E105" i="22"/>
  <c r="E131" i="22" s="1"/>
  <c r="Y188" i="1"/>
  <c r="Z188" i="1" s="1"/>
  <c r="BL28" i="1" l="1"/>
  <c r="AG31" i="1" l="1"/>
  <c r="EX2" i="1"/>
  <c r="EY2" i="1"/>
  <c r="EZ2" i="1"/>
  <c r="FA2" i="1"/>
  <c r="FB2" i="1"/>
  <c r="FC2" i="1"/>
  <c r="FD2" i="1"/>
  <c r="FE2" i="1"/>
  <c r="EV2" i="1"/>
  <c r="EI2" i="1"/>
  <c r="DV2" i="1"/>
  <c r="DI2" i="1"/>
  <c r="CV2" i="1"/>
  <c r="BZ2" i="1"/>
  <c r="BM2" i="1"/>
  <c r="AZ2" i="1"/>
  <c r="AM2" i="1"/>
  <c r="FL2" i="1"/>
  <c r="CA2" i="1" l="1"/>
  <c r="EW2" i="1"/>
  <c r="EX50" i="1" l="1"/>
  <c r="EY50" i="1"/>
  <c r="EZ50" i="1"/>
  <c r="FA50" i="1"/>
  <c r="FB50" i="1"/>
  <c r="FC50" i="1"/>
  <c r="FD50" i="1"/>
  <c r="FE50" i="1"/>
  <c r="EV50" i="1"/>
  <c r="EI50" i="1"/>
  <c r="DV50" i="1"/>
  <c r="CV50" i="1"/>
  <c r="BZ50" i="1"/>
  <c r="BZ45" i="1"/>
  <c r="BM50" i="1"/>
  <c r="AZ50" i="1"/>
  <c r="AM50" i="1"/>
  <c r="FL50" i="1"/>
  <c r="EW50" i="1" l="1"/>
  <c r="CA50" i="1"/>
  <c r="BZ93" i="1" l="1"/>
  <c r="BZ96" i="1"/>
  <c r="BZ95" i="1"/>
  <c r="BZ94" i="1"/>
  <c r="BZ81" i="1"/>
  <c r="BZ99" i="1"/>
  <c r="BZ98" i="1"/>
  <c r="BZ38" i="1"/>
  <c r="BZ47" i="1"/>
  <c r="BZ46" i="1"/>
  <c r="BZ30" i="1"/>
  <c r="BZ274" i="1"/>
  <c r="BZ273" i="1"/>
  <c r="BZ146" i="1"/>
  <c r="BZ145" i="1"/>
  <c r="BZ151" i="1"/>
  <c r="BZ185" i="1"/>
  <c r="BZ189" i="1"/>
  <c r="BZ190" i="1"/>
  <c r="BZ186" i="1"/>
  <c r="BZ193" i="1"/>
  <c r="BZ149" i="1"/>
  <c r="BZ192" i="1"/>
  <c r="BZ191" i="1"/>
  <c r="BZ180" i="1"/>
  <c r="BZ188" i="1"/>
  <c r="BZ148" i="1"/>
  <c r="BZ187" i="1"/>
  <c r="BZ152" i="1"/>
  <c r="BZ147" i="1"/>
  <c r="BZ150" i="1"/>
  <c r="BZ100" i="1"/>
  <c r="BZ75" i="1"/>
  <c r="BZ74" i="1"/>
  <c r="BZ73" i="1"/>
  <c r="BZ79" i="1"/>
  <c r="BZ39" i="1"/>
  <c r="BZ49" i="1"/>
  <c r="BZ40" i="1"/>
  <c r="BZ76" i="1"/>
  <c r="BZ77" i="1"/>
  <c r="BZ44" i="1"/>
  <c r="BZ41" i="1"/>
  <c r="BZ43" i="1"/>
  <c r="BZ78" i="1"/>
  <c r="BZ42" i="1"/>
  <c r="BZ48" i="1"/>
  <c r="BZ31" i="1"/>
  <c r="BZ66" i="1"/>
  <c r="BZ103" i="1"/>
  <c r="BZ102" i="1"/>
  <c r="BZ69" i="1"/>
  <c r="BZ61" i="1"/>
  <c r="BZ71" i="1"/>
  <c r="BZ70" i="1"/>
  <c r="BZ72" i="1"/>
  <c r="BZ101" i="1"/>
  <c r="BZ60" i="1"/>
  <c r="BZ59" i="1"/>
  <c r="BZ58" i="1"/>
  <c r="BZ68" i="1"/>
  <c r="BZ276" i="1"/>
  <c r="BZ275" i="1"/>
  <c r="BZ153" i="1"/>
  <c r="BZ154" i="1"/>
  <c r="BZ155" i="1"/>
  <c r="BZ277" i="1"/>
  <c r="BZ194" i="1"/>
  <c r="BZ67" i="1"/>
  <c r="BZ105" i="1"/>
  <c r="BZ62" i="1"/>
  <c r="BZ65" i="1"/>
  <c r="BZ80" i="1"/>
  <c r="BZ63" i="1"/>
  <c r="BZ64" i="1"/>
  <c r="BZ57" i="1"/>
  <c r="BZ36" i="1"/>
  <c r="BZ37" i="1"/>
  <c r="BZ5" i="1"/>
  <c r="BZ3" i="1"/>
  <c r="BZ35" i="1"/>
  <c r="BZ86" i="1"/>
  <c r="BZ10" i="1"/>
  <c r="BZ4" i="1"/>
  <c r="BZ85" i="1"/>
  <c r="BZ9" i="1"/>
  <c r="BZ88" i="1"/>
  <c r="BZ87" i="1"/>
  <c r="BZ84" i="1"/>
  <c r="BZ6" i="1"/>
  <c r="BZ83" i="1"/>
  <c r="BZ32" i="1"/>
  <c r="BZ34" i="1"/>
  <c r="BZ56" i="1"/>
  <c r="BZ18" i="1"/>
  <c r="BZ8" i="1"/>
  <c r="BZ129" i="1"/>
  <c r="BZ25" i="1"/>
  <c r="BZ16" i="1"/>
  <c r="BZ117" i="1"/>
  <c r="BZ26" i="1"/>
  <c r="BZ132" i="1"/>
  <c r="BZ15" i="1"/>
  <c r="BZ19" i="1"/>
  <c r="BZ112" i="1"/>
  <c r="BZ108" i="1"/>
  <c r="BZ21" i="1"/>
  <c r="BZ22" i="1"/>
  <c r="BZ27" i="1"/>
  <c r="BZ130" i="1"/>
  <c r="BZ13" i="1"/>
  <c r="BZ122" i="1"/>
  <c r="BZ90" i="1"/>
  <c r="BZ52" i="1"/>
  <c r="BZ127" i="1"/>
  <c r="BZ133" i="1"/>
  <c r="BZ92" i="1"/>
  <c r="BZ118" i="1"/>
  <c r="BZ24" i="1"/>
  <c r="BZ116" i="1"/>
  <c r="BZ28" i="1"/>
  <c r="BZ124" i="1"/>
  <c r="BZ121" i="1"/>
  <c r="BZ131" i="1"/>
  <c r="BZ120" i="1"/>
  <c r="BZ114" i="1"/>
  <c r="BZ82" i="1"/>
  <c r="BZ115" i="1"/>
  <c r="BZ123" i="1"/>
  <c r="BZ113" i="1"/>
  <c r="BZ51" i="1"/>
  <c r="BZ23" i="1"/>
  <c r="BZ91" i="1"/>
  <c r="BZ11" i="1"/>
  <c r="BZ29" i="1"/>
  <c r="BZ55" i="1"/>
  <c r="BZ20" i="1"/>
  <c r="BZ109" i="1"/>
  <c r="BZ7" i="1"/>
  <c r="BZ128" i="1"/>
  <c r="BZ126" i="1"/>
  <c r="BZ107" i="1"/>
  <c r="BZ14" i="1"/>
  <c r="BZ125" i="1"/>
  <c r="BZ111" i="1"/>
  <c r="BZ119" i="1"/>
  <c r="BZ89" i="1"/>
  <c r="BZ33" i="1"/>
  <c r="BZ278" i="1"/>
  <c r="BZ110" i="1"/>
  <c r="BZ106" i="1"/>
  <c r="BZ289" i="1"/>
  <c r="BZ282" i="1"/>
  <c r="BZ281" i="1"/>
  <c r="BZ286" i="1"/>
  <c r="BZ287" i="1"/>
  <c r="BZ294" i="1"/>
  <c r="BZ292" i="1"/>
  <c r="BZ279" i="1"/>
  <c r="BZ156" i="1"/>
  <c r="BZ280" i="1"/>
  <c r="BZ157" i="1"/>
  <c r="BZ291" i="1"/>
  <c r="BZ283" i="1"/>
  <c r="BZ285" i="1"/>
  <c r="BZ288" i="1"/>
  <c r="BZ290" i="1"/>
  <c r="BZ293" i="1"/>
  <c r="BZ284" i="1"/>
  <c r="BZ161" i="1"/>
  <c r="BZ160" i="1"/>
  <c r="BZ159" i="1"/>
  <c r="BZ158" i="1"/>
  <c r="BZ195" i="1"/>
  <c r="BZ266" i="1"/>
  <c r="BZ224" i="1"/>
  <c r="BZ312" i="1"/>
  <c r="BZ173" i="1"/>
  <c r="BZ258" i="1"/>
  <c r="BZ242" i="1"/>
  <c r="BZ236" i="1"/>
  <c r="BZ234" i="1"/>
  <c r="BZ183" i="1"/>
  <c r="BZ262" i="1"/>
  <c r="BZ308" i="1"/>
  <c r="BZ313" i="1"/>
  <c r="BZ304" i="1"/>
  <c r="BZ177" i="1"/>
  <c r="BZ305" i="1"/>
  <c r="BZ302" i="1"/>
  <c r="BZ235" i="1"/>
  <c r="BZ169" i="1"/>
  <c r="BZ241" i="1"/>
  <c r="BZ252" i="1"/>
  <c r="BZ267" i="1"/>
  <c r="BZ306" i="1"/>
  <c r="BZ303" i="1"/>
  <c r="BZ311" i="1"/>
  <c r="BZ244" i="1"/>
  <c r="BZ233" i="1"/>
  <c r="BZ307" i="1"/>
  <c r="BZ227" i="1"/>
  <c r="BZ261" i="1"/>
  <c r="BZ248" i="1"/>
  <c r="BZ240" i="1"/>
  <c r="BZ230" i="1"/>
  <c r="BZ260" i="1"/>
  <c r="BZ257" i="1"/>
  <c r="BZ270" i="1"/>
  <c r="BZ181" i="1"/>
  <c r="BZ182" i="1"/>
  <c r="BZ247" i="1"/>
  <c r="BZ171" i="1"/>
  <c r="BZ172" i="1"/>
  <c r="BZ255" i="1"/>
  <c r="BZ315" i="1"/>
  <c r="BZ310" i="1"/>
  <c r="BZ309" i="1"/>
  <c r="BZ250" i="1"/>
  <c r="BZ256" i="1"/>
  <c r="BZ265" i="1"/>
  <c r="BZ259" i="1"/>
  <c r="BZ225" i="1"/>
  <c r="BZ254" i="1"/>
  <c r="BZ243" i="1"/>
  <c r="BZ268" i="1"/>
  <c r="BZ231" i="1"/>
  <c r="BZ263" i="1"/>
  <c r="BZ246" i="1"/>
  <c r="BZ251" i="1"/>
  <c r="BZ237" i="1"/>
  <c r="BZ238" i="1"/>
  <c r="BZ239" i="1"/>
  <c r="BZ134" i="1"/>
  <c r="BZ249" i="1"/>
  <c r="BZ269" i="1"/>
  <c r="BZ271" i="1"/>
  <c r="BZ245" i="1"/>
  <c r="BZ253" i="1"/>
  <c r="BZ228" i="1"/>
  <c r="BZ226" i="1"/>
  <c r="BZ232" i="1"/>
  <c r="BZ174" i="1"/>
  <c r="BZ184" i="1"/>
  <c r="BZ176" i="1"/>
  <c r="BZ264" i="1"/>
  <c r="BZ175" i="1"/>
  <c r="BZ229" i="1"/>
  <c r="BZ170" i="1"/>
  <c r="BZ223" i="1"/>
  <c r="BZ54" i="1"/>
  <c r="BZ138" i="1"/>
  <c r="BZ144" i="1"/>
  <c r="BZ137" i="1"/>
  <c r="BZ139" i="1"/>
  <c r="BZ143" i="1"/>
  <c r="BZ135" i="1"/>
  <c r="BZ141" i="1"/>
  <c r="BZ136" i="1"/>
  <c r="BZ140" i="1"/>
  <c r="BZ142" i="1"/>
  <c r="BZ53" i="1"/>
  <c r="BZ178" i="1"/>
  <c r="BZ179" i="1"/>
  <c r="BZ272" i="1"/>
  <c r="BM12" i="1"/>
  <c r="BM97" i="1"/>
  <c r="BM93" i="1"/>
  <c r="BM96" i="1"/>
  <c r="BM95" i="1"/>
  <c r="BM94" i="1"/>
  <c r="BM81" i="1"/>
  <c r="BM99" i="1"/>
  <c r="BM98" i="1"/>
  <c r="BM38" i="1"/>
  <c r="BM47" i="1"/>
  <c r="BM46" i="1"/>
  <c r="BM30" i="1"/>
  <c r="BM274" i="1"/>
  <c r="BM273" i="1"/>
  <c r="BM146" i="1"/>
  <c r="BM145" i="1"/>
  <c r="BM151" i="1"/>
  <c r="BM185" i="1"/>
  <c r="BM189" i="1"/>
  <c r="BM190" i="1"/>
  <c r="BM186" i="1"/>
  <c r="BM193" i="1"/>
  <c r="BM149" i="1"/>
  <c r="BM192" i="1"/>
  <c r="BM191" i="1"/>
  <c r="BM180" i="1"/>
  <c r="BM188" i="1"/>
  <c r="BM148" i="1"/>
  <c r="BM187" i="1"/>
  <c r="BM152" i="1"/>
  <c r="BM147" i="1"/>
  <c r="BM150" i="1"/>
  <c r="BM100" i="1"/>
  <c r="BM75" i="1"/>
  <c r="BM74" i="1"/>
  <c r="BM73" i="1"/>
  <c r="BM79" i="1"/>
  <c r="BM39" i="1"/>
  <c r="BM45" i="1"/>
  <c r="BM49" i="1"/>
  <c r="BM40" i="1"/>
  <c r="BM76" i="1"/>
  <c r="BM77" i="1"/>
  <c r="BM44" i="1"/>
  <c r="BM41" i="1"/>
  <c r="BM43" i="1"/>
  <c r="BM78" i="1"/>
  <c r="BM42" i="1"/>
  <c r="BM48" i="1"/>
  <c r="BM31" i="1"/>
  <c r="BM66" i="1"/>
  <c r="BM103" i="1"/>
  <c r="BM102" i="1"/>
  <c r="BM69" i="1"/>
  <c r="BM61" i="1"/>
  <c r="BM71" i="1"/>
  <c r="BM70" i="1"/>
  <c r="BM72" i="1"/>
  <c r="BM101" i="1"/>
  <c r="BM60" i="1"/>
  <c r="BM59" i="1"/>
  <c r="BM58" i="1"/>
  <c r="BM68" i="1"/>
  <c r="BM276" i="1"/>
  <c r="BM275" i="1"/>
  <c r="BM153" i="1"/>
  <c r="BM154" i="1"/>
  <c r="BM155" i="1"/>
  <c r="BM277" i="1"/>
  <c r="BM194" i="1"/>
  <c r="BM67" i="1"/>
  <c r="BM105" i="1"/>
  <c r="BM62" i="1"/>
  <c r="BM65" i="1"/>
  <c r="BM80" i="1"/>
  <c r="BM63" i="1"/>
  <c r="BM64" i="1"/>
  <c r="BM57" i="1"/>
  <c r="BM36" i="1"/>
  <c r="BM37" i="1"/>
  <c r="BM5" i="1"/>
  <c r="BM3" i="1"/>
  <c r="BM35" i="1"/>
  <c r="BM86" i="1"/>
  <c r="BM10" i="1"/>
  <c r="BM4" i="1"/>
  <c r="BM85" i="1"/>
  <c r="BM9" i="1"/>
  <c r="BM88" i="1"/>
  <c r="BM87" i="1"/>
  <c r="BM84" i="1"/>
  <c r="BM6" i="1"/>
  <c r="BM83" i="1"/>
  <c r="BM32" i="1"/>
  <c r="BM34" i="1"/>
  <c r="BM18" i="1"/>
  <c r="BM8" i="1"/>
  <c r="BM129" i="1"/>
  <c r="BM25" i="1"/>
  <c r="BM117" i="1"/>
  <c r="BM26" i="1"/>
  <c r="BM132" i="1"/>
  <c r="BM15" i="1"/>
  <c r="BM19" i="1"/>
  <c r="BM112" i="1"/>
  <c r="BM108" i="1"/>
  <c r="BM21" i="1"/>
  <c r="BM22" i="1"/>
  <c r="BM27" i="1"/>
  <c r="BM130" i="1"/>
  <c r="BM13" i="1"/>
  <c r="BM122" i="1"/>
  <c r="BM90" i="1"/>
  <c r="BM52" i="1"/>
  <c r="BM127" i="1"/>
  <c r="BM133" i="1"/>
  <c r="BM92" i="1"/>
  <c r="BM118" i="1"/>
  <c r="BM24" i="1"/>
  <c r="BM116" i="1"/>
  <c r="BM28" i="1"/>
  <c r="BM124" i="1"/>
  <c r="BM121" i="1"/>
  <c r="BM131" i="1"/>
  <c r="BM120" i="1"/>
  <c r="BM114" i="1"/>
  <c r="BM82" i="1"/>
  <c r="BM115" i="1"/>
  <c r="BM123" i="1"/>
  <c r="BM113" i="1"/>
  <c r="BM51" i="1"/>
  <c r="BM23" i="1"/>
  <c r="BM91" i="1"/>
  <c r="BM11" i="1"/>
  <c r="BM29" i="1"/>
  <c r="BM55" i="1"/>
  <c r="BM20" i="1"/>
  <c r="BM109" i="1"/>
  <c r="BM7" i="1"/>
  <c r="BM128" i="1"/>
  <c r="BM126" i="1"/>
  <c r="BM107" i="1"/>
  <c r="BM14" i="1"/>
  <c r="BM125" i="1"/>
  <c r="BM111" i="1"/>
  <c r="BM119" i="1"/>
  <c r="BM89" i="1"/>
  <c r="BM33" i="1"/>
  <c r="BM278" i="1"/>
  <c r="BM110" i="1"/>
  <c r="BM106" i="1"/>
  <c r="BM289" i="1"/>
  <c r="BM282" i="1"/>
  <c r="BM281" i="1"/>
  <c r="BM286" i="1"/>
  <c r="BM287" i="1"/>
  <c r="BM294" i="1"/>
  <c r="BM292" i="1"/>
  <c r="BM279" i="1"/>
  <c r="BM156" i="1"/>
  <c r="BM280" i="1"/>
  <c r="BM157" i="1"/>
  <c r="BM291" i="1"/>
  <c r="BM283" i="1"/>
  <c r="BM285" i="1"/>
  <c r="BM288" i="1"/>
  <c r="BM290" i="1"/>
  <c r="BM293" i="1"/>
  <c r="BM284" i="1"/>
  <c r="BM161" i="1"/>
  <c r="BM160" i="1"/>
  <c r="BM159" i="1"/>
  <c r="BM158" i="1"/>
  <c r="BM195" i="1"/>
  <c r="BM266" i="1"/>
  <c r="BM165" i="1"/>
  <c r="BM224" i="1"/>
  <c r="BM203" i="1"/>
  <c r="BM199" i="1"/>
  <c r="BM312" i="1"/>
  <c r="BM173" i="1"/>
  <c r="BM168" i="1"/>
  <c r="BM258" i="1"/>
  <c r="BM222" i="1"/>
  <c r="BM242" i="1"/>
  <c r="BM236" i="1"/>
  <c r="BM234" i="1"/>
  <c r="BM183" i="1"/>
  <c r="BM262" i="1"/>
  <c r="BM308" i="1"/>
  <c r="BM210" i="1"/>
  <c r="BM313" i="1"/>
  <c r="BM304" i="1"/>
  <c r="BM177" i="1"/>
  <c r="BM201" i="1"/>
  <c r="BM305" i="1"/>
  <c r="BM299" i="1"/>
  <c r="BM302" i="1"/>
  <c r="BM296" i="1"/>
  <c r="BM235" i="1"/>
  <c r="BM300" i="1"/>
  <c r="BM169" i="1"/>
  <c r="BM241" i="1"/>
  <c r="BM252" i="1"/>
  <c r="BM267" i="1"/>
  <c r="BM306" i="1"/>
  <c r="BM303" i="1"/>
  <c r="BM311" i="1"/>
  <c r="BM244" i="1"/>
  <c r="BM162" i="1"/>
  <c r="BM298" i="1"/>
  <c r="BM166" i="1"/>
  <c r="BM233" i="1"/>
  <c r="BM307" i="1"/>
  <c r="BM213" i="1"/>
  <c r="BM227" i="1"/>
  <c r="BM204" i="1"/>
  <c r="BM261" i="1"/>
  <c r="BM248" i="1"/>
  <c r="BM240" i="1"/>
  <c r="BM163" i="1"/>
  <c r="BM208" i="1"/>
  <c r="BM295" i="1"/>
  <c r="BM230" i="1"/>
  <c r="BM260" i="1"/>
  <c r="BM257" i="1"/>
  <c r="BM200" i="1"/>
  <c r="BM202" i="1"/>
  <c r="BM270" i="1"/>
  <c r="BM207" i="1"/>
  <c r="BM181" i="1"/>
  <c r="BM182" i="1"/>
  <c r="BM301" i="1"/>
  <c r="BM206" i="1"/>
  <c r="BM205" i="1"/>
  <c r="BM247" i="1"/>
  <c r="BM171" i="1"/>
  <c r="BM172" i="1"/>
  <c r="BM197" i="1"/>
  <c r="BM196" i="1"/>
  <c r="BM255" i="1"/>
  <c r="BM315" i="1"/>
  <c r="BM310" i="1"/>
  <c r="BM297" i="1"/>
  <c r="BM309" i="1"/>
  <c r="BM250" i="1"/>
  <c r="BM256" i="1"/>
  <c r="BM265" i="1"/>
  <c r="BM259" i="1"/>
  <c r="BM225" i="1"/>
  <c r="BM221" i="1"/>
  <c r="BM254" i="1"/>
  <c r="BM216" i="1"/>
  <c r="BM243" i="1"/>
  <c r="BM198" i="1"/>
  <c r="BM268" i="1"/>
  <c r="BM231" i="1"/>
  <c r="BM263" i="1"/>
  <c r="BM246" i="1"/>
  <c r="BM251" i="1"/>
  <c r="BM237" i="1"/>
  <c r="BM238" i="1"/>
  <c r="BM239" i="1"/>
  <c r="BM134" i="1"/>
  <c r="BM249" i="1"/>
  <c r="BM269" i="1"/>
  <c r="BM271" i="1"/>
  <c r="BM245" i="1"/>
  <c r="BM212" i="1"/>
  <c r="BM220" i="1"/>
  <c r="BM253" i="1"/>
  <c r="BM218" i="1"/>
  <c r="BM228" i="1"/>
  <c r="BM167" i="1"/>
  <c r="BM226" i="1"/>
  <c r="BM209" i="1"/>
  <c r="BM232" i="1"/>
  <c r="BM174" i="1"/>
  <c r="BM217" i="1"/>
  <c r="BM184" i="1"/>
  <c r="BM176" i="1"/>
  <c r="BM264" i="1"/>
  <c r="BM175" i="1"/>
  <c r="BM164" i="1"/>
  <c r="BM229" i="1"/>
  <c r="BM214" i="1"/>
  <c r="BM170" i="1"/>
  <c r="BM211" i="1"/>
  <c r="BM215" i="1"/>
  <c r="BM223" i="1"/>
  <c r="BM54" i="1"/>
  <c r="BM138" i="1"/>
  <c r="BM144" i="1"/>
  <c r="BM137" i="1"/>
  <c r="BM139" i="1"/>
  <c r="BM143" i="1"/>
  <c r="BM135" i="1"/>
  <c r="BM141" i="1"/>
  <c r="BM136" i="1"/>
  <c r="BM140" i="1"/>
  <c r="BM142" i="1"/>
  <c r="BM53" i="1"/>
  <c r="BM178" i="1"/>
  <c r="BM179" i="1"/>
  <c r="AZ12" i="1"/>
  <c r="AZ97" i="1"/>
  <c r="AZ93" i="1"/>
  <c r="AZ96" i="1"/>
  <c r="AZ95" i="1"/>
  <c r="AZ94" i="1"/>
  <c r="AZ81" i="1"/>
  <c r="AZ99" i="1"/>
  <c r="AZ98" i="1"/>
  <c r="AZ38" i="1"/>
  <c r="AZ47" i="1"/>
  <c r="AZ46" i="1"/>
  <c r="AZ30" i="1"/>
  <c r="AZ274" i="1"/>
  <c r="AZ273" i="1"/>
  <c r="AZ146" i="1"/>
  <c r="AZ145" i="1"/>
  <c r="AZ151" i="1"/>
  <c r="AZ185" i="1"/>
  <c r="AZ189" i="1"/>
  <c r="AZ190" i="1"/>
  <c r="AZ186" i="1"/>
  <c r="AZ193" i="1"/>
  <c r="AZ149" i="1"/>
  <c r="AZ192" i="1"/>
  <c r="AZ191" i="1"/>
  <c r="AZ180" i="1"/>
  <c r="AZ188" i="1"/>
  <c r="AZ148" i="1"/>
  <c r="AZ187" i="1"/>
  <c r="AZ152" i="1"/>
  <c r="AZ147" i="1"/>
  <c r="AZ150" i="1"/>
  <c r="AZ100" i="1"/>
  <c r="AZ75" i="1"/>
  <c r="AZ74" i="1"/>
  <c r="AZ73" i="1"/>
  <c r="AZ79" i="1"/>
  <c r="AZ39" i="1"/>
  <c r="AZ45" i="1"/>
  <c r="AZ49" i="1"/>
  <c r="AZ40" i="1"/>
  <c r="AZ76" i="1"/>
  <c r="AZ77" i="1"/>
  <c r="AZ44" i="1"/>
  <c r="AZ41" i="1"/>
  <c r="AZ43" i="1"/>
  <c r="AZ78" i="1"/>
  <c r="AZ42" i="1"/>
  <c r="AZ48" i="1"/>
  <c r="AZ31" i="1"/>
  <c r="AZ66" i="1"/>
  <c r="AZ103" i="1"/>
  <c r="AZ102" i="1"/>
  <c r="AZ69" i="1"/>
  <c r="AZ61" i="1"/>
  <c r="AZ71" i="1"/>
  <c r="AZ70" i="1"/>
  <c r="AZ72" i="1"/>
  <c r="AZ101" i="1"/>
  <c r="AZ60" i="1"/>
  <c r="AZ59" i="1"/>
  <c r="AZ58" i="1"/>
  <c r="AZ68" i="1"/>
  <c r="AZ276" i="1"/>
  <c r="AZ275" i="1"/>
  <c r="AZ153" i="1"/>
  <c r="AZ154" i="1"/>
  <c r="AZ155" i="1"/>
  <c r="AZ277" i="1"/>
  <c r="AZ194" i="1"/>
  <c r="AZ67" i="1"/>
  <c r="AZ105" i="1"/>
  <c r="AZ62" i="1"/>
  <c r="AZ65" i="1"/>
  <c r="AZ80" i="1"/>
  <c r="AZ63" i="1"/>
  <c r="AZ64" i="1"/>
  <c r="AZ57" i="1"/>
  <c r="AZ36" i="1"/>
  <c r="AZ37" i="1"/>
  <c r="AZ5" i="1"/>
  <c r="AZ3" i="1"/>
  <c r="AZ35" i="1"/>
  <c r="AZ86" i="1"/>
  <c r="AZ10" i="1"/>
  <c r="AZ4" i="1"/>
  <c r="AZ85" i="1"/>
  <c r="AZ9" i="1"/>
  <c r="AZ88" i="1"/>
  <c r="AZ87" i="1"/>
  <c r="AZ84" i="1"/>
  <c r="AZ6" i="1"/>
  <c r="AZ83" i="1"/>
  <c r="AZ32" i="1"/>
  <c r="AZ34" i="1"/>
  <c r="AZ56" i="1"/>
  <c r="AZ18" i="1"/>
  <c r="AZ8" i="1"/>
  <c r="AZ129" i="1"/>
  <c r="AZ25" i="1"/>
  <c r="AZ16" i="1"/>
  <c r="AZ117" i="1"/>
  <c r="AZ132" i="1"/>
  <c r="AZ112" i="1"/>
  <c r="AZ108" i="1"/>
  <c r="AZ21" i="1"/>
  <c r="AZ22" i="1"/>
  <c r="AZ130" i="1"/>
  <c r="AZ13" i="1"/>
  <c r="AZ122" i="1"/>
  <c r="AZ90" i="1"/>
  <c r="AZ52" i="1"/>
  <c r="AZ127" i="1"/>
  <c r="AZ133" i="1"/>
  <c r="AZ92" i="1"/>
  <c r="AZ118" i="1"/>
  <c r="AZ24" i="1"/>
  <c r="AZ116" i="1"/>
  <c r="AZ124" i="1"/>
  <c r="AZ121" i="1"/>
  <c r="AZ131" i="1"/>
  <c r="AZ120" i="1"/>
  <c r="AZ114" i="1"/>
  <c r="AZ82" i="1"/>
  <c r="AZ115" i="1"/>
  <c r="AZ123" i="1"/>
  <c r="AZ113" i="1"/>
  <c r="AZ51" i="1"/>
  <c r="AZ23" i="1"/>
  <c r="AZ91" i="1"/>
  <c r="AZ11" i="1"/>
  <c r="AZ29" i="1"/>
  <c r="AZ55" i="1"/>
  <c r="AZ20" i="1"/>
  <c r="AZ109" i="1"/>
  <c r="AZ7" i="1"/>
  <c r="AZ128" i="1"/>
  <c r="AZ126" i="1"/>
  <c r="AZ107" i="1"/>
  <c r="AZ14" i="1"/>
  <c r="AZ125" i="1"/>
  <c r="AZ111" i="1"/>
  <c r="AZ119" i="1"/>
  <c r="AZ89" i="1"/>
  <c r="AZ33" i="1"/>
  <c r="AZ278" i="1"/>
  <c r="AZ110" i="1"/>
  <c r="AZ106" i="1"/>
  <c r="AZ289" i="1"/>
  <c r="AZ282" i="1"/>
  <c r="AZ281" i="1"/>
  <c r="AZ286" i="1"/>
  <c r="AZ287" i="1"/>
  <c r="AZ294" i="1"/>
  <c r="AZ292" i="1"/>
  <c r="AZ279" i="1"/>
  <c r="AZ156" i="1"/>
  <c r="AZ280" i="1"/>
  <c r="AZ157" i="1"/>
  <c r="AZ291" i="1"/>
  <c r="AZ283" i="1"/>
  <c r="AZ285" i="1"/>
  <c r="AZ288" i="1"/>
  <c r="AZ290" i="1"/>
  <c r="AZ293" i="1"/>
  <c r="AZ284" i="1"/>
  <c r="AZ161" i="1"/>
  <c r="AZ160" i="1"/>
  <c r="AZ159" i="1"/>
  <c r="AZ158" i="1"/>
  <c r="AZ195" i="1"/>
  <c r="AZ266" i="1"/>
  <c r="AZ165" i="1"/>
  <c r="AZ224" i="1"/>
  <c r="AZ203" i="1"/>
  <c r="AZ199" i="1"/>
  <c r="AZ312" i="1"/>
  <c r="AZ173" i="1"/>
  <c r="AZ168" i="1"/>
  <c r="AZ258" i="1"/>
  <c r="AZ222" i="1"/>
  <c r="AZ242" i="1"/>
  <c r="AZ236" i="1"/>
  <c r="AZ234" i="1"/>
  <c r="AZ183" i="1"/>
  <c r="AZ262" i="1"/>
  <c r="AZ308" i="1"/>
  <c r="AZ210" i="1"/>
  <c r="AZ313" i="1"/>
  <c r="AZ304" i="1"/>
  <c r="AZ177" i="1"/>
  <c r="AZ201" i="1"/>
  <c r="AZ305" i="1"/>
  <c r="AZ299" i="1"/>
  <c r="AZ302" i="1"/>
  <c r="AZ296" i="1"/>
  <c r="AZ235" i="1"/>
  <c r="AZ300" i="1"/>
  <c r="AZ169" i="1"/>
  <c r="AZ241" i="1"/>
  <c r="AZ252" i="1"/>
  <c r="AZ267" i="1"/>
  <c r="AZ306" i="1"/>
  <c r="AZ303" i="1"/>
  <c r="AZ311" i="1"/>
  <c r="AZ244" i="1"/>
  <c r="AZ162" i="1"/>
  <c r="AZ298" i="1"/>
  <c r="AZ166" i="1"/>
  <c r="AZ233" i="1"/>
  <c r="AZ307" i="1"/>
  <c r="AZ213" i="1"/>
  <c r="AZ227" i="1"/>
  <c r="AZ204" i="1"/>
  <c r="AZ261" i="1"/>
  <c r="AZ248" i="1"/>
  <c r="AZ240" i="1"/>
  <c r="AZ163" i="1"/>
  <c r="AZ208" i="1"/>
  <c r="AZ295" i="1"/>
  <c r="AZ230" i="1"/>
  <c r="AZ260" i="1"/>
  <c r="AZ257" i="1"/>
  <c r="AZ200" i="1"/>
  <c r="AZ202" i="1"/>
  <c r="AZ270" i="1"/>
  <c r="AZ207" i="1"/>
  <c r="AZ181" i="1"/>
  <c r="AZ182" i="1"/>
  <c r="AZ301" i="1"/>
  <c r="AZ206" i="1"/>
  <c r="AZ205" i="1"/>
  <c r="AZ247" i="1"/>
  <c r="AZ171" i="1"/>
  <c r="AZ172" i="1"/>
  <c r="AZ197" i="1"/>
  <c r="AZ196" i="1"/>
  <c r="AZ255" i="1"/>
  <c r="AZ315" i="1"/>
  <c r="AZ310" i="1"/>
  <c r="AZ297" i="1"/>
  <c r="AZ309" i="1"/>
  <c r="AZ250" i="1"/>
  <c r="AZ256" i="1"/>
  <c r="AZ265" i="1"/>
  <c r="AZ259" i="1"/>
  <c r="AZ225" i="1"/>
  <c r="AZ221" i="1"/>
  <c r="AZ254" i="1"/>
  <c r="AZ216" i="1"/>
  <c r="AZ243" i="1"/>
  <c r="AZ198" i="1"/>
  <c r="AZ268" i="1"/>
  <c r="AZ231" i="1"/>
  <c r="AZ263" i="1"/>
  <c r="AZ246" i="1"/>
  <c r="AZ251" i="1"/>
  <c r="AZ237" i="1"/>
  <c r="AZ238" i="1"/>
  <c r="AZ239" i="1"/>
  <c r="AZ134" i="1"/>
  <c r="AZ249" i="1"/>
  <c r="AZ269" i="1"/>
  <c r="AZ271" i="1"/>
  <c r="AZ245" i="1"/>
  <c r="AZ212" i="1"/>
  <c r="AZ220" i="1"/>
  <c r="AZ253" i="1"/>
  <c r="AZ218" i="1"/>
  <c r="AZ228" i="1"/>
  <c r="AZ167" i="1"/>
  <c r="AZ226" i="1"/>
  <c r="AZ209" i="1"/>
  <c r="AZ232" i="1"/>
  <c r="AZ174" i="1"/>
  <c r="AZ217" i="1"/>
  <c r="AZ184" i="1"/>
  <c r="AZ176" i="1"/>
  <c r="AZ264" i="1"/>
  <c r="AZ175" i="1"/>
  <c r="AZ164" i="1"/>
  <c r="AZ229" i="1"/>
  <c r="AZ214" i="1"/>
  <c r="AZ170" i="1"/>
  <c r="AZ211" i="1"/>
  <c r="AZ215" i="1"/>
  <c r="AZ223" i="1"/>
  <c r="AZ54" i="1"/>
  <c r="AZ138" i="1"/>
  <c r="AZ144" i="1"/>
  <c r="AZ137" i="1"/>
  <c r="AZ139" i="1"/>
  <c r="AZ143" i="1"/>
  <c r="AZ135" i="1"/>
  <c r="AZ141" i="1"/>
  <c r="AZ136" i="1"/>
  <c r="AZ140" i="1"/>
  <c r="AZ142" i="1"/>
  <c r="AZ53" i="1"/>
  <c r="AZ178" i="1"/>
  <c r="AZ179" i="1"/>
  <c r="AM97" i="1"/>
  <c r="AM93" i="1"/>
  <c r="AM96" i="1"/>
  <c r="AM95" i="1"/>
  <c r="AM94" i="1"/>
  <c r="AM81" i="1"/>
  <c r="AM99" i="1"/>
  <c r="AM98" i="1"/>
  <c r="AM38" i="1"/>
  <c r="AM47" i="1"/>
  <c r="AM46" i="1"/>
  <c r="AM30" i="1"/>
  <c r="AM274" i="1"/>
  <c r="AM273" i="1"/>
  <c r="AM146" i="1"/>
  <c r="AM145" i="1"/>
  <c r="AM151" i="1"/>
  <c r="AM185" i="1"/>
  <c r="AM189" i="1"/>
  <c r="AM190" i="1"/>
  <c r="AM186" i="1"/>
  <c r="AM193" i="1"/>
  <c r="AM149" i="1"/>
  <c r="AM192" i="1"/>
  <c r="AM191" i="1"/>
  <c r="AM180" i="1"/>
  <c r="AM188" i="1"/>
  <c r="AM148" i="1"/>
  <c r="AM187" i="1"/>
  <c r="AM152" i="1"/>
  <c r="AM147" i="1"/>
  <c r="AM150" i="1"/>
  <c r="AM100" i="1"/>
  <c r="AM75" i="1"/>
  <c r="AM74" i="1"/>
  <c r="AM73" i="1"/>
  <c r="AM79" i="1"/>
  <c r="AM39" i="1"/>
  <c r="AM45" i="1"/>
  <c r="AM49" i="1"/>
  <c r="AM40" i="1"/>
  <c r="AM76" i="1"/>
  <c r="AM77" i="1"/>
  <c r="AM44" i="1"/>
  <c r="AM41" i="1"/>
  <c r="AM43" i="1"/>
  <c r="AM78" i="1"/>
  <c r="AM42" i="1"/>
  <c r="AM48" i="1"/>
  <c r="AM31" i="1"/>
  <c r="AM66" i="1"/>
  <c r="AM103" i="1"/>
  <c r="AM102" i="1"/>
  <c r="AM69" i="1"/>
  <c r="AM61" i="1"/>
  <c r="AM71" i="1"/>
  <c r="AM70" i="1"/>
  <c r="AM72" i="1"/>
  <c r="AM101" i="1"/>
  <c r="AM60" i="1"/>
  <c r="AM59" i="1"/>
  <c r="AM58" i="1"/>
  <c r="AM68" i="1"/>
  <c r="AM276" i="1"/>
  <c r="AM275" i="1"/>
  <c r="AM153" i="1"/>
  <c r="AM155" i="1"/>
  <c r="AM277" i="1"/>
  <c r="AM194" i="1"/>
  <c r="AM67" i="1"/>
  <c r="AM105" i="1"/>
  <c r="AM62" i="1"/>
  <c r="AM65" i="1"/>
  <c r="AM63" i="1"/>
  <c r="AM64" i="1"/>
  <c r="AM57" i="1"/>
  <c r="AM36" i="1"/>
  <c r="AM37" i="1"/>
  <c r="AM5" i="1"/>
  <c r="AM3" i="1"/>
  <c r="AM35" i="1"/>
  <c r="AM86" i="1"/>
  <c r="AM10" i="1"/>
  <c r="AM4" i="1"/>
  <c r="AM9" i="1"/>
  <c r="AM88" i="1"/>
  <c r="AM87" i="1"/>
  <c r="AM84" i="1"/>
  <c r="AM6" i="1"/>
  <c r="AM83" i="1"/>
  <c r="AM32" i="1"/>
  <c r="AM34" i="1"/>
  <c r="AM56" i="1"/>
  <c r="AM18" i="1"/>
  <c r="AM129" i="1"/>
  <c r="AM25" i="1"/>
  <c r="AM16" i="1"/>
  <c r="AM117" i="1"/>
  <c r="AM132" i="1"/>
  <c r="AM15" i="1"/>
  <c r="AM19" i="1"/>
  <c r="AM112" i="1"/>
  <c r="AM108" i="1"/>
  <c r="AM21" i="1"/>
  <c r="AM22" i="1"/>
  <c r="AM27" i="1"/>
  <c r="AM130" i="1"/>
  <c r="AM13" i="1"/>
  <c r="AM122" i="1"/>
  <c r="AM52" i="1"/>
  <c r="AM127" i="1"/>
  <c r="AM92" i="1"/>
  <c r="AM118" i="1"/>
  <c r="AM24" i="1"/>
  <c r="AM116" i="1"/>
  <c r="AM124" i="1"/>
  <c r="AM121" i="1"/>
  <c r="AM131" i="1"/>
  <c r="AM120" i="1"/>
  <c r="AM114" i="1"/>
  <c r="AM82" i="1"/>
  <c r="AM115" i="1"/>
  <c r="AM123" i="1"/>
  <c r="AM113" i="1"/>
  <c r="AM51" i="1"/>
  <c r="AM23" i="1"/>
  <c r="AM91" i="1"/>
  <c r="AM11" i="1"/>
  <c r="AM29" i="1"/>
  <c r="AM55" i="1"/>
  <c r="AM20" i="1"/>
  <c r="AM109" i="1"/>
  <c r="AM7" i="1"/>
  <c r="AM128" i="1"/>
  <c r="AM126" i="1"/>
  <c r="AM107" i="1"/>
  <c r="AM14" i="1"/>
  <c r="AM125" i="1"/>
  <c r="AM111" i="1"/>
  <c r="AM119" i="1"/>
  <c r="AM89" i="1"/>
  <c r="AM33" i="1"/>
  <c r="AM278" i="1"/>
  <c r="AM110" i="1"/>
  <c r="AM106" i="1"/>
  <c r="AM289" i="1"/>
  <c r="AM282" i="1"/>
  <c r="AM281" i="1"/>
  <c r="AM286" i="1"/>
  <c r="AM287" i="1"/>
  <c r="AM294" i="1"/>
  <c r="AM292" i="1"/>
  <c r="AM279" i="1"/>
  <c r="AM156" i="1"/>
  <c r="AM280" i="1"/>
  <c r="AM157" i="1"/>
  <c r="AM291" i="1"/>
  <c r="AM283" i="1"/>
  <c r="AM285" i="1"/>
  <c r="AM288" i="1"/>
  <c r="AM290" i="1"/>
  <c r="AM293" i="1"/>
  <c r="AM284" i="1"/>
  <c r="AM161" i="1"/>
  <c r="AM160" i="1"/>
  <c r="AM159" i="1"/>
  <c r="AM158" i="1"/>
  <c r="AM195" i="1"/>
  <c r="AM266" i="1"/>
  <c r="AM165" i="1"/>
  <c r="AM224" i="1"/>
  <c r="AM203" i="1"/>
  <c r="AM199" i="1"/>
  <c r="AM312" i="1"/>
  <c r="AM173" i="1"/>
  <c r="AM168" i="1"/>
  <c r="AM258" i="1"/>
  <c r="AM222" i="1"/>
  <c r="AM242" i="1"/>
  <c r="AM236" i="1"/>
  <c r="AM234" i="1"/>
  <c r="AM183" i="1"/>
  <c r="AM262" i="1"/>
  <c r="AM308" i="1"/>
  <c r="AM210" i="1"/>
  <c r="AM313" i="1"/>
  <c r="AM304" i="1"/>
  <c r="AM177" i="1"/>
  <c r="AM201" i="1"/>
  <c r="AM305" i="1"/>
  <c r="AM299" i="1"/>
  <c r="AM302" i="1"/>
  <c r="AM296" i="1"/>
  <c r="AM235" i="1"/>
  <c r="AM300" i="1"/>
  <c r="AM169" i="1"/>
  <c r="AM241" i="1"/>
  <c r="AM252" i="1"/>
  <c r="AM267" i="1"/>
  <c r="AM306" i="1"/>
  <c r="AM303" i="1"/>
  <c r="AM311" i="1"/>
  <c r="AM244" i="1"/>
  <c r="AM162" i="1"/>
  <c r="AM298" i="1"/>
  <c r="AM166" i="1"/>
  <c r="AM233" i="1"/>
  <c r="AM307" i="1"/>
  <c r="AM213" i="1"/>
  <c r="AM227" i="1"/>
  <c r="AM204" i="1"/>
  <c r="AM261" i="1"/>
  <c r="AM248" i="1"/>
  <c r="AM240" i="1"/>
  <c r="AM163" i="1"/>
  <c r="AM208" i="1"/>
  <c r="AM295" i="1"/>
  <c r="AM230" i="1"/>
  <c r="AM260" i="1"/>
  <c r="AM257" i="1"/>
  <c r="AM200" i="1"/>
  <c r="AM202" i="1"/>
  <c r="AM270" i="1"/>
  <c r="AM207" i="1"/>
  <c r="AM181" i="1"/>
  <c r="AM182" i="1"/>
  <c r="AM301" i="1"/>
  <c r="AM206" i="1"/>
  <c r="AM205" i="1"/>
  <c r="AM247" i="1"/>
  <c r="AM171" i="1"/>
  <c r="AM172" i="1"/>
  <c r="AM197" i="1"/>
  <c r="AM196" i="1"/>
  <c r="AM255" i="1"/>
  <c r="AM315" i="1"/>
  <c r="AM310" i="1"/>
  <c r="AM297" i="1"/>
  <c r="AM309" i="1"/>
  <c r="AM250" i="1"/>
  <c r="AM256" i="1"/>
  <c r="AM265" i="1"/>
  <c r="AM259" i="1"/>
  <c r="AM225" i="1"/>
  <c r="AM221" i="1"/>
  <c r="AM254" i="1"/>
  <c r="AM216" i="1"/>
  <c r="AM243" i="1"/>
  <c r="AM198" i="1"/>
  <c r="AM268" i="1"/>
  <c r="AM231" i="1"/>
  <c r="AM263" i="1"/>
  <c r="AM246" i="1"/>
  <c r="AM251" i="1"/>
  <c r="AM237" i="1"/>
  <c r="AM238" i="1"/>
  <c r="AM239" i="1"/>
  <c r="AM134" i="1"/>
  <c r="AM249" i="1"/>
  <c r="AM269" i="1"/>
  <c r="AM271" i="1"/>
  <c r="AM245" i="1"/>
  <c r="AM212" i="1"/>
  <c r="AM220" i="1"/>
  <c r="AM253" i="1"/>
  <c r="AM218" i="1"/>
  <c r="AM228" i="1"/>
  <c r="AM167" i="1"/>
  <c r="AM226" i="1"/>
  <c r="AM209" i="1"/>
  <c r="AM232" i="1"/>
  <c r="AM174" i="1"/>
  <c r="AM217" i="1"/>
  <c r="AM184" i="1"/>
  <c r="AM176" i="1"/>
  <c r="AM264" i="1"/>
  <c r="AM175" i="1"/>
  <c r="AM164" i="1"/>
  <c r="AM229" i="1"/>
  <c r="AM214" i="1"/>
  <c r="AM170" i="1"/>
  <c r="AM211" i="1"/>
  <c r="AM215" i="1"/>
  <c r="AM223" i="1"/>
  <c r="AM54" i="1"/>
  <c r="AM138" i="1"/>
  <c r="AM144" i="1"/>
  <c r="AM137" i="1"/>
  <c r="AM139" i="1"/>
  <c r="AM143" i="1"/>
  <c r="AM135" i="1"/>
  <c r="AM141" i="1"/>
  <c r="AM136" i="1"/>
  <c r="AM140" i="1"/>
  <c r="AM142" i="1"/>
  <c r="AM53" i="1"/>
  <c r="AM178" i="1"/>
  <c r="AM179" i="1"/>
  <c r="AM272" i="1"/>
  <c r="FL30" i="1"/>
  <c r="FL65" i="1"/>
  <c r="FL64" i="1"/>
  <c r="FL36" i="1"/>
  <c r="FL32" i="1"/>
  <c r="FL34" i="1"/>
  <c r="FL8" i="1"/>
  <c r="FL265" i="1" l="1"/>
  <c r="CH265" i="1"/>
  <c r="FL232" i="1"/>
  <c r="CH232" i="1"/>
  <c r="FL51" i="1"/>
  <c r="CH51" i="1"/>
  <c r="CA36" i="1"/>
  <c r="CA232" i="1"/>
  <c r="CA34" i="1"/>
  <c r="CA64" i="1"/>
  <c r="CA30" i="1"/>
  <c r="CA51" i="1"/>
  <c r="CA265" i="1"/>
  <c r="CA32" i="1"/>
  <c r="CA65" i="1"/>
  <c r="CC69" i="23"/>
  <c r="CC68" i="23"/>
  <c r="CC67" i="23"/>
  <c r="CC66" i="23"/>
  <c r="CC65" i="23"/>
  <c r="CC64" i="23"/>
  <c r="CC63" i="23"/>
  <c r="CC62" i="23"/>
  <c r="CC61" i="23"/>
  <c r="CC60" i="23"/>
  <c r="CC59" i="23"/>
  <c r="CC58" i="23"/>
  <c r="CC57" i="23"/>
  <c r="CC56" i="23"/>
  <c r="CC55" i="23"/>
  <c r="CC54" i="23"/>
  <c r="AO69" i="23"/>
  <c r="AO68" i="23"/>
  <c r="AO67" i="23"/>
  <c r="AO66" i="23"/>
  <c r="AO65" i="23"/>
  <c r="AO64" i="23"/>
  <c r="AO63" i="23"/>
  <c r="AO62" i="23"/>
  <c r="AO61" i="23"/>
  <c r="AO60" i="23"/>
  <c r="AO59" i="23"/>
  <c r="AO58" i="23"/>
  <c r="AO57" i="23"/>
  <c r="AO56" i="23"/>
  <c r="AO55" i="23"/>
  <c r="AO54" i="23"/>
  <c r="AO52" i="23"/>
  <c r="AZ26" i="1" l="1"/>
  <c r="AM26" i="1"/>
  <c r="AY28" i="1" l="1"/>
  <c r="AZ28" i="1" s="1"/>
  <c r="AZ27" i="1"/>
  <c r="AZ19" i="1"/>
  <c r="AX15" i="1"/>
  <c r="AZ15" i="1" s="1"/>
  <c r="FD97" i="1" l="1"/>
  <c r="FD93" i="1"/>
  <c r="FD96" i="1"/>
  <c r="FD95" i="1"/>
  <c r="FD94" i="1"/>
  <c r="FD81" i="1"/>
  <c r="FD99" i="1"/>
  <c r="FD98" i="1"/>
  <c r="FD38" i="1"/>
  <c r="FD47" i="1"/>
  <c r="FD46" i="1"/>
  <c r="FD30" i="1"/>
  <c r="FD274" i="1"/>
  <c r="FD273" i="1"/>
  <c r="FD146" i="1"/>
  <c r="FD145" i="1"/>
  <c r="FD151" i="1"/>
  <c r="FD185" i="1"/>
  <c r="FD189" i="1"/>
  <c r="FD190" i="1"/>
  <c r="FD186" i="1"/>
  <c r="FD193" i="1"/>
  <c r="FD149" i="1"/>
  <c r="FD192" i="1"/>
  <c r="FD191" i="1"/>
  <c r="FD180" i="1"/>
  <c r="FD188" i="1"/>
  <c r="FD148" i="1"/>
  <c r="FD187" i="1"/>
  <c r="FD152" i="1"/>
  <c r="FD147" i="1"/>
  <c r="FD150" i="1"/>
  <c r="FD100" i="1"/>
  <c r="FD75" i="1"/>
  <c r="FD74" i="1"/>
  <c r="FD73" i="1"/>
  <c r="FD79" i="1"/>
  <c r="FD39" i="1"/>
  <c r="FD45" i="1"/>
  <c r="FD49" i="1"/>
  <c r="FD40" i="1"/>
  <c r="FD76" i="1"/>
  <c r="FD77" i="1"/>
  <c r="FD44" i="1"/>
  <c r="FD41" i="1"/>
  <c r="FD43" i="1"/>
  <c r="FD78" i="1"/>
  <c r="FD42" i="1"/>
  <c r="FD48" i="1"/>
  <c r="FD31" i="1"/>
  <c r="FD66" i="1"/>
  <c r="FD103" i="1"/>
  <c r="FD102" i="1"/>
  <c r="FD69" i="1"/>
  <c r="FD61" i="1"/>
  <c r="FD71" i="1"/>
  <c r="FD70" i="1"/>
  <c r="FD72" i="1"/>
  <c r="FD101" i="1"/>
  <c r="FD60" i="1"/>
  <c r="FD59" i="1"/>
  <c r="FD58" i="1"/>
  <c r="FD68" i="1"/>
  <c r="FD276" i="1"/>
  <c r="FD275" i="1"/>
  <c r="FD153" i="1"/>
  <c r="FD154" i="1"/>
  <c r="FD155" i="1"/>
  <c r="FD277" i="1"/>
  <c r="FD194" i="1"/>
  <c r="FD67" i="1"/>
  <c r="FD105" i="1"/>
  <c r="FD62" i="1"/>
  <c r="FD65" i="1"/>
  <c r="FD80" i="1"/>
  <c r="FD63" i="1"/>
  <c r="FD64" i="1"/>
  <c r="FD57" i="1"/>
  <c r="FD36" i="1"/>
  <c r="FD37" i="1"/>
  <c r="FD5" i="1"/>
  <c r="FD3" i="1"/>
  <c r="FD35" i="1"/>
  <c r="FD86" i="1"/>
  <c r="FD10" i="1"/>
  <c r="FD4" i="1"/>
  <c r="FD85" i="1"/>
  <c r="FD9" i="1"/>
  <c r="FD88" i="1"/>
  <c r="FD87" i="1"/>
  <c r="FD84" i="1"/>
  <c r="FD6" i="1"/>
  <c r="FD83" i="1"/>
  <c r="FD32" i="1"/>
  <c r="FD34" i="1"/>
  <c r="FD56" i="1"/>
  <c r="FD18" i="1"/>
  <c r="FD8" i="1"/>
  <c r="FD129" i="1"/>
  <c r="FD25" i="1"/>
  <c r="FD16" i="1"/>
  <c r="FD117" i="1"/>
  <c r="FD26" i="1"/>
  <c r="FD132" i="1"/>
  <c r="FD15" i="1"/>
  <c r="FD19" i="1"/>
  <c r="FD112" i="1"/>
  <c r="FD108" i="1"/>
  <c r="FD21" i="1"/>
  <c r="FD22" i="1"/>
  <c r="FD27" i="1"/>
  <c r="FD130" i="1"/>
  <c r="FD13" i="1"/>
  <c r="FD122" i="1"/>
  <c r="FD90" i="1"/>
  <c r="FD52" i="1"/>
  <c r="FD127" i="1"/>
  <c r="FD133" i="1"/>
  <c r="FD92" i="1"/>
  <c r="FD118" i="1"/>
  <c r="FD24" i="1"/>
  <c r="FD116" i="1"/>
  <c r="FD28" i="1"/>
  <c r="FD124" i="1"/>
  <c r="FD121" i="1"/>
  <c r="FD131" i="1"/>
  <c r="FD120" i="1"/>
  <c r="FD114" i="1"/>
  <c r="FD82" i="1"/>
  <c r="FD115" i="1"/>
  <c r="FD123" i="1"/>
  <c r="FD113" i="1"/>
  <c r="FD51" i="1"/>
  <c r="FD23" i="1"/>
  <c r="FD91" i="1"/>
  <c r="FD11" i="1"/>
  <c r="FD29" i="1"/>
  <c r="FD55" i="1"/>
  <c r="FD20" i="1"/>
  <c r="FD109" i="1"/>
  <c r="FD7" i="1"/>
  <c r="FD128" i="1"/>
  <c r="FD126" i="1"/>
  <c r="FD107" i="1"/>
  <c r="FD14" i="1"/>
  <c r="FD125" i="1"/>
  <c r="FD111" i="1"/>
  <c r="FD119" i="1"/>
  <c r="FD89" i="1"/>
  <c r="FD33" i="1"/>
  <c r="FD278" i="1"/>
  <c r="FD110" i="1"/>
  <c r="FD106" i="1"/>
  <c r="FD289" i="1"/>
  <c r="FD282" i="1"/>
  <c r="FD281" i="1"/>
  <c r="FD286" i="1"/>
  <c r="FD287" i="1"/>
  <c r="FD294" i="1"/>
  <c r="FD292" i="1"/>
  <c r="FD279" i="1"/>
  <c r="FD156" i="1"/>
  <c r="FD280" i="1"/>
  <c r="FD157" i="1"/>
  <c r="FD291" i="1"/>
  <c r="FD283" i="1"/>
  <c r="FD285" i="1"/>
  <c r="FD288" i="1"/>
  <c r="FD290" i="1"/>
  <c r="FD293" i="1"/>
  <c r="FD284" i="1"/>
  <c r="FD161" i="1"/>
  <c r="FD160" i="1"/>
  <c r="FD159" i="1"/>
  <c r="FD158" i="1"/>
  <c r="FD195" i="1"/>
  <c r="FD266" i="1"/>
  <c r="FD165" i="1"/>
  <c r="FD224" i="1"/>
  <c r="FD203" i="1"/>
  <c r="FD199" i="1"/>
  <c r="FD312" i="1"/>
  <c r="FD173" i="1"/>
  <c r="FD168" i="1"/>
  <c r="FD258" i="1"/>
  <c r="FD222" i="1"/>
  <c r="FD242" i="1"/>
  <c r="FD236" i="1"/>
  <c r="FD234" i="1"/>
  <c r="FD183" i="1"/>
  <c r="FD262" i="1"/>
  <c r="FD308" i="1"/>
  <c r="FD210" i="1"/>
  <c r="FD313" i="1"/>
  <c r="FD304" i="1"/>
  <c r="FD177" i="1"/>
  <c r="FD201" i="1"/>
  <c r="FD305" i="1"/>
  <c r="FD299" i="1"/>
  <c r="FD302" i="1"/>
  <c r="FD296" i="1"/>
  <c r="FD235" i="1"/>
  <c r="FD300" i="1"/>
  <c r="FD169" i="1"/>
  <c r="FD241" i="1"/>
  <c r="FD252" i="1"/>
  <c r="FD267" i="1"/>
  <c r="FD306" i="1"/>
  <c r="FD303" i="1"/>
  <c r="FD311" i="1"/>
  <c r="FD244" i="1"/>
  <c r="FD162" i="1"/>
  <c r="FD298" i="1"/>
  <c r="FD166" i="1"/>
  <c r="FD233" i="1"/>
  <c r="FD307" i="1"/>
  <c r="FD213" i="1"/>
  <c r="FD227" i="1"/>
  <c r="FD204" i="1"/>
  <c r="FD261" i="1"/>
  <c r="FD248" i="1"/>
  <c r="FD240" i="1"/>
  <c r="FD163" i="1"/>
  <c r="FD208" i="1"/>
  <c r="FD295" i="1"/>
  <c r="FD230" i="1"/>
  <c r="FD260" i="1"/>
  <c r="FD257" i="1"/>
  <c r="FD200" i="1"/>
  <c r="FD202" i="1"/>
  <c r="FD270" i="1"/>
  <c r="FD207" i="1"/>
  <c r="FD181" i="1"/>
  <c r="FD182" i="1"/>
  <c r="FD301" i="1"/>
  <c r="FD206" i="1"/>
  <c r="FD205" i="1"/>
  <c r="FD247" i="1"/>
  <c r="FD171" i="1"/>
  <c r="FD172" i="1"/>
  <c r="FD197" i="1"/>
  <c r="FD196" i="1"/>
  <c r="FD255" i="1"/>
  <c r="FD315" i="1"/>
  <c r="FD310" i="1"/>
  <c r="FD297" i="1"/>
  <c r="FD309" i="1"/>
  <c r="FD250" i="1"/>
  <c r="FD256" i="1"/>
  <c r="FD265" i="1"/>
  <c r="FD259" i="1"/>
  <c r="FD225" i="1"/>
  <c r="FD221" i="1"/>
  <c r="FD254" i="1"/>
  <c r="FD216" i="1"/>
  <c r="FD243" i="1"/>
  <c r="FD198" i="1"/>
  <c r="FD268" i="1"/>
  <c r="FD231" i="1"/>
  <c r="FD263" i="1"/>
  <c r="FD246" i="1"/>
  <c r="FD251" i="1"/>
  <c r="FD237" i="1"/>
  <c r="FD238" i="1"/>
  <c r="FD239" i="1"/>
  <c r="FD134" i="1"/>
  <c r="FD249" i="1"/>
  <c r="FD269" i="1"/>
  <c r="FD271" i="1"/>
  <c r="FD245" i="1"/>
  <c r="FD212" i="1"/>
  <c r="FD220" i="1"/>
  <c r="FD253" i="1"/>
  <c r="FD218" i="1"/>
  <c r="FD228" i="1"/>
  <c r="FD167" i="1"/>
  <c r="FD226" i="1"/>
  <c r="FD209" i="1"/>
  <c r="FD232" i="1"/>
  <c r="FD174" i="1"/>
  <c r="FD217" i="1"/>
  <c r="FD184" i="1"/>
  <c r="FD176" i="1"/>
  <c r="FD264" i="1"/>
  <c r="FD175" i="1"/>
  <c r="FD164" i="1"/>
  <c r="FD229" i="1"/>
  <c r="FD214" i="1"/>
  <c r="FD170" i="1"/>
  <c r="FD211" i="1"/>
  <c r="FD215" i="1"/>
  <c r="FD223" i="1"/>
  <c r="FD54" i="1"/>
  <c r="FD138" i="1"/>
  <c r="FD144" i="1"/>
  <c r="FD137" i="1"/>
  <c r="FD139" i="1"/>
  <c r="FD143" i="1"/>
  <c r="FD135" i="1"/>
  <c r="FD141" i="1"/>
  <c r="FD136" i="1"/>
  <c r="FD140" i="1"/>
  <c r="FD142" i="1"/>
  <c r="FD53" i="1"/>
  <c r="FD178" i="1"/>
  <c r="FD179" i="1"/>
  <c r="FD272" i="1"/>
  <c r="AH133" i="1" l="1"/>
  <c r="AM133" i="1" s="1"/>
  <c r="C114" i="22" l="1"/>
  <c r="C113" i="22"/>
  <c r="C105" i="22"/>
  <c r="C104" i="22"/>
  <c r="C87" i="22"/>
  <c r="C88" i="22"/>
  <c r="C89" i="22"/>
  <c r="C90" i="22"/>
  <c r="C91" i="22"/>
  <c r="C86" i="22"/>
  <c r="C74" i="22"/>
  <c r="C75" i="22"/>
  <c r="C76" i="22"/>
  <c r="C77" i="22"/>
  <c r="C78" i="22"/>
  <c r="C73" i="22"/>
  <c r="C56" i="22"/>
  <c r="C57" i="22"/>
  <c r="C58" i="22"/>
  <c r="C59" i="22"/>
  <c r="C60" i="22"/>
  <c r="C55" i="22"/>
  <c r="C43" i="22"/>
  <c r="C44" i="22"/>
  <c r="C45" i="22"/>
  <c r="C46" i="22"/>
  <c r="C47" i="22"/>
  <c r="C42" i="22"/>
  <c r="C25" i="22"/>
  <c r="C26" i="22"/>
  <c r="C27" i="22"/>
  <c r="C28" i="22"/>
  <c r="C29" i="22"/>
  <c r="C24" i="22"/>
  <c r="C12" i="22"/>
  <c r="C13" i="22"/>
  <c r="C14" i="22"/>
  <c r="C15" i="22"/>
  <c r="C16" i="22"/>
  <c r="C11" i="22"/>
  <c r="H138" i="22"/>
  <c r="E138" i="22"/>
  <c r="H111" i="22"/>
  <c r="E111" i="22"/>
  <c r="H102" i="22"/>
  <c r="E102" i="22"/>
  <c r="H84" i="22"/>
  <c r="E84" i="22"/>
  <c r="H71" i="22"/>
  <c r="E71" i="22"/>
  <c r="H53" i="22"/>
  <c r="E53" i="22"/>
  <c r="H40" i="22"/>
  <c r="E40" i="22"/>
  <c r="H22" i="22"/>
  <c r="E22" i="22"/>
  <c r="J27" i="37"/>
  <c r="H27" i="37"/>
  <c r="G27" i="37"/>
  <c r="F27" i="37"/>
  <c r="E27" i="37"/>
  <c r="D27" i="37"/>
  <c r="O26" i="37"/>
  <c r="V26" i="37" s="1"/>
  <c r="N26" i="37"/>
  <c r="U26" i="37" s="1"/>
  <c r="M26" i="37"/>
  <c r="T26" i="37" s="1"/>
  <c r="L26" i="37"/>
  <c r="S26" i="37" s="1"/>
  <c r="K26" i="37"/>
  <c r="R26" i="37" s="1"/>
  <c r="I26" i="37"/>
  <c r="O25" i="37"/>
  <c r="N25" i="37"/>
  <c r="U25" i="37" s="1"/>
  <c r="M25" i="37"/>
  <c r="L25" i="37"/>
  <c r="S25" i="37" s="1"/>
  <c r="K25" i="37"/>
  <c r="R25" i="37" s="1"/>
  <c r="I25" i="37"/>
  <c r="I27" i="37" s="1"/>
  <c r="J24" i="37"/>
  <c r="H24" i="37"/>
  <c r="G24" i="37"/>
  <c r="F24" i="37"/>
  <c r="E24" i="37"/>
  <c r="D24" i="37"/>
  <c r="O23" i="37"/>
  <c r="V23" i="37" s="1"/>
  <c r="N23" i="37"/>
  <c r="U23" i="37" s="1"/>
  <c r="M23" i="37"/>
  <c r="T23" i="37" s="1"/>
  <c r="L23" i="37"/>
  <c r="S23" i="37" s="1"/>
  <c r="K23" i="37"/>
  <c r="R23" i="37" s="1"/>
  <c r="I23" i="37"/>
  <c r="O22" i="37"/>
  <c r="V22" i="37" s="1"/>
  <c r="N22" i="37"/>
  <c r="U22" i="37" s="1"/>
  <c r="M22" i="37"/>
  <c r="T22" i="37" s="1"/>
  <c r="L22" i="37"/>
  <c r="S22" i="37" s="1"/>
  <c r="K22" i="37"/>
  <c r="R22" i="37" s="1"/>
  <c r="I22" i="37"/>
  <c r="O21" i="37"/>
  <c r="V21" i="37" s="1"/>
  <c r="N21" i="37"/>
  <c r="U21" i="37" s="1"/>
  <c r="M21" i="37"/>
  <c r="T21" i="37" s="1"/>
  <c r="L21" i="37"/>
  <c r="S21" i="37" s="1"/>
  <c r="K21" i="37"/>
  <c r="R21" i="37" s="1"/>
  <c r="I21" i="37"/>
  <c r="O20" i="37"/>
  <c r="V20" i="37" s="1"/>
  <c r="N20" i="37"/>
  <c r="U20" i="37" s="1"/>
  <c r="M20" i="37"/>
  <c r="T20" i="37" s="1"/>
  <c r="L20" i="37"/>
  <c r="S20" i="37" s="1"/>
  <c r="K20" i="37"/>
  <c r="R20" i="37" s="1"/>
  <c r="I20" i="37"/>
  <c r="O19" i="37"/>
  <c r="V19" i="37" s="1"/>
  <c r="N19" i="37"/>
  <c r="U19" i="37" s="1"/>
  <c r="M19" i="37"/>
  <c r="T19" i="37" s="1"/>
  <c r="L19" i="37"/>
  <c r="S19" i="37" s="1"/>
  <c r="K19" i="37"/>
  <c r="R19" i="37" s="1"/>
  <c r="I19" i="37"/>
  <c r="O18" i="37"/>
  <c r="N18" i="37"/>
  <c r="M18" i="37"/>
  <c r="L18" i="37"/>
  <c r="S18" i="37" s="1"/>
  <c r="K18" i="37"/>
  <c r="I18" i="37"/>
  <c r="I24" i="37" s="1"/>
  <c r="J17" i="37"/>
  <c r="H17" i="37"/>
  <c r="G17" i="37"/>
  <c r="F17" i="37"/>
  <c r="E17" i="37"/>
  <c r="D17" i="37"/>
  <c r="O16" i="37"/>
  <c r="V16" i="37" s="1"/>
  <c r="N16" i="37"/>
  <c r="U16" i="37" s="1"/>
  <c r="M16" i="37"/>
  <c r="T16" i="37" s="1"/>
  <c r="L16" i="37"/>
  <c r="S16" i="37" s="1"/>
  <c r="K16" i="37"/>
  <c r="R16" i="37" s="1"/>
  <c r="O15" i="37"/>
  <c r="V15" i="37" s="1"/>
  <c r="N15" i="37"/>
  <c r="U15" i="37" s="1"/>
  <c r="M15" i="37"/>
  <c r="T15" i="37" s="1"/>
  <c r="L15" i="37"/>
  <c r="S15" i="37" s="1"/>
  <c r="K15" i="37"/>
  <c r="R15" i="37" s="1"/>
  <c r="O14" i="37"/>
  <c r="V14" i="37" s="1"/>
  <c r="N14" i="37"/>
  <c r="U14" i="37" s="1"/>
  <c r="M14" i="37"/>
  <c r="T14" i="37" s="1"/>
  <c r="L14" i="37"/>
  <c r="S14" i="37" s="1"/>
  <c r="K14" i="37"/>
  <c r="R14" i="37" s="1"/>
  <c r="I14" i="37"/>
  <c r="O13" i="37"/>
  <c r="V13" i="37" s="1"/>
  <c r="N13" i="37"/>
  <c r="U13" i="37" s="1"/>
  <c r="M13" i="37"/>
  <c r="T13" i="37" s="1"/>
  <c r="L13" i="37"/>
  <c r="S13" i="37" s="1"/>
  <c r="K13" i="37"/>
  <c r="R13" i="37" s="1"/>
  <c r="I13" i="37"/>
  <c r="O12" i="37"/>
  <c r="V12" i="37" s="1"/>
  <c r="N12" i="37"/>
  <c r="U12" i="37" s="1"/>
  <c r="M12" i="37"/>
  <c r="T12" i="37" s="1"/>
  <c r="L12" i="37"/>
  <c r="S12" i="37" s="1"/>
  <c r="K12" i="37"/>
  <c r="R12" i="37" s="1"/>
  <c r="I12" i="37"/>
  <c r="O11" i="37"/>
  <c r="N11" i="37"/>
  <c r="M11" i="37"/>
  <c r="L11" i="37"/>
  <c r="S11" i="37" s="1"/>
  <c r="K11" i="37"/>
  <c r="I11" i="37"/>
  <c r="I17" i="37" s="1"/>
  <c r="J10" i="37"/>
  <c r="J28" i="37" s="1"/>
  <c r="H10" i="37"/>
  <c r="H28" i="37" s="1"/>
  <c r="G10" i="37"/>
  <c r="G28" i="37" s="1"/>
  <c r="F10" i="37"/>
  <c r="F28" i="37" s="1"/>
  <c r="E10" i="37"/>
  <c r="E28" i="37" s="1"/>
  <c r="D10" i="37"/>
  <c r="D28" i="37" s="1"/>
  <c r="O9" i="37"/>
  <c r="V9" i="37" s="1"/>
  <c r="N9" i="37"/>
  <c r="U9" i="37" s="1"/>
  <c r="M9" i="37"/>
  <c r="T9" i="37" s="1"/>
  <c r="L9" i="37"/>
  <c r="S9" i="37" s="1"/>
  <c r="K9" i="37"/>
  <c r="R9" i="37" s="1"/>
  <c r="O8" i="37"/>
  <c r="V8" i="37" s="1"/>
  <c r="N8" i="37"/>
  <c r="U8" i="37" s="1"/>
  <c r="M8" i="37"/>
  <c r="T8" i="37" s="1"/>
  <c r="L8" i="37"/>
  <c r="S8" i="37" s="1"/>
  <c r="K8" i="37"/>
  <c r="R8" i="37" s="1"/>
  <c r="O7" i="37"/>
  <c r="V7" i="37" s="1"/>
  <c r="N7" i="37"/>
  <c r="U7" i="37" s="1"/>
  <c r="M7" i="37"/>
  <c r="T7" i="37" s="1"/>
  <c r="L7" i="37"/>
  <c r="S7" i="37" s="1"/>
  <c r="K7" i="37"/>
  <c r="R7" i="37" s="1"/>
  <c r="I7" i="37"/>
  <c r="O6" i="37"/>
  <c r="N6" i="37"/>
  <c r="U6" i="37" s="1"/>
  <c r="M6" i="37"/>
  <c r="T6" i="37" s="1"/>
  <c r="L6" i="37"/>
  <c r="S6" i="37" s="1"/>
  <c r="K6" i="37"/>
  <c r="R6" i="37" s="1"/>
  <c r="I6" i="37"/>
  <c r="O5" i="37"/>
  <c r="V5" i="37" s="1"/>
  <c r="N5" i="37"/>
  <c r="U5" i="37" s="1"/>
  <c r="M5" i="37"/>
  <c r="T5" i="37" s="1"/>
  <c r="L5" i="37"/>
  <c r="K5" i="37"/>
  <c r="R5" i="37" s="1"/>
  <c r="I5" i="37"/>
  <c r="O4" i="37"/>
  <c r="V4" i="37" s="1"/>
  <c r="N4" i="37"/>
  <c r="M4" i="37"/>
  <c r="L4" i="37"/>
  <c r="K4" i="37"/>
  <c r="R4" i="37" s="1"/>
  <c r="I4" i="37"/>
  <c r="I10" i="37" s="1"/>
  <c r="I28" i="37" s="1"/>
  <c r="C17" i="22" l="1"/>
  <c r="C48" i="22"/>
  <c r="C115" i="22"/>
  <c r="C106" i="22"/>
  <c r="C30" i="22"/>
  <c r="C61" i="22"/>
  <c r="N24" i="37"/>
  <c r="U24" i="37" s="1"/>
  <c r="O27" i="37"/>
  <c r="V27" i="37" s="1"/>
  <c r="M17" i="37"/>
  <c r="T17" i="37" s="1"/>
  <c r="M27" i="37"/>
  <c r="T27" i="37" s="1"/>
  <c r="L10" i="37"/>
  <c r="S10" i="37" s="1"/>
  <c r="M10" i="37"/>
  <c r="T10" i="37" s="1"/>
  <c r="S4" i="37"/>
  <c r="P4" i="37"/>
  <c r="W4" i="37" s="1"/>
  <c r="M24" i="37"/>
  <c r="T24" i="37" s="1"/>
  <c r="P20" i="37"/>
  <c r="W20" i="37" s="1"/>
  <c r="L27" i="37"/>
  <c r="S27" i="37" s="1"/>
  <c r="P26" i="37"/>
  <c r="W26" i="37" s="1"/>
  <c r="P5" i="37"/>
  <c r="W5" i="37" s="1"/>
  <c r="O10" i="37"/>
  <c r="V10" i="37" s="1"/>
  <c r="N17" i="37"/>
  <c r="U17" i="37" s="1"/>
  <c r="P12" i="37"/>
  <c r="W12" i="37" s="1"/>
  <c r="K24" i="37"/>
  <c r="R24" i="37" s="1"/>
  <c r="O24" i="37"/>
  <c r="V24" i="37" s="1"/>
  <c r="V25" i="37"/>
  <c r="N10" i="37"/>
  <c r="U10" i="37" s="1"/>
  <c r="K17" i="37"/>
  <c r="R17" i="37" s="1"/>
  <c r="O17" i="37"/>
  <c r="V17" i="37" s="1"/>
  <c r="T18" i="37"/>
  <c r="P25" i="37"/>
  <c r="W25" i="37" s="1"/>
  <c r="C146" i="22"/>
  <c r="C92" i="22"/>
  <c r="C79" i="22"/>
  <c r="P21" i="37"/>
  <c r="W21" i="37" s="1"/>
  <c r="N27" i="37"/>
  <c r="U27" i="37" s="1"/>
  <c r="P6" i="37"/>
  <c r="W6" i="37" s="1"/>
  <c r="T11" i="37"/>
  <c r="P14" i="37"/>
  <c r="W14" i="37" s="1"/>
  <c r="P15" i="37"/>
  <c r="W15" i="37" s="1"/>
  <c r="P16" i="37"/>
  <c r="W16" i="37" s="1"/>
  <c r="P18" i="37"/>
  <c r="W18" i="37" s="1"/>
  <c r="U18" i="37"/>
  <c r="P22" i="37"/>
  <c r="W22" i="37" s="1"/>
  <c r="L24" i="37"/>
  <c r="S24" i="37" s="1"/>
  <c r="T25" i="37"/>
  <c r="K27" i="37"/>
  <c r="K10" i="37"/>
  <c r="P13" i="37"/>
  <c r="W13" i="37" s="1"/>
  <c r="L17" i="37"/>
  <c r="S17" i="37" s="1"/>
  <c r="T4" i="37"/>
  <c r="S5" i="37"/>
  <c r="V6" i="37"/>
  <c r="P7" i="37"/>
  <c r="W7" i="37" s="1"/>
  <c r="P8" i="37"/>
  <c r="W8" i="37" s="1"/>
  <c r="P9" i="37"/>
  <c r="W9" i="37" s="1"/>
  <c r="P11" i="37"/>
  <c r="W11" i="37" s="1"/>
  <c r="U11" i="37"/>
  <c r="R18" i="37"/>
  <c r="V18" i="37"/>
  <c r="P19" i="37"/>
  <c r="W19" i="37" s="1"/>
  <c r="P23" i="37"/>
  <c r="W23" i="37" s="1"/>
  <c r="U4" i="37"/>
  <c r="R11" i="37"/>
  <c r="V11" i="37"/>
  <c r="EX36" i="1"/>
  <c r="EY36" i="1"/>
  <c r="EZ36" i="1"/>
  <c r="FA36" i="1"/>
  <c r="FB36" i="1"/>
  <c r="FC36" i="1"/>
  <c r="FE36" i="1"/>
  <c r="CV36" i="1"/>
  <c r="EV36" i="1"/>
  <c r="EI36" i="1"/>
  <c r="DV36" i="1"/>
  <c r="DI36" i="1"/>
  <c r="CR37" i="1"/>
  <c r="C133" i="22" l="1"/>
  <c r="M28" i="37"/>
  <c r="T28" i="37" s="1"/>
  <c r="O28" i="37"/>
  <c r="V28" i="37" s="1"/>
  <c r="P24" i="37"/>
  <c r="W24" i="37" s="1"/>
  <c r="P17" i="37"/>
  <c r="W17" i="37" s="1"/>
  <c r="L28" i="37"/>
  <c r="S28" i="37" s="1"/>
  <c r="K28" i="37"/>
  <c r="R10" i="37"/>
  <c r="P10" i="37"/>
  <c r="W10" i="37" s="1"/>
  <c r="R27" i="37"/>
  <c r="P27" i="37"/>
  <c r="W27" i="37" s="1"/>
  <c r="N28" i="37"/>
  <c r="U28" i="37" s="1"/>
  <c r="EW36" i="1"/>
  <c r="R28" i="37" l="1"/>
  <c r="P28" i="37"/>
  <c r="W28" i="37" s="1"/>
  <c r="V5" i="36"/>
  <c r="V6" i="36"/>
  <c r="V7" i="36"/>
  <c r="V8" i="36"/>
  <c r="V9" i="36"/>
  <c r="V10" i="36"/>
  <c r="V11" i="36"/>
  <c r="V12" i="36"/>
  <c r="V13" i="36"/>
  <c r="V14" i="36"/>
  <c r="V15" i="36"/>
  <c r="V16" i="36"/>
  <c r="V17" i="36"/>
  <c r="V18" i="36"/>
  <c r="V19" i="36"/>
  <c r="V20" i="36"/>
  <c r="V21" i="36"/>
  <c r="V22" i="36"/>
  <c r="V23" i="36"/>
  <c r="V24" i="36"/>
  <c r="V25" i="36"/>
  <c r="V26" i="36"/>
  <c r="V27" i="36"/>
  <c r="V28" i="36"/>
  <c r="V29" i="36"/>
  <c r="V30" i="36"/>
  <c r="V31" i="36"/>
  <c r="V32" i="36"/>
  <c r="V33" i="36"/>
  <c r="V34" i="36"/>
  <c r="V35" i="36"/>
  <c r="V36" i="36"/>
  <c r="V37" i="36"/>
  <c r="V38" i="36"/>
  <c r="V39" i="36"/>
  <c r="V40" i="36"/>
  <c r="V41" i="36"/>
  <c r="V42" i="36"/>
  <c r="V43" i="36"/>
  <c r="V44" i="36"/>
  <c r="V45" i="36"/>
  <c r="V46" i="36"/>
  <c r="V47" i="36"/>
  <c r="V48" i="36"/>
  <c r="V49" i="36"/>
  <c r="V50" i="36"/>
  <c r="V51" i="36"/>
  <c r="V52" i="36"/>
  <c r="V53" i="36"/>
  <c r="V54" i="36"/>
  <c r="V55" i="36"/>
  <c r="V56" i="36"/>
  <c r="V57" i="36"/>
  <c r="V58" i="36"/>
  <c r="V59" i="36"/>
  <c r="V60" i="36"/>
  <c r="V61" i="36"/>
  <c r="V62" i="36"/>
  <c r="V63" i="36"/>
  <c r="V64" i="36"/>
  <c r="V65" i="36"/>
  <c r="V66" i="36"/>
  <c r="V67" i="36"/>
  <c r="V68" i="36"/>
  <c r="V69" i="36"/>
  <c r="V70" i="36"/>
  <c r="V71" i="36"/>
  <c r="V72" i="36"/>
  <c r="V73" i="36"/>
  <c r="V74" i="36"/>
  <c r="V75" i="36"/>
  <c r="V76" i="36"/>
  <c r="V77" i="36"/>
  <c r="V78" i="36"/>
  <c r="V79" i="36"/>
  <c r="V80" i="36"/>
  <c r="V81" i="36"/>
  <c r="V82" i="36"/>
  <c r="V83" i="36"/>
  <c r="V84" i="36"/>
  <c r="V85" i="36"/>
  <c r="V86" i="36"/>
  <c r="V87" i="36"/>
  <c r="V88" i="36"/>
  <c r="V89" i="36"/>
  <c r="V90" i="36"/>
  <c r="V91" i="36"/>
  <c r="V92" i="36"/>
  <c r="V93" i="36"/>
  <c r="V94" i="36"/>
  <c r="V95" i="36"/>
  <c r="V96" i="36"/>
  <c r="V97" i="36"/>
  <c r="V98" i="36"/>
  <c r="V99" i="36"/>
  <c r="V100" i="36"/>
  <c r="V101" i="36"/>
  <c r="V102" i="36"/>
  <c r="V103" i="36"/>
  <c r="V104" i="36"/>
  <c r="V105" i="36"/>
  <c r="V106" i="36"/>
  <c r="V107" i="36"/>
  <c r="V108" i="36"/>
  <c r="V109" i="36"/>
  <c r="V110" i="36"/>
  <c r="V111" i="36"/>
  <c r="V112" i="36"/>
  <c r="V113" i="36"/>
  <c r="V114" i="36"/>
  <c r="V115" i="36"/>
  <c r="V116" i="36"/>
  <c r="V117" i="36"/>
  <c r="V118" i="36"/>
  <c r="V119" i="36"/>
  <c r="V120" i="36"/>
  <c r="V121" i="36"/>
  <c r="V122" i="36"/>
  <c r="V123" i="36"/>
  <c r="V124" i="36"/>
  <c r="V125" i="36"/>
  <c r="V126" i="36"/>
  <c r="V127" i="36"/>
  <c r="V128" i="36"/>
  <c r="V129" i="36"/>
  <c r="V130" i="36"/>
  <c r="V131" i="36"/>
  <c r="V132" i="36"/>
  <c r="V133" i="36"/>
  <c r="V134" i="36"/>
  <c r="V135" i="36"/>
  <c r="V136" i="36"/>
  <c r="V137" i="36"/>
  <c r="V138" i="36"/>
  <c r="V139" i="36"/>
  <c r="V140" i="36"/>
  <c r="V141" i="36"/>
  <c r="V142" i="36"/>
  <c r="V143" i="36"/>
  <c r="V144" i="36"/>
  <c r="V145" i="36"/>
  <c r="V146" i="36"/>
  <c r="V147" i="36"/>
  <c r="V148" i="36"/>
  <c r="V149" i="36"/>
  <c r="V150" i="36"/>
  <c r="V151" i="36"/>
  <c r="V152" i="36"/>
  <c r="V153" i="36"/>
  <c r="V154" i="36"/>
  <c r="V155" i="36"/>
  <c r="V156" i="36"/>
  <c r="V157" i="36"/>
  <c r="V158" i="36"/>
  <c r="V159" i="36"/>
  <c r="V160" i="36"/>
  <c r="V161" i="36"/>
  <c r="V162" i="36"/>
  <c r="V163" i="36"/>
  <c r="V164" i="36"/>
  <c r="V165" i="36"/>
  <c r="V166" i="36"/>
  <c r="V167" i="36"/>
  <c r="V168" i="36"/>
  <c r="V169" i="36"/>
  <c r="V170" i="36"/>
  <c r="V171" i="36"/>
  <c r="V172" i="36"/>
  <c r="V173" i="36"/>
  <c r="V174" i="36"/>
  <c r="V175" i="36"/>
  <c r="V176" i="36"/>
  <c r="V177" i="36"/>
  <c r="V178" i="36"/>
  <c r="V179" i="36"/>
  <c r="V180" i="36"/>
  <c r="V181" i="36"/>
  <c r="V182" i="36"/>
  <c r="V183" i="36"/>
  <c r="V184" i="36"/>
  <c r="V185" i="36"/>
  <c r="V186" i="36"/>
  <c r="V187" i="36"/>
  <c r="V188" i="36"/>
  <c r="V189" i="36"/>
  <c r="V190" i="36"/>
  <c r="V191" i="36"/>
  <c r="V192" i="36"/>
  <c r="V193" i="36"/>
  <c r="V194" i="36"/>
  <c r="V195" i="36"/>
  <c r="V196" i="36"/>
  <c r="V197" i="36"/>
  <c r="V198" i="36"/>
  <c r="V199" i="36"/>
  <c r="V200" i="36"/>
  <c r="V201" i="36"/>
  <c r="V202" i="36"/>
  <c r="V203" i="36"/>
  <c r="V204" i="36"/>
  <c r="V205" i="36"/>
  <c r="V206" i="36"/>
  <c r="V207" i="36"/>
  <c r="V208" i="36"/>
  <c r="V209" i="36"/>
  <c r="V210" i="36"/>
  <c r="V211" i="36"/>
  <c r="V212" i="36"/>
  <c r="V213" i="36"/>
  <c r="V214" i="36"/>
  <c r="V215" i="36"/>
  <c r="V216" i="36"/>
  <c r="V217" i="36"/>
  <c r="V218" i="36"/>
  <c r="V219" i="36"/>
  <c r="V220" i="36"/>
  <c r="V221" i="36"/>
  <c r="V222" i="36"/>
  <c r="V223" i="36"/>
  <c r="V224" i="36"/>
  <c r="V4" i="36"/>
  <c r="G14" i="22" l="1"/>
  <c r="G27" i="22"/>
  <c r="G77" i="22"/>
  <c r="G90" i="22"/>
  <c r="G86" i="22"/>
  <c r="G73" i="22"/>
  <c r="G114" i="22"/>
  <c r="G105" i="22"/>
  <c r="G113" i="22"/>
  <c r="G104" i="22"/>
  <c r="G55" i="22"/>
  <c r="G42" i="22"/>
  <c r="G15" i="22"/>
  <c r="G28" i="22"/>
  <c r="G88" i="22"/>
  <c r="G75" i="22"/>
  <c r="G87" i="22"/>
  <c r="G74" i="22"/>
  <c r="G57" i="22"/>
  <c r="G44" i="22"/>
  <c r="G25" i="22"/>
  <c r="G12" i="22"/>
  <c r="G59" i="22"/>
  <c r="G46" i="22"/>
  <c r="G45" i="22"/>
  <c r="G58" i="22"/>
  <c r="G56" i="22"/>
  <c r="G43" i="22"/>
  <c r="G24" i="22"/>
  <c r="G11" i="22"/>
  <c r="G60" i="22"/>
  <c r="G47" i="22"/>
  <c r="G29" i="22"/>
  <c r="G16" i="22"/>
  <c r="G26" i="22"/>
  <c r="G13" i="22"/>
  <c r="G91" i="22"/>
  <c r="G78" i="22"/>
  <c r="G76" i="22"/>
  <c r="G89" i="22"/>
  <c r="FE97" i="1"/>
  <c r="FE93" i="1"/>
  <c r="FE96" i="1"/>
  <c r="FE95" i="1"/>
  <c r="FE94" i="1"/>
  <c r="FE81" i="1"/>
  <c r="FE99" i="1"/>
  <c r="FE98" i="1"/>
  <c r="FE38" i="1"/>
  <c r="FE47" i="1"/>
  <c r="FE46" i="1"/>
  <c r="FE30" i="1"/>
  <c r="FE274" i="1"/>
  <c r="FE273" i="1"/>
  <c r="FE146" i="1"/>
  <c r="FE145" i="1"/>
  <c r="FE151" i="1"/>
  <c r="FE185" i="1"/>
  <c r="FE189" i="1"/>
  <c r="FE190" i="1"/>
  <c r="FE186" i="1"/>
  <c r="FE193" i="1"/>
  <c r="FE149" i="1"/>
  <c r="FE192" i="1"/>
  <c r="FE191" i="1"/>
  <c r="FE180" i="1"/>
  <c r="FE188" i="1"/>
  <c r="FE148" i="1"/>
  <c r="FE187" i="1"/>
  <c r="FE152" i="1"/>
  <c r="FE147" i="1"/>
  <c r="FE150" i="1"/>
  <c r="FE100" i="1"/>
  <c r="E14" i="41" s="1"/>
  <c r="FE75" i="1"/>
  <c r="FE74" i="1"/>
  <c r="FE73" i="1"/>
  <c r="FE79" i="1"/>
  <c r="FE39" i="1"/>
  <c r="FE45" i="1"/>
  <c r="FE49" i="1"/>
  <c r="FE40" i="1"/>
  <c r="FE76" i="1"/>
  <c r="FE77" i="1"/>
  <c r="FE44" i="1"/>
  <c r="FE41" i="1"/>
  <c r="FE43" i="1"/>
  <c r="FE78" i="1"/>
  <c r="FE42" i="1"/>
  <c r="FE48" i="1"/>
  <c r="FE31" i="1"/>
  <c r="FE66" i="1"/>
  <c r="FE103" i="1"/>
  <c r="FE102" i="1"/>
  <c r="FE69" i="1"/>
  <c r="FE61" i="1"/>
  <c r="FE71" i="1"/>
  <c r="FE70" i="1"/>
  <c r="FE72" i="1"/>
  <c r="FE101" i="1"/>
  <c r="FE60" i="1"/>
  <c r="FE59" i="1"/>
  <c r="FE58" i="1"/>
  <c r="FE68" i="1"/>
  <c r="FE276" i="1"/>
  <c r="FE275" i="1"/>
  <c r="FE153" i="1"/>
  <c r="FE154" i="1"/>
  <c r="FE155" i="1"/>
  <c r="E18" i="41" s="1"/>
  <c r="FE277" i="1"/>
  <c r="FE194" i="1"/>
  <c r="FE67" i="1"/>
  <c r="FE105" i="1"/>
  <c r="FE62" i="1"/>
  <c r="FE65" i="1"/>
  <c r="FE80" i="1"/>
  <c r="FE63" i="1"/>
  <c r="FE64" i="1"/>
  <c r="FE57" i="1"/>
  <c r="FE37" i="1"/>
  <c r="FE5" i="1"/>
  <c r="FE3" i="1"/>
  <c r="FE35" i="1"/>
  <c r="FE86" i="1"/>
  <c r="FE10" i="1"/>
  <c r="FE4" i="1"/>
  <c r="FE85" i="1"/>
  <c r="FE9" i="1"/>
  <c r="FE88" i="1"/>
  <c r="FE87" i="1"/>
  <c r="FE84" i="1"/>
  <c r="FE6" i="1"/>
  <c r="FE83" i="1"/>
  <c r="FE32" i="1"/>
  <c r="FE34" i="1"/>
  <c r="FE56" i="1"/>
  <c r="FE18" i="1"/>
  <c r="FE8" i="1"/>
  <c r="FE129" i="1"/>
  <c r="FE25" i="1"/>
  <c r="FE16" i="1"/>
  <c r="FE117" i="1"/>
  <c r="FE26" i="1"/>
  <c r="FE132" i="1"/>
  <c r="FE15" i="1"/>
  <c r="FE19" i="1"/>
  <c r="FE112" i="1"/>
  <c r="FE108" i="1"/>
  <c r="FE21" i="1"/>
  <c r="FE22" i="1"/>
  <c r="FE27" i="1"/>
  <c r="FE130" i="1"/>
  <c r="FE13" i="1"/>
  <c r="FE122" i="1"/>
  <c r="FE90" i="1"/>
  <c r="FE52" i="1"/>
  <c r="FE127" i="1"/>
  <c r="FE133" i="1"/>
  <c r="FE92" i="1"/>
  <c r="FE118" i="1"/>
  <c r="FE24" i="1"/>
  <c r="FE116" i="1"/>
  <c r="FE28" i="1"/>
  <c r="FE124" i="1"/>
  <c r="FE121" i="1"/>
  <c r="FE131" i="1"/>
  <c r="FE120" i="1"/>
  <c r="FE114" i="1"/>
  <c r="FE82" i="1"/>
  <c r="FE115" i="1"/>
  <c r="FE123" i="1"/>
  <c r="FE113" i="1"/>
  <c r="FE51" i="1"/>
  <c r="CG51" i="1" s="1"/>
  <c r="FE23" i="1"/>
  <c r="FE91" i="1"/>
  <c r="FE11" i="1"/>
  <c r="FE29" i="1"/>
  <c r="FE55" i="1"/>
  <c r="FE20" i="1"/>
  <c r="FE109" i="1"/>
  <c r="FE7" i="1"/>
  <c r="FE128" i="1"/>
  <c r="FE126" i="1"/>
  <c r="FE107" i="1"/>
  <c r="FE14" i="1"/>
  <c r="FE125" i="1"/>
  <c r="FE111" i="1"/>
  <c r="FE119" i="1"/>
  <c r="FE89" i="1"/>
  <c r="FE33" i="1"/>
  <c r="FE278" i="1"/>
  <c r="FE110" i="1"/>
  <c r="FE106" i="1"/>
  <c r="FE289" i="1"/>
  <c r="FE282" i="1"/>
  <c r="FE281" i="1"/>
  <c r="FE286" i="1"/>
  <c r="FE287" i="1"/>
  <c r="FE294" i="1"/>
  <c r="FE292" i="1"/>
  <c r="FE279" i="1"/>
  <c r="FE156" i="1"/>
  <c r="FE280" i="1"/>
  <c r="FE157" i="1"/>
  <c r="FE291" i="1"/>
  <c r="FE283" i="1"/>
  <c r="FE285" i="1"/>
  <c r="FE288" i="1"/>
  <c r="FE290" i="1"/>
  <c r="FE293" i="1"/>
  <c r="FE284" i="1"/>
  <c r="FE161" i="1"/>
  <c r="FE160" i="1"/>
  <c r="FE159" i="1"/>
  <c r="FE158" i="1"/>
  <c r="FE195" i="1"/>
  <c r="FE266" i="1"/>
  <c r="FE165" i="1"/>
  <c r="FE224" i="1"/>
  <c r="FE203" i="1"/>
  <c r="FE199" i="1"/>
  <c r="FE312" i="1"/>
  <c r="FE173" i="1"/>
  <c r="FE168" i="1"/>
  <c r="FE258" i="1"/>
  <c r="FE222" i="1"/>
  <c r="FE242" i="1"/>
  <c r="FE236" i="1"/>
  <c r="FE234" i="1"/>
  <c r="FE183" i="1"/>
  <c r="FE262" i="1"/>
  <c r="FE308" i="1"/>
  <c r="FE210" i="1"/>
  <c r="FE313" i="1"/>
  <c r="FE304" i="1"/>
  <c r="FE177" i="1"/>
  <c r="FE201" i="1"/>
  <c r="FE305" i="1"/>
  <c r="FE299" i="1"/>
  <c r="FE302" i="1"/>
  <c r="FE296" i="1"/>
  <c r="FE235" i="1"/>
  <c r="FE300" i="1"/>
  <c r="FE169" i="1"/>
  <c r="FE241" i="1"/>
  <c r="FE252" i="1"/>
  <c r="FE267" i="1"/>
  <c r="FE306" i="1"/>
  <c r="FE303" i="1"/>
  <c r="FE311" i="1"/>
  <c r="FE244" i="1"/>
  <c r="FE162" i="1"/>
  <c r="FE298" i="1"/>
  <c r="FE166" i="1"/>
  <c r="FE233" i="1"/>
  <c r="FE307" i="1"/>
  <c r="FE213" i="1"/>
  <c r="FE227" i="1"/>
  <c r="FE204" i="1"/>
  <c r="FE261" i="1"/>
  <c r="FE248" i="1"/>
  <c r="FE240" i="1"/>
  <c r="FE163" i="1"/>
  <c r="FE208" i="1"/>
  <c r="FE295" i="1"/>
  <c r="FE230" i="1"/>
  <c r="FE260" i="1"/>
  <c r="FE257" i="1"/>
  <c r="FE200" i="1"/>
  <c r="FE202" i="1"/>
  <c r="FE270" i="1"/>
  <c r="FE207" i="1"/>
  <c r="FE181" i="1"/>
  <c r="FE182" i="1"/>
  <c r="FE301" i="1"/>
  <c r="FE206" i="1"/>
  <c r="FE205" i="1"/>
  <c r="FE247" i="1"/>
  <c r="FE171" i="1"/>
  <c r="FE172" i="1"/>
  <c r="FE197" i="1"/>
  <c r="FE196" i="1"/>
  <c r="FE255" i="1"/>
  <c r="FE315" i="1"/>
  <c r="FE310" i="1"/>
  <c r="FE297" i="1"/>
  <c r="FE309" i="1"/>
  <c r="FE250" i="1"/>
  <c r="FE256" i="1"/>
  <c r="FE265" i="1"/>
  <c r="FE259" i="1"/>
  <c r="FE225" i="1"/>
  <c r="FE221" i="1"/>
  <c r="FE254" i="1"/>
  <c r="FE216" i="1"/>
  <c r="FE243" i="1"/>
  <c r="FE198" i="1"/>
  <c r="FE268" i="1"/>
  <c r="FE231" i="1"/>
  <c r="FE263" i="1"/>
  <c r="FE246" i="1"/>
  <c r="FE251" i="1"/>
  <c r="FE237" i="1"/>
  <c r="FE238" i="1"/>
  <c r="FE239" i="1"/>
  <c r="FE134" i="1"/>
  <c r="FE249" i="1"/>
  <c r="FE269" i="1"/>
  <c r="FE271" i="1"/>
  <c r="FE245" i="1"/>
  <c r="FE212" i="1"/>
  <c r="FE220" i="1"/>
  <c r="FE253" i="1"/>
  <c r="FE218" i="1"/>
  <c r="FE228" i="1"/>
  <c r="FE167" i="1"/>
  <c r="FE226" i="1"/>
  <c r="FE209" i="1"/>
  <c r="FE232" i="1"/>
  <c r="CG232" i="1" s="1"/>
  <c r="FE174" i="1"/>
  <c r="FE217" i="1"/>
  <c r="FE184" i="1"/>
  <c r="FE176" i="1"/>
  <c r="FE264" i="1"/>
  <c r="FE175" i="1"/>
  <c r="FE164" i="1"/>
  <c r="FE229" i="1"/>
  <c r="FE214" i="1"/>
  <c r="FE170" i="1"/>
  <c r="FE211" i="1"/>
  <c r="FE215" i="1"/>
  <c r="FE223" i="1"/>
  <c r="FE54" i="1"/>
  <c r="FE138" i="1"/>
  <c r="FE144" i="1"/>
  <c r="FE137" i="1"/>
  <c r="FE139" i="1"/>
  <c r="FE143" i="1"/>
  <c r="FE135" i="1"/>
  <c r="FE141" i="1"/>
  <c r="FE136" i="1"/>
  <c r="FE140" i="1"/>
  <c r="FE142" i="1"/>
  <c r="FE53" i="1"/>
  <c r="FE178" i="1"/>
  <c r="E28" i="41" s="1"/>
  <c r="FE179" i="1"/>
  <c r="FE272" i="1"/>
  <c r="FE12" i="1"/>
  <c r="V224" i="34"/>
  <c r="V204" i="34"/>
  <c r="V205" i="34"/>
  <c r="V206" i="34"/>
  <c r="V207" i="34"/>
  <c r="V208" i="34"/>
  <c r="V209" i="34"/>
  <c r="V210" i="34"/>
  <c r="V211" i="34"/>
  <c r="V212" i="34"/>
  <c r="V213" i="34"/>
  <c r="V214" i="34"/>
  <c r="V215" i="34"/>
  <c r="V216" i="34"/>
  <c r="V217" i="34"/>
  <c r="V218" i="34"/>
  <c r="V219" i="34"/>
  <c r="V220" i="34"/>
  <c r="V221" i="34"/>
  <c r="V222" i="34"/>
  <c r="V223" i="34"/>
  <c r="E225" i="34"/>
  <c r="F225" i="34"/>
  <c r="G225" i="34"/>
  <c r="H225" i="34"/>
  <c r="I225" i="34"/>
  <c r="J225" i="34"/>
  <c r="K225" i="34"/>
  <c r="L225" i="34"/>
  <c r="M225" i="34"/>
  <c r="N225" i="34"/>
  <c r="O225" i="34"/>
  <c r="P225" i="34"/>
  <c r="Q225" i="34"/>
  <c r="R225" i="34"/>
  <c r="S225" i="34"/>
  <c r="T225" i="34"/>
  <c r="U225" i="34"/>
  <c r="D225" i="34"/>
  <c r="G142" i="22" l="1"/>
  <c r="G129" i="22"/>
  <c r="G128" i="22"/>
  <c r="G132" i="22"/>
  <c r="G144" i="22"/>
  <c r="G143" i="22"/>
  <c r="G145" i="22"/>
  <c r="G140" i="22"/>
  <c r="G141" i="22"/>
  <c r="G131" i="22"/>
  <c r="G130" i="22"/>
  <c r="G127" i="22"/>
  <c r="E12" i="41"/>
  <c r="E29" i="41"/>
  <c r="H29" i="41" s="1"/>
  <c r="I29" i="41" s="1"/>
  <c r="E19" i="41"/>
  <c r="F19" i="41" s="1"/>
  <c r="E17" i="41"/>
  <c r="H17" i="41" s="1"/>
  <c r="I17" i="41" s="1"/>
  <c r="E15" i="41"/>
  <c r="F14" i="41"/>
  <c r="H14" i="41"/>
  <c r="I14" i="41" s="1"/>
  <c r="E21" i="41"/>
  <c r="F28" i="41"/>
  <c r="H28" i="41"/>
  <c r="I28" i="41" s="1"/>
  <c r="E24" i="41"/>
  <c r="FL106" i="1"/>
  <c r="E23" i="41"/>
  <c r="E22" i="41"/>
  <c r="F18" i="41"/>
  <c r="H18" i="41"/>
  <c r="I18" i="41" s="1"/>
  <c r="F12" i="41"/>
  <c r="E26" i="41"/>
  <c r="E20" i="41"/>
  <c r="E16" i="41"/>
  <c r="E10" i="41"/>
  <c r="E27" i="41"/>
  <c r="E25" i="41"/>
  <c r="E13" i="41"/>
  <c r="E11" i="41"/>
  <c r="CH33" i="1"/>
  <c r="E60" i="41" l="1"/>
  <c r="H60" i="41" s="1"/>
  <c r="E64" i="41"/>
  <c r="F64" i="41" s="1"/>
  <c r="E61" i="41"/>
  <c r="F61" i="41" s="1"/>
  <c r="H15" i="41"/>
  <c r="I15" i="41" s="1"/>
  <c r="E65" i="41"/>
  <c r="H12" i="41"/>
  <c r="I12" i="41" s="1"/>
  <c r="E62" i="41"/>
  <c r="E63" i="41"/>
  <c r="H19" i="41"/>
  <c r="I19" i="41" s="1"/>
  <c r="F29" i="41"/>
  <c r="F15" i="41"/>
  <c r="F17" i="41"/>
  <c r="CA106" i="1"/>
  <c r="F13" i="41"/>
  <c r="H13" i="41"/>
  <c r="I13" i="41" s="1"/>
  <c r="F16" i="41"/>
  <c r="H16" i="41"/>
  <c r="I16" i="41" s="1"/>
  <c r="H23" i="41"/>
  <c r="I23" i="41" s="1"/>
  <c r="F23" i="41"/>
  <c r="H25" i="41"/>
  <c r="I25" i="41" s="1"/>
  <c r="F25" i="41"/>
  <c r="F20" i="41"/>
  <c r="H20" i="41"/>
  <c r="I20" i="41" s="1"/>
  <c r="F21" i="41"/>
  <c r="H21" i="41"/>
  <c r="I21" i="41" s="1"/>
  <c r="F26" i="41"/>
  <c r="H26" i="41"/>
  <c r="I26" i="41" s="1"/>
  <c r="F24" i="41"/>
  <c r="H24" i="41"/>
  <c r="I24" i="41" s="1"/>
  <c r="F27" i="41"/>
  <c r="H27" i="41"/>
  <c r="I27" i="41" s="1"/>
  <c r="F11" i="41"/>
  <c r="H11" i="41"/>
  <c r="I11" i="41" s="1"/>
  <c r="F10" i="41"/>
  <c r="E30" i="41"/>
  <c r="F30" i="41" s="1"/>
  <c r="H10" i="41"/>
  <c r="F22" i="41"/>
  <c r="H22" i="41"/>
  <c r="I22" i="41" s="1"/>
  <c r="CA33" i="1"/>
  <c r="FL33" i="1"/>
  <c r="AL28" i="1"/>
  <c r="AM28" i="1" s="1"/>
  <c r="F60" i="41" l="1"/>
  <c r="H64" i="41"/>
  <c r="I64" i="41" s="1"/>
  <c r="H61" i="41"/>
  <c r="I61" i="41" s="1"/>
  <c r="F63" i="41"/>
  <c r="H63" i="41"/>
  <c r="I63" i="41" s="1"/>
  <c r="H62" i="41"/>
  <c r="I62" i="41" s="1"/>
  <c r="F62" i="41"/>
  <c r="E66" i="41"/>
  <c r="F66" i="41" s="1"/>
  <c r="F65" i="41"/>
  <c r="H65" i="41"/>
  <c r="I65" i="41" s="1"/>
  <c r="I60" i="41"/>
  <c r="I10" i="41"/>
  <c r="H30" i="41"/>
  <c r="I30" i="41" s="1"/>
  <c r="AM8" i="1"/>
  <c r="CA8" i="1" s="1"/>
  <c r="H66" i="41" l="1"/>
  <c r="I66" i="41" s="1"/>
  <c r="V316" i="1"/>
  <c r="W316" i="1"/>
  <c r="X316" i="1"/>
  <c r="AA316" i="1"/>
  <c r="AB316" i="1"/>
  <c r="AD316" i="1"/>
  <c r="AE316" i="1"/>
  <c r="AF316" i="1"/>
  <c r="AG316" i="1"/>
  <c r="AI316" i="1"/>
  <c r="AJ316" i="1"/>
  <c r="AK316" i="1"/>
  <c r="AN316" i="1"/>
  <c r="AO316" i="1"/>
  <c r="AP316" i="1"/>
  <c r="AQ316" i="1"/>
  <c r="AS316" i="1"/>
  <c r="AT316" i="1"/>
  <c r="AU316" i="1"/>
  <c r="AV316" i="1"/>
  <c r="AW316" i="1"/>
  <c r="AX316" i="1"/>
  <c r="BA316" i="1"/>
  <c r="BB316" i="1"/>
  <c r="BC316" i="1"/>
  <c r="BE316" i="1"/>
  <c r="BG316" i="1"/>
  <c r="BH316" i="1"/>
  <c r="BI316" i="1"/>
  <c r="BJ316" i="1"/>
  <c r="BK316" i="1"/>
  <c r="BL316" i="1"/>
  <c r="BN316" i="1"/>
  <c r="BO316" i="1"/>
  <c r="BP316" i="1"/>
  <c r="BQ316" i="1"/>
  <c r="BR316" i="1"/>
  <c r="BS316" i="1"/>
  <c r="BT316" i="1"/>
  <c r="BU316" i="1"/>
  <c r="BW316" i="1"/>
  <c r="BX316" i="1"/>
  <c r="BY316" i="1"/>
  <c r="CI316" i="1"/>
  <c r="CJ316" i="1"/>
  <c r="CK316" i="1"/>
  <c r="CL316" i="1"/>
  <c r="CM316" i="1"/>
  <c r="CN316" i="1"/>
  <c r="CO316" i="1"/>
  <c r="CP316" i="1"/>
  <c r="CQ316" i="1"/>
  <c r="CR316" i="1"/>
  <c r="CS316" i="1"/>
  <c r="CT316" i="1"/>
  <c r="CU316" i="1"/>
  <c r="CW316" i="1"/>
  <c r="CX316" i="1"/>
  <c r="CY316" i="1"/>
  <c r="CZ316" i="1"/>
  <c r="DA316" i="1"/>
  <c r="DB316" i="1"/>
  <c r="DC316" i="1"/>
  <c r="DD316" i="1"/>
  <c r="DE316" i="1"/>
  <c r="DF316" i="1"/>
  <c r="DG316" i="1"/>
  <c r="DH316" i="1"/>
  <c r="DJ316" i="1"/>
  <c r="DK316" i="1"/>
  <c r="DL316" i="1"/>
  <c r="DM316" i="1"/>
  <c r="DN316" i="1"/>
  <c r="DO316" i="1"/>
  <c r="DP316" i="1"/>
  <c r="DQ316" i="1"/>
  <c r="DR316" i="1"/>
  <c r="DS316" i="1"/>
  <c r="DT316" i="1"/>
  <c r="DU316" i="1"/>
  <c r="DW316" i="1"/>
  <c r="DX316" i="1"/>
  <c r="DY316" i="1"/>
  <c r="DZ316" i="1"/>
  <c r="EA316" i="1"/>
  <c r="EB316" i="1"/>
  <c r="EC316" i="1"/>
  <c r="ED316" i="1"/>
  <c r="EE316" i="1"/>
  <c r="EF316" i="1"/>
  <c r="EG316" i="1"/>
  <c r="EH316" i="1"/>
  <c r="EJ316" i="1"/>
  <c r="EK316" i="1"/>
  <c r="EL316" i="1"/>
  <c r="EM316" i="1"/>
  <c r="EN316" i="1"/>
  <c r="EO316" i="1"/>
  <c r="EP316" i="1"/>
  <c r="EQ316" i="1"/>
  <c r="ER316" i="1"/>
  <c r="ES316" i="1"/>
  <c r="ET316" i="1"/>
  <c r="EU316" i="1"/>
  <c r="FE316" i="1"/>
  <c r="FF316" i="1"/>
  <c r="FG316" i="1"/>
  <c r="FH316" i="1"/>
  <c r="FI316" i="1"/>
  <c r="CG64" i="1" l="1"/>
  <c r="CH64" i="1" l="1"/>
  <c r="AH154" i="1" l="1"/>
  <c r="AM154" i="1" s="1"/>
  <c r="U316" i="1"/>
  <c r="BV97" i="1"/>
  <c r="BF16" i="1"/>
  <c r="BF316" i="1" l="1"/>
  <c r="BM16" i="1"/>
  <c r="BV316" i="1"/>
  <c r="BZ97" i="1"/>
  <c r="BD56" i="1" l="1"/>
  <c r="AY316" i="1"/>
  <c r="BD316" i="1" l="1"/>
  <c r="BM56" i="1"/>
  <c r="CG33" i="1"/>
  <c r="Y316" i="1"/>
  <c r="EX38" i="1" l="1"/>
  <c r="EY38" i="1"/>
  <c r="EZ38" i="1"/>
  <c r="FA38" i="1"/>
  <c r="FB38" i="1"/>
  <c r="FC38" i="1"/>
  <c r="EX93" i="1"/>
  <c r="EY93" i="1"/>
  <c r="EZ93" i="1"/>
  <c r="FA93" i="1"/>
  <c r="FB93" i="1"/>
  <c r="FC93" i="1"/>
  <c r="EX94" i="1"/>
  <c r="EY94" i="1"/>
  <c r="EZ94" i="1"/>
  <c r="FA94" i="1"/>
  <c r="FB94" i="1"/>
  <c r="FC94" i="1"/>
  <c r="EX95" i="1"/>
  <c r="EY95" i="1"/>
  <c r="EZ95" i="1"/>
  <c r="FA95" i="1"/>
  <c r="FB95" i="1"/>
  <c r="FC95" i="1"/>
  <c r="EX96" i="1"/>
  <c r="EY96" i="1"/>
  <c r="EZ96" i="1"/>
  <c r="FA96" i="1"/>
  <c r="FB96" i="1"/>
  <c r="FC96" i="1"/>
  <c r="EX97" i="1"/>
  <c r="EY97" i="1"/>
  <c r="EZ97" i="1"/>
  <c r="FA97" i="1"/>
  <c r="FB97" i="1"/>
  <c r="FC97" i="1"/>
  <c r="EX98" i="1"/>
  <c r="EY98" i="1"/>
  <c r="EZ98" i="1"/>
  <c r="FA98" i="1"/>
  <c r="FB98" i="1"/>
  <c r="FC98" i="1"/>
  <c r="EX81" i="1"/>
  <c r="EY81" i="1"/>
  <c r="EZ81" i="1"/>
  <c r="FA81" i="1"/>
  <c r="FB81" i="1"/>
  <c r="FC81" i="1"/>
  <c r="EX47" i="1"/>
  <c r="EY47" i="1"/>
  <c r="EZ47" i="1"/>
  <c r="FA47" i="1"/>
  <c r="FB47" i="1"/>
  <c r="FC47" i="1"/>
  <c r="EX12" i="1"/>
  <c r="EY12" i="1"/>
  <c r="EZ12" i="1"/>
  <c r="FA12" i="1"/>
  <c r="FB12" i="1"/>
  <c r="FC12" i="1"/>
  <c r="FD12" i="1"/>
  <c r="EX99" i="1"/>
  <c r="EY99" i="1"/>
  <c r="EZ99" i="1"/>
  <c r="FA99" i="1"/>
  <c r="FB99" i="1"/>
  <c r="FC99" i="1"/>
  <c r="EX273" i="1"/>
  <c r="EY273" i="1"/>
  <c r="EZ273" i="1"/>
  <c r="FA273" i="1"/>
  <c r="FB273" i="1"/>
  <c r="FC273" i="1"/>
  <c r="EX274" i="1"/>
  <c r="EY274" i="1"/>
  <c r="EZ274" i="1"/>
  <c r="FA274" i="1"/>
  <c r="FB274" i="1"/>
  <c r="FC274" i="1"/>
  <c r="EX145" i="1"/>
  <c r="EY145" i="1"/>
  <c r="EZ145" i="1"/>
  <c r="FA145" i="1"/>
  <c r="FB145" i="1"/>
  <c r="FC145" i="1"/>
  <c r="EX146" i="1"/>
  <c r="EY146" i="1"/>
  <c r="EZ146" i="1"/>
  <c r="FA146" i="1"/>
  <c r="FB146" i="1"/>
  <c r="FC146" i="1"/>
  <c r="EX185" i="1"/>
  <c r="EY185" i="1"/>
  <c r="EZ185" i="1"/>
  <c r="FA185" i="1"/>
  <c r="FB185" i="1"/>
  <c r="FC185" i="1"/>
  <c r="EX147" i="1"/>
  <c r="EY147" i="1"/>
  <c r="EZ147" i="1"/>
  <c r="FA147" i="1"/>
  <c r="FB147" i="1"/>
  <c r="FC147" i="1"/>
  <c r="EX186" i="1"/>
  <c r="EY186" i="1"/>
  <c r="EZ186" i="1"/>
  <c r="FA186" i="1"/>
  <c r="FB186" i="1"/>
  <c r="FC186" i="1"/>
  <c r="EX148" i="1"/>
  <c r="EY148" i="1"/>
  <c r="EZ148" i="1"/>
  <c r="FA148" i="1"/>
  <c r="FB148" i="1"/>
  <c r="FC148" i="1"/>
  <c r="EX149" i="1"/>
  <c r="EY149" i="1"/>
  <c r="EZ149" i="1"/>
  <c r="FA149" i="1"/>
  <c r="FB149" i="1"/>
  <c r="FC149" i="1"/>
  <c r="EX187" i="1"/>
  <c r="EY187" i="1"/>
  <c r="EZ187" i="1"/>
  <c r="FA187" i="1"/>
  <c r="FB187" i="1"/>
  <c r="FC187" i="1"/>
  <c r="EX180" i="1"/>
  <c r="EY180" i="1"/>
  <c r="EZ180" i="1"/>
  <c r="FA180" i="1"/>
  <c r="FB180" i="1"/>
  <c r="FC180" i="1"/>
  <c r="EX188" i="1"/>
  <c r="EY188" i="1"/>
  <c r="EZ188" i="1"/>
  <c r="FA188" i="1"/>
  <c r="FB188" i="1"/>
  <c r="FC188" i="1"/>
  <c r="EX150" i="1"/>
  <c r="EY150" i="1"/>
  <c r="EZ150" i="1"/>
  <c r="FA150" i="1"/>
  <c r="FB150" i="1"/>
  <c r="FC150" i="1"/>
  <c r="EX189" i="1"/>
  <c r="EY189" i="1"/>
  <c r="EZ189" i="1"/>
  <c r="FA189" i="1"/>
  <c r="FB189" i="1"/>
  <c r="FC189" i="1"/>
  <c r="EX190" i="1"/>
  <c r="EY190" i="1"/>
  <c r="EZ190" i="1"/>
  <c r="FA190" i="1"/>
  <c r="FB190" i="1"/>
  <c r="FC190" i="1"/>
  <c r="EX151" i="1"/>
  <c r="EY151" i="1"/>
  <c r="EZ151" i="1"/>
  <c r="FA151" i="1"/>
  <c r="FB151" i="1"/>
  <c r="FC151" i="1"/>
  <c r="EX191" i="1"/>
  <c r="EY191" i="1"/>
  <c r="EZ191" i="1"/>
  <c r="FA191" i="1"/>
  <c r="FB191" i="1"/>
  <c r="FC191" i="1"/>
  <c r="EX192" i="1"/>
  <c r="EY192" i="1"/>
  <c r="EZ192" i="1"/>
  <c r="FA192" i="1"/>
  <c r="FB192" i="1"/>
  <c r="FC192" i="1"/>
  <c r="EX193" i="1"/>
  <c r="EY193" i="1"/>
  <c r="EZ193" i="1"/>
  <c r="FA193" i="1"/>
  <c r="FB193" i="1"/>
  <c r="FC193" i="1"/>
  <c r="EX152" i="1"/>
  <c r="EY152" i="1"/>
  <c r="EZ152" i="1"/>
  <c r="FA152" i="1"/>
  <c r="FB152" i="1"/>
  <c r="FC152" i="1"/>
  <c r="EX100" i="1"/>
  <c r="EY100" i="1"/>
  <c r="EZ100" i="1"/>
  <c r="FA100" i="1"/>
  <c r="FB100" i="1"/>
  <c r="FC100" i="1"/>
  <c r="EX48" i="1"/>
  <c r="EY48" i="1"/>
  <c r="EZ48" i="1"/>
  <c r="FA48" i="1"/>
  <c r="FB48" i="1"/>
  <c r="FC48" i="1"/>
  <c r="EX49" i="1"/>
  <c r="EY49" i="1"/>
  <c r="EZ49" i="1"/>
  <c r="FA49" i="1"/>
  <c r="FB49" i="1"/>
  <c r="FC49" i="1"/>
  <c r="EX45" i="1"/>
  <c r="EY45" i="1"/>
  <c r="EZ45" i="1"/>
  <c r="FA45" i="1"/>
  <c r="FB45" i="1"/>
  <c r="FC45" i="1"/>
  <c r="EX73" i="1"/>
  <c r="EY73" i="1"/>
  <c r="EZ73" i="1"/>
  <c r="FA73" i="1"/>
  <c r="FB73" i="1"/>
  <c r="FC73" i="1"/>
  <c r="EX74" i="1"/>
  <c r="EY74" i="1"/>
  <c r="EZ74" i="1"/>
  <c r="FA74" i="1"/>
  <c r="FB74" i="1"/>
  <c r="FC74" i="1"/>
  <c r="EX39" i="1"/>
  <c r="EY39" i="1"/>
  <c r="EZ39" i="1"/>
  <c r="FA39" i="1"/>
  <c r="FB39" i="1"/>
  <c r="FC39" i="1"/>
  <c r="EX40" i="1"/>
  <c r="EY40" i="1"/>
  <c r="EZ40" i="1"/>
  <c r="FA40" i="1"/>
  <c r="FB40" i="1"/>
  <c r="FC40" i="1"/>
  <c r="EX41" i="1"/>
  <c r="EY41" i="1"/>
  <c r="EZ41" i="1"/>
  <c r="FA41" i="1"/>
  <c r="FB41" i="1"/>
  <c r="FC41" i="1"/>
  <c r="EX42" i="1"/>
  <c r="EY42" i="1"/>
  <c r="EZ42" i="1"/>
  <c r="FA42" i="1"/>
  <c r="FB42" i="1"/>
  <c r="FC42" i="1"/>
  <c r="EX43" i="1"/>
  <c r="EY43" i="1"/>
  <c r="EZ43" i="1"/>
  <c r="FA43" i="1"/>
  <c r="FB43" i="1"/>
  <c r="FC43" i="1"/>
  <c r="EX44" i="1"/>
  <c r="EY44" i="1"/>
  <c r="EZ44" i="1"/>
  <c r="FA44" i="1"/>
  <c r="FB44" i="1"/>
  <c r="FC44" i="1"/>
  <c r="EX31" i="1"/>
  <c r="EY31" i="1"/>
  <c r="EZ31" i="1"/>
  <c r="FA31" i="1"/>
  <c r="FB31" i="1"/>
  <c r="FC31" i="1"/>
  <c r="EX75" i="1"/>
  <c r="EY75" i="1"/>
  <c r="EZ75" i="1"/>
  <c r="FA75" i="1"/>
  <c r="FB75" i="1"/>
  <c r="FC75" i="1"/>
  <c r="EX76" i="1"/>
  <c r="EY76" i="1"/>
  <c r="EZ76" i="1"/>
  <c r="FA76" i="1"/>
  <c r="FB76" i="1"/>
  <c r="FC76" i="1"/>
  <c r="EX77" i="1"/>
  <c r="EY77" i="1"/>
  <c r="EZ77" i="1"/>
  <c r="FA77" i="1"/>
  <c r="FB77" i="1"/>
  <c r="FC77" i="1"/>
  <c r="EX78" i="1"/>
  <c r="EY78" i="1"/>
  <c r="EZ78" i="1"/>
  <c r="FA78" i="1"/>
  <c r="FB78" i="1"/>
  <c r="FC78" i="1"/>
  <c r="EX79" i="1"/>
  <c r="EY79" i="1"/>
  <c r="EZ79" i="1"/>
  <c r="FA79" i="1"/>
  <c r="FB79" i="1"/>
  <c r="FC79" i="1"/>
  <c r="EX68" i="1"/>
  <c r="EY68" i="1"/>
  <c r="EZ68" i="1"/>
  <c r="FA68" i="1"/>
  <c r="FB68" i="1"/>
  <c r="FC68" i="1"/>
  <c r="EX58" i="1"/>
  <c r="EY58" i="1"/>
  <c r="EZ58" i="1"/>
  <c r="FA58" i="1"/>
  <c r="FB58" i="1"/>
  <c r="FC58" i="1"/>
  <c r="EX60" i="1"/>
  <c r="EY60" i="1"/>
  <c r="EZ60" i="1"/>
  <c r="FA60" i="1"/>
  <c r="FB60" i="1"/>
  <c r="FC60" i="1"/>
  <c r="EX59" i="1"/>
  <c r="EY59" i="1"/>
  <c r="EZ59" i="1"/>
  <c r="FA59" i="1"/>
  <c r="FB59" i="1"/>
  <c r="FC59" i="1"/>
  <c r="EX101" i="1"/>
  <c r="EY101" i="1"/>
  <c r="EZ101" i="1"/>
  <c r="FA101" i="1"/>
  <c r="FB101" i="1"/>
  <c r="FC101" i="1"/>
  <c r="EX72" i="1"/>
  <c r="EY72" i="1"/>
  <c r="EZ72" i="1"/>
  <c r="FA72" i="1"/>
  <c r="FB72" i="1"/>
  <c r="FC72" i="1"/>
  <c r="EX102" i="1"/>
  <c r="EY102" i="1"/>
  <c r="EZ102" i="1"/>
  <c r="FA102" i="1"/>
  <c r="FB102" i="1"/>
  <c r="FC102" i="1"/>
  <c r="EX103" i="1"/>
  <c r="EY103" i="1"/>
  <c r="EZ103" i="1"/>
  <c r="FA103" i="1"/>
  <c r="FB103" i="1"/>
  <c r="FC103" i="1"/>
  <c r="EX69" i="1"/>
  <c r="EY69" i="1"/>
  <c r="EZ69" i="1"/>
  <c r="FA69" i="1"/>
  <c r="FB69" i="1"/>
  <c r="FC69" i="1"/>
  <c r="EX66" i="1"/>
  <c r="EY66" i="1"/>
  <c r="EZ66" i="1"/>
  <c r="FA66" i="1"/>
  <c r="FB66" i="1"/>
  <c r="FC66" i="1"/>
  <c r="EX70" i="1"/>
  <c r="EY70" i="1"/>
  <c r="EZ70" i="1"/>
  <c r="FA70" i="1"/>
  <c r="FB70" i="1"/>
  <c r="FC70" i="1"/>
  <c r="EX71" i="1"/>
  <c r="EY71" i="1"/>
  <c r="EZ71" i="1"/>
  <c r="FA71" i="1"/>
  <c r="FB71" i="1"/>
  <c r="FC71" i="1"/>
  <c r="EX61" i="1"/>
  <c r="EY61" i="1"/>
  <c r="EZ61" i="1"/>
  <c r="FA61" i="1"/>
  <c r="FB61" i="1"/>
  <c r="FC61" i="1"/>
  <c r="EX275" i="1"/>
  <c r="EY275" i="1"/>
  <c r="EZ275" i="1"/>
  <c r="FA275" i="1"/>
  <c r="FB275" i="1"/>
  <c r="FC275" i="1"/>
  <c r="EX153" i="1"/>
  <c r="EY153" i="1"/>
  <c r="EZ153" i="1"/>
  <c r="FA153" i="1"/>
  <c r="FB153" i="1"/>
  <c r="FC153" i="1"/>
  <c r="EX276" i="1"/>
  <c r="EY276" i="1"/>
  <c r="EZ276" i="1"/>
  <c r="FA276" i="1"/>
  <c r="FB276" i="1"/>
  <c r="FC276" i="1"/>
  <c r="EX154" i="1"/>
  <c r="EY154" i="1"/>
  <c r="EZ154" i="1"/>
  <c r="FA154" i="1"/>
  <c r="FB154" i="1"/>
  <c r="FC154" i="1"/>
  <c r="EX155" i="1"/>
  <c r="EY155" i="1"/>
  <c r="EZ155" i="1"/>
  <c r="FA155" i="1"/>
  <c r="FB155" i="1"/>
  <c r="FC155" i="1"/>
  <c r="EX277" i="1"/>
  <c r="EY277" i="1"/>
  <c r="EZ277" i="1"/>
  <c r="FA277" i="1"/>
  <c r="FB277" i="1"/>
  <c r="FC277" i="1"/>
  <c r="EX194" i="1"/>
  <c r="EY194" i="1"/>
  <c r="EZ194" i="1"/>
  <c r="FA194" i="1"/>
  <c r="FB194" i="1"/>
  <c r="FC194" i="1"/>
  <c r="EX67" i="1"/>
  <c r="EY67" i="1"/>
  <c r="EZ67" i="1"/>
  <c r="FA67" i="1"/>
  <c r="FB67" i="1"/>
  <c r="FC67" i="1"/>
  <c r="EX105" i="1"/>
  <c r="EY105" i="1"/>
  <c r="EZ105" i="1"/>
  <c r="FA105" i="1"/>
  <c r="FB105" i="1"/>
  <c r="FC105" i="1"/>
  <c r="EX62" i="1"/>
  <c r="EY62" i="1"/>
  <c r="EZ62" i="1"/>
  <c r="FA62" i="1"/>
  <c r="FB62" i="1"/>
  <c r="FC62" i="1"/>
  <c r="EX63" i="1"/>
  <c r="EY63" i="1"/>
  <c r="EZ63" i="1"/>
  <c r="FA63" i="1"/>
  <c r="FB63" i="1"/>
  <c r="FC63" i="1"/>
  <c r="EX57" i="1"/>
  <c r="EY57" i="1"/>
  <c r="EZ57" i="1"/>
  <c r="FA57" i="1"/>
  <c r="FB57" i="1"/>
  <c r="FC57" i="1"/>
  <c r="EX80" i="1"/>
  <c r="EY80" i="1"/>
  <c r="EZ80" i="1"/>
  <c r="FA80" i="1"/>
  <c r="FB80" i="1"/>
  <c r="FC80" i="1"/>
  <c r="EX83" i="1"/>
  <c r="EY83" i="1"/>
  <c r="EZ83" i="1"/>
  <c r="FA83" i="1"/>
  <c r="FB83" i="1"/>
  <c r="FC83" i="1"/>
  <c r="EX84" i="1"/>
  <c r="EY84" i="1"/>
  <c r="EZ84" i="1"/>
  <c r="FA84" i="1"/>
  <c r="FB84" i="1"/>
  <c r="FC84" i="1"/>
  <c r="EX35" i="1"/>
  <c r="EY35" i="1"/>
  <c r="EZ35" i="1"/>
  <c r="FA35" i="1"/>
  <c r="FB35" i="1"/>
  <c r="FC35" i="1"/>
  <c r="EX4" i="1"/>
  <c r="EY4" i="1"/>
  <c r="EZ4" i="1"/>
  <c r="FA4" i="1"/>
  <c r="FB4" i="1"/>
  <c r="FC4" i="1"/>
  <c r="EX9" i="1"/>
  <c r="EY9" i="1"/>
  <c r="EZ9" i="1"/>
  <c r="FA9" i="1"/>
  <c r="FB9" i="1"/>
  <c r="FC9" i="1"/>
  <c r="EX3" i="1"/>
  <c r="EY3" i="1"/>
  <c r="EZ3" i="1"/>
  <c r="FA3" i="1"/>
  <c r="FB3" i="1"/>
  <c r="FC3" i="1"/>
  <c r="EX85" i="1"/>
  <c r="EY85" i="1"/>
  <c r="EZ85" i="1"/>
  <c r="FA85" i="1"/>
  <c r="FB85" i="1"/>
  <c r="FC85" i="1"/>
  <c r="EX86" i="1"/>
  <c r="EY86" i="1"/>
  <c r="EZ86" i="1"/>
  <c r="FA86" i="1"/>
  <c r="FB86" i="1"/>
  <c r="FC86" i="1"/>
  <c r="EX87" i="1"/>
  <c r="EY87" i="1"/>
  <c r="EZ87" i="1"/>
  <c r="FA87" i="1"/>
  <c r="FB87" i="1"/>
  <c r="FC87" i="1"/>
  <c r="EX6" i="1"/>
  <c r="EY6" i="1"/>
  <c r="EZ6" i="1"/>
  <c r="FA6" i="1"/>
  <c r="FB6" i="1"/>
  <c r="FC6" i="1"/>
  <c r="EX5" i="1"/>
  <c r="EY5" i="1"/>
  <c r="EZ5" i="1"/>
  <c r="FA5" i="1"/>
  <c r="FB5" i="1"/>
  <c r="FC5" i="1"/>
  <c r="EX88" i="1"/>
  <c r="EY88" i="1"/>
  <c r="EZ88" i="1"/>
  <c r="FA88" i="1"/>
  <c r="FB88" i="1"/>
  <c r="FC88" i="1"/>
  <c r="EX10" i="1"/>
  <c r="EY10" i="1"/>
  <c r="EZ10" i="1"/>
  <c r="FA10" i="1"/>
  <c r="FB10" i="1"/>
  <c r="FC10" i="1"/>
  <c r="EX37" i="1"/>
  <c r="EY37" i="1"/>
  <c r="EZ37" i="1"/>
  <c r="FA37" i="1"/>
  <c r="FB37" i="1"/>
  <c r="FC37" i="1"/>
  <c r="EX33" i="1"/>
  <c r="EY33" i="1"/>
  <c r="EZ33" i="1"/>
  <c r="FA33" i="1"/>
  <c r="FB33" i="1"/>
  <c r="FC33" i="1"/>
  <c r="EX106" i="1"/>
  <c r="EY106" i="1"/>
  <c r="EZ106" i="1"/>
  <c r="FA106" i="1"/>
  <c r="FB106" i="1"/>
  <c r="FC106" i="1"/>
  <c r="EX107" i="1"/>
  <c r="EY107" i="1"/>
  <c r="EZ107" i="1"/>
  <c r="FA107" i="1"/>
  <c r="FB107" i="1"/>
  <c r="FC107" i="1"/>
  <c r="EX108" i="1"/>
  <c r="EY108" i="1"/>
  <c r="EZ108" i="1"/>
  <c r="FA108" i="1"/>
  <c r="FB108" i="1"/>
  <c r="FC108" i="1"/>
  <c r="EX109" i="1"/>
  <c r="EY109" i="1"/>
  <c r="EZ109" i="1"/>
  <c r="FA109" i="1"/>
  <c r="FB109" i="1"/>
  <c r="FC109" i="1"/>
  <c r="EX110" i="1"/>
  <c r="EY110" i="1"/>
  <c r="EZ110" i="1"/>
  <c r="FA110" i="1"/>
  <c r="FB110" i="1"/>
  <c r="FC110" i="1"/>
  <c r="EX111" i="1"/>
  <c r="EY111" i="1"/>
  <c r="EZ111" i="1"/>
  <c r="FA111" i="1"/>
  <c r="FB111" i="1"/>
  <c r="FC111" i="1"/>
  <c r="EX112" i="1"/>
  <c r="EY112" i="1"/>
  <c r="EZ112" i="1"/>
  <c r="FA112" i="1"/>
  <c r="FB112" i="1"/>
  <c r="FC112" i="1"/>
  <c r="EX113" i="1"/>
  <c r="EY113" i="1"/>
  <c r="EZ113" i="1"/>
  <c r="FA113" i="1"/>
  <c r="FB113" i="1"/>
  <c r="FC113" i="1"/>
  <c r="EX11" i="1"/>
  <c r="EY11" i="1"/>
  <c r="EZ11" i="1"/>
  <c r="FA11" i="1"/>
  <c r="FB11" i="1"/>
  <c r="FC11" i="1"/>
  <c r="EX13" i="1"/>
  <c r="EY13" i="1"/>
  <c r="EZ13" i="1"/>
  <c r="FA13" i="1"/>
  <c r="FB13" i="1"/>
  <c r="FC13" i="1"/>
  <c r="EX7" i="1"/>
  <c r="EY7" i="1"/>
  <c r="EZ7" i="1"/>
  <c r="FA7" i="1"/>
  <c r="FB7" i="1"/>
  <c r="FC7" i="1"/>
  <c r="EX55" i="1"/>
  <c r="EY55" i="1"/>
  <c r="EZ55" i="1"/>
  <c r="FA55" i="1"/>
  <c r="FB55" i="1"/>
  <c r="FC55" i="1"/>
  <c r="EX278" i="1"/>
  <c r="EY278" i="1"/>
  <c r="EZ278" i="1"/>
  <c r="FA278" i="1"/>
  <c r="FB278" i="1"/>
  <c r="FC278" i="1"/>
  <c r="EX114" i="1"/>
  <c r="EY114" i="1"/>
  <c r="EZ114" i="1"/>
  <c r="FA114" i="1"/>
  <c r="FB114" i="1"/>
  <c r="FC114" i="1"/>
  <c r="EX115" i="1"/>
  <c r="EY115" i="1"/>
  <c r="EZ115" i="1"/>
  <c r="FA115" i="1"/>
  <c r="FB115" i="1"/>
  <c r="FC115" i="1"/>
  <c r="EX116" i="1"/>
  <c r="EY116" i="1"/>
  <c r="EZ116" i="1"/>
  <c r="FA116" i="1"/>
  <c r="FB116" i="1"/>
  <c r="FC116" i="1"/>
  <c r="EX117" i="1"/>
  <c r="EY117" i="1"/>
  <c r="EZ117" i="1"/>
  <c r="FA117" i="1"/>
  <c r="FB117" i="1"/>
  <c r="FC117" i="1"/>
  <c r="EX118" i="1"/>
  <c r="EY118" i="1"/>
  <c r="EZ118" i="1"/>
  <c r="FA118" i="1"/>
  <c r="FB118" i="1"/>
  <c r="FC118" i="1"/>
  <c r="EX119" i="1"/>
  <c r="EY119" i="1"/>
  <c r="EZ119" i="1"/>
  <c r="FA119" i="1"/>
  <c r="FB119" i="1"/>
  <c r="FC119" i="1"/>
  <c r="EX52" i="1"/>
  <c r="EY52" i="1"/>
  <c r="EZ52" i="1"/>
  <c r="FA52" i="1"/>
  <c r="FB52" i="1"/>
  <c r="FC52" i="1"/>
  <c r="EX120" i="1"/>
  <c r="EY120" i="1"/>
  <c r="EZ120" i="1"/>
  <c r="FA120" i="1"/>
  <c r="FB120" i="1"/>
  <c r="FC120" i="1"/>
  <c r="EX121" i="1"/>
  <c r="EY121" i="1"/>
  <c r="EZ121" i="1"/>
  <c r="FA121" i="1"/>
  <c r="FB121" i="1"/>
  <c r="FC121" i="1"/>
  <c r="EX56" i="1"/>
  <c r="EY56" i="1"/>
  <c r="EZ56" i="1"/>
  <c r="FA56" i="1"/>
  <c r="FB56" i="1"/>
  <c r="FC56" i="1"/>
  <c r="EX122" i="1"/>
  <c r="EY122" i="1"/>
  <c r="EZ122" i="1"/>
  <c r="FA122" i="1"/>
  <c r="FB122" i="1"/>
  <c r="FC122" i="1"/>
  <c r="EX123" i="1"/>
  <c r="EY123" i="1"/>
  <c r="EZ123" i="1"/>
  <c r="FA123" i="1"/>
  <c r="FB123" i="1"/>
  <c r="FC123" i="1"/>
  <c r="EX124" i="1"/>
  <c r="EY124" i="1"/>
  <c r="EZ124" i="1"/>
  <c r="FA124" i="1"/>
  <c r="FB124" i="1"/>
  <c r="FC124" i="1"/>
  <c r="EX125" i="1"/>
  <c r="EY125" i="1"/>
  <c r="EZ125" i="1"/>
  <c r="FA125" i="1"/>
  <c r="FB125" i="1"/>
  <c r="FC125" i="1"/>
  <c r="EX126" i="1"/>
  <c r="EY126" i="1"/>
  <c r="EZ126" i="1"/>
  <c r="FA126" i="1"/>
  <c r="FB126" i="1"/>
  <c r="FC126" i="1"/>
  <c r="EX127" i="1"/>
  <c r="EY127" i="1"/>
  <c r="EZ127" i="1"/>
  <c r="FA127" i="1"/>
  <c r="FB127" i="1"/>
  <c r="FC127" i="1"/>
  <c r="EX128" i="1"/>
  <c r="EY128" i="1"/>
  <c r="EZ128" i="1"/>
  <c r="FA128" i="1"/>
  <c r="FB128" i="1"/>
  <c r="FC128" i="1"/>
  <c r="EX89" i="1"/>
  <c r="EY89" i="1"/>
  <c r="EZ89" i="1"/>
  <c r="FA89" i="1"/>
  <c r="FB89" i="1"/>
  <c r="FC89" i="1"/>
  <c r="EX90" i="1"/>
  <c r="EY90" i="1"/>
  <c r="EZ90" i="1"/>
  <c r="FA90" i="1"/>
  <c r="FB90" i="1"/>
  <c r="FC90" i="1"/>
  <c r="EX91" i="1"/>
  <c r="EY91" i="1"/>
  <c r="EZ91" i="1"/>
  <c r="FA91" i="1"/>
  <c r="FB91" i="1"/>
  <c r="FC91" i="1"/>
  <c r="EX92" i="1"/>
  <c r="EY92" i="1"/>
  <c r="EZ92" i="1"/>
  <c r="FA92" i="1"/>
  <c r="FB92" i="1"/>
  <c r="FC92" i="1"/>
  <c r="EX14" i="1"/>
  <c r="EY14" i="1"/>
  <c r="EZ14" i="1"/>
  <c r="FA14" i="1"/>
  <c r="FB14" i="1"/>
  <c r="FC14" i="1"/>
  <c r="EX15" i="1"/>
  <c r="EY15" i="1"/>
  <c r="EZ15" i="1"/>
  <c r="FA15" i="1"/>
  <c r="FB15" i="1"/>
  <c r="FC15" i="1"/>
  <c r="EX16" i="1"/>
  <c r="EY16" i="1"/>
  <c r="EZ16" i="1"/>
  <c r="FA16" i="1"/>
  <c r="FB16" i="1"/>
  <c r="FC16" i="1"/>
  <c r="EX27" i="1"/>
  <c r="EY27" i="1"/>
  <c r="EZ27" i="1"/>
  <c r="FA27" i="1"/>
  <c r="FB27" i="1"/>
  <c r="FC27" i="1"/>
  <c r="EX18" i="1"/>
  <c r="EY18" i="1"/>
  <c r="EZ18" i="1"/>
  <c r="FA18" i="1"/>
  <c r="FB18" i="1"/>
  <c r="FC18" i="1"/>
  <c r="EX19" i="1"/>
  <c r="EY19" i="1"/>
  <c r="EZ19" i="1"/>
  <c r="FA19" i="1"/>
  <c r="FB19" i="1"/>
  <c r="FC19" i="1"/>
  <c r="EX20" i="1"/>
  <c r="EY20" i="1"/>
  <c r="EZ20" i="1"/>
  <c r="FA20" i="1"/>
  <c r="FB20" i="1"/>
  <c r="FC20" i="1"/>
  <c r="EX21" i="1"/>
  <c r="EY21" i="1"/>
  <c r="EZ21" i="1"/>
  <c r="FA21" i="1"/>
  <c r="FB21" i="1"/>
  <c r="FC21" i="1"/>
  <c r="EX22" i="1"/>
  <c r="EY22" i="1"/>
  <c r="EZ22" i="1"/>
  <c r="FA22" i="1"/>
  <c r="FB22" i="1"/>
  <c r="FC22" i="1"/>
  <c r="EX23" i="1"/>
  <c r="EY23" i="1"/>
  <c r="EZ23" i="1"/>
  <c r="FA23" i="1"/>
  <c r="FB23" i="1"/>
  <c r="FC23" i="1"/>
  <c r="EX24" i="1"/>
  <c r="EY24" i="1"/>
  <c r="EZ24" i="1"/>
  <c r="FA24" i="1"/>
  <c r="FB24" i="1"/>
  <c r="FC24" i="1"/>
  <c r="EX25" i="1"/>
  <c r="EY25" i="1"/>
  <c r="EZ25" i="1"/>
  <c r="FA25" i="1"/>
  <c r="FB25" i="1"/>
  <c r="FC25" i="1"/>
  <c r="EX26" i="1"/>
  <c r="EY26" i="1"/>
  <c r="EZ26" i="1"/>
  <c r="FA26" i="1"/>
  <c r="FB26" i="1"/>
  <c r="FC26" i="1"/>
  <c r="EX129" i="1"/>
  <c r="EY129" i="1"/>
  <c r="EZ129" i="1"/>
  <c r="FA129" i="1"/>
  <c r="FB129" i="1"/>
  <c r="FC129" i="1"/>
  <c r="EX130" i="1"/>
  <c r="EY130" i="1"/>
  <c r="EZ130" i="1"/>
  <c r="FA130" i="1"/>
  <c r="FB130" i="1"/>
  <c r="FC130" i="1"/>
  <c r="EX82" i="1"/>
  <c r="EY82" i="1"/>
  <c r="EZ82" i="1"/>
  <c r="FA82" i="1"/>
  <c r="FB82" i="1"/>
  <c r="FC82" i="1"/>
  <c r="EX28" i="1"/>
  <c r="EY28" i="1"/>
  <c r="EZ28" i="1"/>
  <c r="FA28" i="1"/>
  <c r="FB28" i="1"/>
  <c r="FC28" i="1"/>
  <c r="EX131" i="1"/>
  <c r="EY131" i="1"/>
  <c r="EZ131" i="1"/>
  <c r="FA131" i="1"/>
  <c r="FB131" i="1"/>
  <c r="FC131" i="1"/>
  <c r="EX132" i="1"/>
  <c r="EY132" i="1"/>
  <c r="EZ132" i="1"/>
  <c r="FA132" i="1"/>
  <c r="FB132" i="1"/>
  <c r="FC132" i="1"/>
  <c r="EX29" i="1"/>
  <c r="EY29" i="1"/>
  <c r="EZ29" i="1"/>
  <c r="FA29" i="1"/>
  <c r="FB29" i="1"/>
  <c r="FC29" i="1"/>
  <c r="EX133" i="1"/>
  <c r="EY133" i="1"/>
  <c r="EZ133" i="1"/>
  <c r="FA133" i="1"/>
  <c r="FB133" i="1"/>
  <c r="FC133" i="1"/>
  <c r="EX279" i="1"/>
  <c r="EY279" i="1"/>
  <c r="EZ279" i="1"/>
  <c r="FA279" i="1"/>
  <c r="FB279" i="1"/>
  <c r="FC279" i="1"/>
  <c r="EX280" i="1"/>
  <c r="EY280" i="1"/>
  <c r="EZ280" i="1"/>
  <c r="FA280" i="1"/>
  <c r="FB280" i="1"/>
  <c r="FC280" i="1"/>
  <c r="EX281" i="1"/>
  <c r="EY281" i="1"/>
  <c r="EZ281" i="1"/>
  <c r="FA281" i="1"/>
  <c r="FB281" i="1"/>
  <c r="FC281" i="1"/>
  <c r="EX282" i="1"/>
  <c r="EY282" i="1"/>
  <c r="EZ282" i="1"/>
  <c r="FA282" i="1"/>
  <c r="FB282" i="1"/>
  <c r="FC282" i="1"/>
  <c r="EX283" i="1"/>
  <c r="EY283" i="1"/>
  <c r="EZ283" i="1"/>
  <c r="FA283" i="1"/>
  <c r="FB283" i="1"/>
  <c r="FC283" i="1"/>
  <c r="EX284" i="1"/>
  <c r="EY284" i="1"/>
  <c r="EZ284" i="1"/>
  <c r="FA284" i="1"/>
  <c r="FB284" i="1"/>
  <c r="FC284" i="1"/>
  <c r="EX285" i="1"/>
  <c r="EY285" i="1"/>
  <c r="EZ285" i="1"/>
  <c r="FA285" i="1"/>
  <c r="FB285" i="1"/>
  <c r="FC285" i="1"/>
  <c r="EX286" i="1"/>
  <c r="EY286" i="1"/>
  <c r="EZ286" i="1"/>
  <c r="FA286" i="1"/>
  <c r="FB286" i="1"/>
  <c r="FC286" i="1"/>
  <c r="EX156" i="1"/>
  <c r="EY156" i="1"/>
  <c r="EZ156" i="1"/>
  <c r="FA156" i="1"/>
  <c r="FB156" i="1"/>
  <c r="FC156" i="1"/>
  <c r="EX287" i="1"/>
  <c r="EY287" i="1"/>
  <c r="EZ287" i="1"/>
  <c r="FA287" i="1"/>
  <c r="FB287" i="1"/>
  <c r="FC287" i="1"/>
  <c r="EX288" i="1"/>
  <c r="EY288" i="1"/>
  <c r="EZ288" i="1"/>
  <c r="FA288" i="1"/>
  <c r="FB288" i="1"/>
  <c r="FC288" i="1"/>
  <c r="EX289" i="1"/>
  <c r="EY289" i="1"/>
  <c r="EZ289" i="1"/>
  <c r="FA289" i="1"/>
  <c r="FB289" i="1"/>
  <c r="FC289" i="1"/>
  <c r="EX290" i="1"/>
  <c r="EY290" i="1"/>
  <c r="EZ290" i="1"/>
  <c r="FA290" i="1"/>
  <c r="FB290" i="1"/>
  <c r="FC290" i="1"/>
  <c r="EX291" i="1"/>
  <c r="EY291" i="1"/>
  <c r="EZ291" i="1"/>
  <c r="FA291" i="1"/>
  <c r="FB291" i="1"/>
  <c r="FC291" i="1"/>
  <c r="EX292" i="1"/>
  <c r="EY292" i="1"/>
  <c r="EZ292" i="1"/>
  <c r="FA292" i="1"/>
  <c r="FB292" i="1"/>
  <c r="FC292" i="1"/>
  <c r="EX157" i="1"/>
  <c r="EY157" i="1"/>
  <c r="EZ157" i="1"/>
  <c r="FA157" i="1"/>
  <c r="FB157" i="1"/>
  <c r="FC157" i="1"/>
  <c r="EX293" i="1"/>
  <c r="EY293" i="1"/>
  <c r="EZ293" i="1"/>
  <c r="FA293" i="1"/>
  <c r="FB293" i="1"/>
  <c r="FC293" i="1"/>
  <c r="EX294" i="1"/>
  <c r="EY294" i="1"/>
  <c r="EZ294" i="1"/>
  <c r="FA294" i="1"/>
  <c r="FB294" i="1"/>
  <c r="FC294" i="1"/>
  <c r="EX158" i="1"/>
  <c r="EY158" i="1"/>
  <c r="EZ158" i="1"/>
  <c r="FA158" i="1"/>
  <c r="FB158" i="1"/>
  <c r="FC158" i="1"/>
  <c r="EX195" i="1"/>
  <c r="EY195" i="1"/>
  <c r="EZ195" i="1"/>
  <c r="FA195" i="1"/>
  <c r="FB195" i="1"/>
  <c r="FC195" i="1"/>
  <c r="EX159" i="1"/>
  <c r="EY159" i="1"/>
  <c r="EZ159" i="1"/>
  <c r="FA159" i="1"/>
  <c r="FB159" i="1"/>
  <c r="FC159" i="1"/>
  <c r="EX160" i="1"/>
  <c r="EY160" i="1"/>
  <c r="EZ160" i="1"/>
  <c r="FA160" i="1"/>
  <c r="FB160" i="1"/>
  <c r="FC160" i="1"/>
  <c r="EX161" i="1"/>
  <c r="EY161" i="1"/>
  <c r="EZ161" i="1"/>
  <c r="FA161" i="1"/>
  <c r="FB161" i="1"/>
  <c r="FC161" i="1"/>
  <c r="EX196" i="1"/>
  <c r="EY196" i="1"/>
  <c r="EZ196" i="1"/>
  <c r="FA196" i="1"/>
  <c r="FB196" i="1"/>
  <c r="FC196" i="1"/>
  <c r="EX295" i="1"/>
  <c r="EY295" i="1"/>
  <c r="EZ295" i="1"/>
  <c r="FA295" i="1"/>
  <c r="FB295" i="1"/>
  <c r="FC295" i="1"/>
  <c r="EX197" i="1"/>
  <c r="EY197" i="1"/>
  <c r="EZ197" i="1"/>
  <c r="FA197" i="1"/>
  <c r="FB197" i="1"/>
  <c r="FC197" i="1"/>
  <c r="EX162" i="1"/>
  <c r="EY162" i="1"/>
  <c r="EZ162" i="1"/>
  <c r="FA162" i="1"/>
  <c r="FB162" i="1"/>
  <c r="FC162" i="1"/>
  <c r="EX198" i="1"/>
  <c r="EY198" i="1"/>
  <c r="EZ198" i="1"/>
  <c r="FA198" i="1"/>
  <c r="FB198" i="1"/>
  <c r="FC198" i="1"/>
  <c r="EX296" i="1"/>
  <c r="EY296" i="1"/>
  <c r="EZ296" i="1"/>
  <c r="FA296" i="1"/>
  <c r="FB296" i="1"/>
  <c r="FC296" i="1"/>
  <c r="EX163" i="1"/>
  <c r="EY163" i="1"/>
  <c r="EZ163" i="1"/>
  <c r="FA163" i="1"/>
  <c r="FB163" i="1"/>
  <c r="FC163" i="1"/>
  <c r="EX297" i="1"/>
  <c r="EY297" i="1"/>
  <c r="EZ297" i="1"/>
  <c r="FA297" i="1"/>
  <c r="FB297" i="1"/>
  <c r="FC297" i="1"/>
  <c r="EX298" i="1"/>
  <c r="EY298" i="1"/>
  <c r="EZ298" i="1"/>
  <c r="FA298" i="1"/>
  <c r="FB298" i="1"/>
  <c r="FC298" i="1"/>
  <c r="EX199" i="1"/>
  <c r="EY199" i="1"/>
  <c r="EZ199" i="1"/>
  <c r="FA199" i="1"/>
  <c r="FB199" i="1"/>
  <c r="FC199" i="1"/>
  <c r="EX164" i="1"/>
  <c r="EY164" i="1"/>
  <c r="EZ164" i="1"/>
  <c r="FA164" i="1"/>
  <c r="FB164" i="1"/>
  <c r="FC164" i="1"/>
  <c r="EX200" i="1"/>
  <c r="EY200" i="1"/>
  <c r="EZ200" i="1"/>
  <c r="FA200" i="1"/>
  <c r="FB200" i="1"/>
  <c r="FC200" i="1"/>
  <c r="EX201" i="1"/>
  <c r="EY201" i="1"/>
  <c r="EZ201" i="1"/>
  <c r="FA201" i="1"/>
  <c r="FB201" i="1"/>
  <c r="FC201" i="1"/>
  <c r="EX165" i="1"/>
  <c r="EY165" i="1"/>
  <c r="EZ165" i="1"/>
  <c r="FA165" i="1"/>
  <c r="FB165" i="1"/>
  <c r="FC165" i="1"/>
  <c r="EX166" i="1"/>
  <c r="EY166" i="1"/>
  <c r="EZ166" i="1"/>
  <c r="FA166" i="1"/>
  <c r="FB166" i="1"/>
  <c r="FC166" i="1"/>
  <c r="EX202" i="1"/>
  <c r="EY202" i="1"/>
  <c r="EZ202" i="1"/>
  <c r="FA202" i="1"/>
  <c r="FB202" i="1"/>
  <c r="FC202" i="1"/>
  <c r="EX203" i="1"/>
  <c r="EY203" i="1"/>
  <c r="EZ203" i="1"/>
  <c r="FA203" i="1"/>
  <c r="FB203" i="1"/>
  <c r="FC203" i="1"/>
  <c r="EX204" i="1"/>
  <c r="EY204" i="1"/>
  <c r="EZ204" i="1"/>
  <c r="FA204" i="1"/>
  <c r="FB204" i="1"/>
  <c r="FC204" i="1"/>
  <c r="EX167" i="1"/>
  <c r="EY167" i="1"/>
  <c r="EZ167" i="1"/>
  <c r="FA167" i="1"/>
  <c r="FB167" i="1"/>
  <c r="FC167" i="1"/>
  <c r="EX205" i="1"/>
  <c r="EY205" i="1"/>
  <c r="EZ205" i="1"/>
  <c r="FA205" i="1"/>
  <c r="FB205" i="1"/>
  <c r="FC205" i="1"/>
  <c r="EX206" i="1"/>
  <c r="EY206" i="1"/>
  <c r="EZ206" i="1"/>
  <c r="FA206" i="1"/>
  <c r="FB206" i="1"/>
  <c r="FC206" i="1"/>
  <c r="EX207" i="1"/>
  <c r="EY207" i="1"/>
  <c r="EZ207" i="1"/>
  <c r="FA207" i="1"/>
  <c r="FB207" i="1"/>
  <c r="FC207" i="1"/>
  <c r="EX208" i="1"/>
  <c r="EY208" i="1"/>
  <c r="EZ208" i="1"/>
  <c r="FA208" i="1"/>
  <c r="FB208" i="1"/>
  <c r="FC208" i="1"/>
  <c r="EX209" i="1"/>
  <c r="EY209" i="1"/>
  <c r="EZ209" i="1"/>
  <c r="FA209" i="1"/>
  <c r="FB209" i="1"/>
  <c r="FC209" i="1"/>
  <c r="EX210" i="1"/>
  <c r="EY210" i="1"/>
  <c r="EZ210" i="1"/>
  <c r="FA210" i="1"/>
  <c r="FB210" i="1"/>
  <c r="FC210" i="1"/>
  <c r="EX168" i="1"/>
  <c r="EY168" i="1"/>
  <c r="EZ168" i="1"/>
  <c r="FA168" i="1"/>
  <c r="FB168" i="1"/>
  <c r="FC168" i="1"/>
  <c r="EX211" i="1"/>
  <c r="EY211" i="1"/>
  <c r="EZ211" i="1"/>
  <c r="FA211" i="1"/>
  <c r="FB211" i="1"/>
  <c r="FC211" i="1"/>
  <c r="EX213" i="1"/>
  <c r="EY213" i="1"/>
  <c r="EZ213" i="1"/>
  <c r="FA213" i="1"/>
  <c r="FB213" i="1"/>
  <c r="FC213" i="1"/>
  <c r="EX214" i="1"/>
  <c r="EY214" i="1"/>
  <c r="EZ214" i="1"/>
  <c r="FA214" i="1"/>
  <c r="FB214" i="1"/>
  <c r="FC214" i="1"/>
  <c r="EX215" i="1"/>
  <c r="EY215" i="1"/>
  <c r="EZ215" i="1"/>
  <c r="FA215" i="1"/>
  <c r="FB215" i="1"/>
  <c r="FC215" i="1"/>
  <c r="EX216" i="1"/>
  <c r="EY216" i="1"/>
  <c r="EZ216" i="1"/>
  <c r="FA216" i="1"/>
  <c r="FB216" i="1"/>
  <c r="FC216" i="1"/>
  <c r="EX217" i="1"/>
  <c r="EY217" i="1"/>
  <c r="EZ217" i="1"/>
  <c r="FA217" i="1"/>
  <c r="FB217" i="1"/>
  <c r="FC217" i="1"/>
  <c r="EX218" i="1"/>
  <c r="EY218" i="1"/>
  <c r="EZ218" i="1"/>
  <c r="FA218" i="1"/>
  <c r="FB218" i="1"/>
  <c r="FC218" i="1"/>
  <c r="EX299" i="1"/>
  <c r="EY299" i="1"/>
  <c r="EZ299" i="1"/>
  <c r="FA299" i="1"/>
  <c r="FB299" i="1"/>
  <c r="FC299" i="1"/>
  <c r="EX300" i="1"/>
  <c r="EY300" i="1"/>
  <c r="EZ300" i="1"/>
  <c r="FA300" i="1"/>
  <c r="FB300" i="1"/>
  <c r="FC300" i="1"/>
  <c r="EX301" i="1"/>
  <c r="EY301" i="1"/>
  <c r="EZ301" i="1"/>
  <c r="FA301" i="1"/>
  <c r="FB301" i="1"/>
  <c r="FC301" i="1"/>
  <c r="EX220" i="1"/>
  <c r="EY220" i="1"/>
  <c r="EZ220" i="1"/>
  <c r="FA220" i="1"/>
  <c r="FB220" i="1"/>
  <c r="FC220" i="1"/>
  <c r="EX221" i="1"/>
  <c r="EY221" i="1"/>
  <c r="EZ221" i="1"/>
  <c r="FA221" i="1"/>
  <c r="FB221" i="1"/>
  <c r="FC221" i="1"/>
  <c r="EX222" i="1"/>
  <c r="EY222" i="1"/>
  <c r="EZ222" i="1"/>
  <c r="FA222" i="1"/>
  <c r="FB222" i="1"/>
  <c r="FC222" i="1"/>
  <c r="EX223" i="1"/>
  <c r="EY223" i="1"/>
  <c r="EZ223" i="1"/>
  <c r="FA223" i="1"/>
  <c r="FB223" i="1"/>
  <c r="FC223" i="1"/>
  <c r="EX224" i="1"/>
  <c r="EY224" i="1"/>
  <c r="EZ224" i="1"/>
  <c r="FA224" i="1"/>
  <c r="FB224" i="1"/>
  <c r="FC224" i="1"/>
  <c r="EX225" i="1"/>
  <c r="EY225" i="1"/>
  <c r="EZ225" i="1"/>
  <c r="FA225" i="1"/>
  <c r="FB225" i="1"/>
  <c r="FC225" i="1"/>
  <c r="EX226" i="1"/>
  <c r="EY226" i="1"/>
  <c r="EZ226" i="1"/>
  <c r="FA226" i="1"/>
  <c r="FB226" i="1"/>
  <c r="FC226" i="1"/>
  <c r="EX227" i="1"/>
  <c r="EY227" i="1"/>
  <c r="EZ227" i="1"/>
  <c r="FA227" i="1"/>
  <c r="FB227" i="1"/>
  <c r="FC227" i="1"/>
  <c r="EX302" i="1"/>
  <c r="EY302" i="1"/>
  <c r="EZ302" i="1"/>
  <c r="FA302" i="1"/>
  <c r="FB302" i="1"/>
  <c r="FC302" i="1"/>
  <c r="EX303" i="1"/>
  <c r="EY303" i="1"/>
  <c r="EZ303" i="1"/>
  <c r="FA303" i="1"/>
  <c r="FB303" i="1"/>
  <c r="FC303" i="1"/>
  <c r="EX304" i="1"/>
  <c r="EY304" i="1"/>
  <c r="EZ304" i="1"/>
  <c r="FA304" i="1"/>
  <c r="FB304" i="1"/>
  <c r="FC304" i="1"/>
  <c r="EX228" i="1"/>
  <c r="EY228" i="1"/>
  <c r="EZ228" i="1"/>
  <c r="FA228" i="1"/>
  <c r="FB228" i="1"/>
  <c r="FC228" i="1"/>
  <c r="EX305" i="1"/>
  <c r="EY305" i="1"/>
  <c r="EZ305" i="1"/>
  <c r="FA305" i="1"/>
  <c r="FB305" i="1"/>
  <c r="FC305" i="1"/>
  <c r="EX229" i="1"/>
  <c r="EY229" i="1"/>
  <c r="EZ229" i="1"/>
  <c r="FA229" i="1"/>
  <c r="FB229" i="1"/>
  <c r="FC229" i="1"/>
  <c r="EX181" i="1"/>
  <c r="EY181" i="1"/>
  <c r="EZ181" i="1"/>
  <c r="FA181" i="1"/>
  <c r="FB181" i="1"/>
  <c r="FC181" i="1"/>
  <c r="EX230" i="1"/>
  <c r="EY230" i="1"/>
  <c r="EZ230" i="1"/>
  <c r="FA230" i="1"/>
  <c r="FB230" i="1"/>
  <c r="FC230" i="1"/>
  <c r="EX169" i="1"/>
  <c r="EY169" i="1"/>
  <c r="EZ169" i="1"/>
  <c r="FA169" i="1"/>
  <c r="FB169" i="1"/>
  <c r="FC169" i="1"/>
  <c r="EX231" i="1"/>
  <c r="EY231" i="1"/>
  <c r="EZ231" i="1"/>
  <c r="FA231" i="1"/>
  <c r="FB231" i="1"/>
  <c r="FC231" i="1"/>
  <c r="EX170" i="1"/>
  <c r="EY170" i="1"/>
  <c r="EZ170" i="1"/>
  <c r="FA170" i="1"/>
  <c r="FB170" i="1"/>
  <c r="FC170" i="1"/>
  <c r="EX182" i="1"/>
  <c r="EY182" i="1"/>
  <c r="EZ182" i="1"/>
  <c r="FA182" i="1"/>
  <c r="FB182" i="1"/>
  <c r="FC182" i="1"/>
  <c r="EX232" i="1"/>
  <c r="EY232" i="1"/>
  <c r="EZ232" i="1"/>
  <c r="FA232" i="1"/>
  <c r="FB232" i="1"/>
  <c r="FC232" i="1"/>
  <c r="EX233" i="1"/>
  <c r="EY233" i="1"/>
  <c r="EZ233" i="1"/>
  <c r="FA233" i="1"/>
  <c r="FB233" i="1"/>
  <c r="FC233" i="1"/>
  <c r="EX234" i="1"/>
  <c r="EY234" i="1"/>
  <c r="EZ234" i="1"/>
  <c r="FA234" i="1"/>
  <c r="FB234" i="1"/>
  <c r="FC234" i="1"/>
  <c r="EX235" i="1"/>
  <c r="EY235" i="1"/>
  <c r="EZ235" i="1"/>
  <c r="FA235" i="1"/>
  <c r="FB235" i="1"/>
  <c r="FC235" i="1"/>
  <c r="EX171" i="1"/>
  <c r="EY171" i="1"/>
  <c r="EZ171" i="1"/>
  <c r="FA171" i="1"/>
  <c r="FB171" i="1"/>
  <c r="FC171" i="1"/>
  <c r="EX172" i="1"/>
  <c r="EY172" i="1"/>
  <c r="EZ172" i="1"/>
  <c r="FA172" i="1"/>
  <c r="FB172" i="1"/>
  <c r="FC172" i="1"/>
  <c r="EX173" i="1"/>
  <c r="EY173" i="1"/>
  <c r="EZ173" i="1"/>
  <c r="FA173" i="1"/>
  <c r="FB173" i="1"/>
  <c r="FC173" i="1"/>
  <c r="EX236" i="1"/>
  <c r="EY236" i="1"/>
  <c r="EZ236" i="1"/>
  <c r="FA236" i="1"/>
  <c r="FB236" i="1"/>
  <c r="FC236" i="1"/>
  <c r="EX306" i="1"/>
  <c r="EY306" i="1"/>
  <c r="EZ306" i="1"/>
  <c r="FA306" i="1"/>
  <c r="FB306" i="1"/>
  <c r="FC306" i="1"/>
  <c r="EX237" i="1"/>
  <c r="EY237" i="1"/>
  <c r="EZ237" i="1"/>
  <c r="FA237" i="1"/>
  <c r="FB237" i="1"/>
  <c r="FC237" i="1"/>
  <c r="EX238" i="1"/>
  <c r="EY238" i="1"/>
  <c r="EZ238" i="1"/>
  <c r="FA238" i="1"/>
  <c r="FB238" i="1"/>
  <c r="FC238" i="1"/>
  <c r="EX239" i="1"/>
  <c r="EY239" i="1"/>
  <c r="EZ239" i="1"/>
  <c r="FA239" i="1"/>
  <c r="FB239" i="1"/>
  <c r="FC239" i="1"/>
  <c r="EX240" i="1"/>
  <c r="EY240" i="1"/>
  <c r="EZ240" i="1"/>
  <c r="FA240" i="1"/>
  <c r="FB240" i="1"/>
  <c r="FC240" i="1"/>
  <c r="EX241" i="1"/>
  <c r="EY241" i="1"/>
  <c r="EZ241" i="1"/>
  <c r="FA241" i="1"/>
  <c r="FB241" i="1"/>
  <c r="FC241" i="1"/>
  <c r="EX242" i="1"/>
  <c r="EY242" i="1"/>
  <c r="EZ242" i="1"/>
  <c r="FA242" i="1"/>
  <c r="FB242" i="1"/>
  <c r="FC242" i="1"/>
  <c r="EX134" i="1"/>
  <c r="EY134" i="1"/>
  <c r="EZ134" i="1"/>
  <c r="FA134" i="1"/>
  <c r="FB134" i="1"/>
  <c r="FC134" i="1"/>
  <c r="EX243" i="1"/>
  <c r="EY243" i="1"/>
  <c r="EZ243" i="1"/>
  <c r="FA243" i="1"/>
  <c r="FB243" i="1"/>
  <c r="FC243" i="1"/>
  <c r="EX174" i="1"/>
  <c r="EY174" i="1"/>
  <c r="EZ174" i="1"/>
  <c r="FA174" i="1"/>
  <c r="FB174" i="1"/>
  <c r="FC174" i="1"/>
  <c r="EX307" i="1"/>
  <c r="EY307" i="1"/>
  <c r="EZ307" i="1"/>
  <c r="FA307" i="1"/>
  <c r="FB307" i="1"/>
  <c r="FC307" i="1"/>
  <c r="EX244" i="1"/>
  <c r="EY244" i="1"/>
  <c r="EZ244" i="1"/>
  <c r="FA244" i="1"/>
  <c r="FB244" i="1"/>
  <c r="FC244" i="1"/>
  <c r="EX245" i="1"/>
  <c r="EY245" i="1"/>
  <c r="EZ245" i="1"/>
  <c r="FA245" i="1"/>
  <c r="FB245" i="1"/>
  <c r="FC245" i="1"/>
  <c r="EX175" i="1"/>
  <c r="EY175" i="1"/>
  <c r="EZ175" i="1"/>
  <c r="FA175" i="1"/>
  <c r="FB175" i="1"/>
  <c r="FC175" i="1"/>
  <c r="EX176" i="1"/>
  <c r="EY176" i="1"/>
  <c r="EZ176" i="1"/>
  <c r="FA176" i="1"/>
  <c r="FB176" i="1"/>
  <c r="FC176" i="1"/>
  <c r="EX246" i="1"/>
  <c r="EY246" i="1"/>
  <c r="EZ246" i="1"/>
  <c r="FA246" i="1"/>
  <c r="FB246" i="1"/>
  <c r="FC246" i="1"/>
  <c r="EX183" i="1"/>
  <c r="EY183" i="1"/>
  <c r="EZ183" i="1"/>
  <c r="FA183" i="1"/>
  <c r="FB183" i="1"/>
  <c r="FC183" i="1"/>
  <c r="EX247" i="1"/>
  <c r="EY247" i="1"/>
  <c r="EZ247" i="1"/>
  <c r="FA247" i="1"/>
  <c r="FB247" i="1"/>
  <c r="FC247" i="1"/>
  <c r="EX248" i="1"/>
  <c r="EY248" i="1"/>
  <c r="EZ248" i="1"/>
  <c r="FA248" i="1"/>
  <c r="FB248" i="1"/>
  <c r="FC248" i="1"/>
  <c r="EX308" i="1"/>
  <c r="EY308" i="1"/>
  <c r="EZ308" i="1"/>
  <c r="FA308" i="1"/>
  <c r="FB308" i="1"/>
  <c r="FC308" i="1"/>
  <c r="EX309" i="1"/>
  <c r="EY309" i="1"/>
  <c r="EZ309" i="1"/>
  <c r="FA309" i="1"/>
  <c r="FB309" i="1"/>
  <c r="FC309" i="1"/>
  <c r="EX249" i="1"/>
  <c r="EY249" i="1"/>
  <c r="EZ249" i="1"/>
  <c r="FA249" i="1"/>
  <c r="FB249" i="1"/>
  <c r="FC249" i="1"/>
  <c r="EX310" i="1"/>
  <c r="EY310" i="1"/>
  <c r="EZ310" i="1"/>
  <c r="FA310" i="1"/>
  <c r="FB310" i="1"/>
  <c r="FC310" i="1"/>
  <c r="EX250" i="1"/>
  <c r="EY250" i="1"/>
  <c r="EZ250" i="1"/>
  <c r="FA250" i="1"/>
  <c r="FB250" i="1"/>
  <c r="FC250" i="1"/>
  <c r="EX251" i="1"/>
  <c r="EY251" i="1"/>
  <c r="EZ251" i="1"/>
  <c r="FA251" i="1"/>
  <c r="FB251" i="1"/>
  <c r="FC251" i="1"/>
  <c r="EX252" i="1"/>
  <c r="EY252" i="1"/>
  <c r="EZ252" i="1"/>
  <c r="FA252" i="1"/>
  <c r="FB252" i="1"/>
  <c r="FC252" i="1"/>
  <c r="EX253" i="1"/>
  <c r="EY253" i="1"/>
  <c r="EZ253" i="1"/>
  <c r="FA253" i="1"/>
  <c r="FB253" i="1"/>
  <c r="FC253" i="1"/>
  <c r="EX254" i="1"/>
  <c r="EY254" i="1"/>
  <c r="EZ254" i="1"/>
  <c r="FA254" i="1"/>
  <c r="FB254" i="1"/>
  <c r="FC254" i="1"/>
  <c r="EX255" i="1"/>
  <c r="EY255" i="1"/>
  <c r="EZ255" i="1"/>
  <c r="FA255" i="1"/>
  <c r="FB255" i="1"/>
  <c r="FC255" i="1"/>
  <c r="EX184" i="1"/>
  <c r="EY184" i="1"/>
  <c r="EZ184" i="1"/>
  <c r="FA184" i="1"/>
  <c r="FB184" i="1"/>
  <c r="FC184" i="1"/>
  <c r="EX256" i="1"/>
  <c r="EY256" i="1"/>
  <c r="EZ256" i="1"/>
  <c r="FA256" i="1"/>
  <c r="FB256" i="1"/>
  <c r="FC256" i="1"/>
  <c r="EX257" i="1"/>
  <c r="EY257" i="1"/>
  <c r="EZ257" i="1"/>
  <c r="FA257" i="1"/>
  <c r="FB257" i="1"/>
  <c r="FC257" i="1"/>
  <c r="EX258" i="1"/>
  <c r="EY258" i="1"/>
  <c r="EZ258" i="1"/>
  <c r="FA258" i="1"/>
  <c r="FB258" i="1"/>
  <c r="FC258" i="1"/>
  <c r="EX259" i="1"/>
  <c r="EY259" i="1"/>
  <c r="EZ259" i="1"/>
  <c r="FA259" i="1"/>
  <c r="FB259" i="1"/>
  <c r="FC259" i="1"/>
  <c r="EX260" i="1"/>
  <c r="EY260" i="1"/>
  <c r="EZ260" i="1"/>
  <c r="FA260" i="1"/>
  <c r="FB260" i="1"/>
  <c r="FC260" i="1"/>
  <c r="EX261" i="1"/>
  <c r="EY261" i="1"/>
  <c r="EZ261" i="1"/>
  <c r="FA261" i="1"/>
  <c r="FB261" i="1"/>
  <c r="FC261" i="1"/>
  <c r="EX262" i="1"/>
  <c r="EY262" i="1"/>
  <c r="EZ262" i="1"/>
  <c r="FA262" i="1"/>
  <c r="FB262" i="1"/>
  <c r="FC262" i="1"/>
  <c r="EX263" i="1"/>
  <c r="EY263" i="1"/>
  <c r="EZ263" i="1"/>
  <c r="FA263" i="1"/>
  <c r="FB263" i="1"/>
  <c r="FC263" i="1"/>
  <c r="EX264" i="1"/>
  <c r="EY264" i="1"/>
  <c r="EZ264" i="1"/>
  <c r="FA264" i="1"/>
  <c r="FB264" i="1"/>
  <c r="FC264" i="1"/>
  <c r="EX212" i="1"/>
  <c r="EY212" i="1"/>
  <c r="EZ212" i="1"/>
  <c r="FA212" i="1"/>
  <c r="FB212" i="1"/>
  <c r="FC212" i="1"/>
  <c r="EX265" i="1"/>
  <c r="EY265" i="1"/>
  <c r="EZ265" i="1"/>
  <c r="FA265" i="1"/>
  <c r="FB265" i="1"/>
  <c r="FC265" i="1"/>
  <c r="EX311" i="1"/>
  <c r="EY311" i="1"/>
  <c r="EZ311" i="1"/>
  <c r="FA311" i="1"/>
  <c r="FB311" i="1"/>
  <c r="FC311" i="1"/>
  <c r="EX312" i="1"/>
  <c r="EY312" i="1"/>
  <c r="EZ312" i="1"/>
  <c r="FA312" i="1"/>
  <c r="FB312" i="1"/>
  <c r="FC312" i="1"/>
  <c r="EX313" i="1"/>
  <c r="EY313" i="1"/>
  <c r="EZ313" i="1"/>
  <c r="FA313" i="1"/>
  <c r="FB313" i="1"/>
  <c r="FC313" i="1"/>
  <c r="EX266" i="1"/>
  <c r="EY266" i="1"/>
  <c r="EZ266" i="1"/>
  <c r="FA266" i="1"/>
  <c r="FB266" i="1"/>
  <c r="FC266" i="1"/>
  <c r="EX267" i="1"/>
  <c r="EY267" i="1"/>
  <c r="EZ267" i="1"/>
  <c r="FA267" i="1"/>
  <c r="FB267" i="1"/>
  <c r="FC267" i="1"/>
  <c r="EX268" i="1"/>
  <c r="EY268" i="1"/>
  <c r="EZ268" i="1"/>
  <c r="FA268" i="1"/>
  <c r="FB268" i="1"/>
  <c r="FC268" i="1"/>
  <c r="EX269" i="1"/>
  <c r="EY269" i="1"/>
  <c r="EZ269" i="1"/>
  <c r="FA269" i="1"/>
  <c r="FB269" i="1"/>
  <c r="FC269" i="1"/>
  <c r="EX270" i="1"/>
  <c r="EY270" i="1"/>
  <c r="EZ270" i="1"/>
  <c r="FA270" i="1"/>
  <c r="FB270" i="1"/>
  <c r="FC270" i="1"/>
  <c r="EX271" i="1"/>
  <c r="EY271" i="1"/>
  <c r="EZ271" i="1"/>
  <c r="FA271" i="1"/>
  <c r="FB271" i="1"/>
  <c r="FC271" i="1"/>
  <c r="EX315" i="1"/>
  <c r="EY315" i="1"/>
  <c r="EZ315" i="1"/>
  <c r="FA315" i="1"/>
  <c r="FB315" i="1"/>
  <c r="FC315" i="1"/>
  <c r="EX177" i="1"/>
  <c r="EY177" i="1"/>
  <c r="EZ177" i="1"/>
  <c r="FA177" i="1"/>
  <c r="FB177" i="1"/>
  <c r="FC177" i="1"/>
  <c r="EX135" i="1"/>
  <c r="EY135" i="1"/>
  <c r="EZ135" i="1"/>
  <c r="FA135" i="1"/>
  <c r="FB135" i="1"/>
  <c r="FC135" i="1"/>
  <c r="EX136" i="1"/>
  <c r="EY136" i="1"/>
  <c r="EZ136" i="1"/>
  <c r="FA136" i="1"/>
  <c r="FB136" i="1"/>
  <c r="FC136" i="1"/>
  <c r="EX137" i="1"/>
  <c r="EY137" i="1"/>
  <c r="EZ137" i="1"/>
  <c r="FA137" i="1"/>
  <c r="FB137" i="1"/>
  <c r="FC137" i="1"/>
  <c r="EX138" i="1"/>
  <c r="EY138" i="1"/>
  <c r="EZ138" i="1"/>
  <c r="FA138" i="1"/>
  <c r="FB138" i="1"/>
  <c r="FC138" i="1"/>
  <c r="EX139" i="1"/>
  <c r="EY139" i="1"/>
  <c r="EZ139" i="1"/>
  <c r="FA139" i="1"/>
  <c r="FB139" i="1"/>
  <c r="FC139" i="1"/>
  <c r="EX140" i="1"/>
  <c r="EY140" i="1"/>
  <c r="EZ140" i="1"/>
  <c r="FA140" i="1"/>
  <c r="FB140" i="1"/>
  <c r="FC140" i="1"/>
  <c r="EX141" i="1"/>
  <c r="EY141" i="1"/>
  <c r="EZ141" i="1"/>
  <c r="FA141" i="1"/>
  <c r="FB141" i="1"/>
  <c r="FC141" i="1"/>
  <c r="EX142" i="1"/>
  <c r="EY142" i="1"/>
  <c r="EZ142" i="1"/>
  <c r="FA142" i="1"/>
  <c r="FB142" i="1"/>
  <c r="FC142" i="1"/>
  <c r="EX143" i="1"/>
  <c r="EY143" i="1"/>
  <c r="EZ143" i="1"/>
  <c r="FA143" i="1"/>
  <c r="FB143" i="1"/>
  <c r="FC143" i="1"/>
  <c r="EX53" i="1"/>
  <c r="EY53" i="1"/>
  <c r="EZ53" i="1"/>
  <c r="FA53" i="1"/>
  <c r="FB53" i="1"/>
  <c r="FC53" i="1"/>
  <c r="EX54" i="1"/>
  <c r="EY54" i="1"/>
  <c r="EZ54" i="1"/>
  <c r="FA54" i="1"/>
  <c r="FB54" i="1"/>
  <c r="FC54" i="1"/>
  <c r="EX144" i="1"/>
  <c r="EY144" i="1"/>
  <c r="EZ144" i="1"/>
  <c r="FA144" i="1"/>
  <c r="FB144" i="1"/>
  <c r="FC144" i="1"/>
  <c r="EX178" i="1"/>
  <c r="EY178" i="1"/>
  <c r="EZ178" i="1"/>
  <c r="FA178" i="1"/>
  <c r="FB178" i="1"/>
  <c r="FC178" i="1"/>
  <c r="EX179" i="1"/>
  <c r="EY179" i="1"/>
  <c r="EZ179" i="1"/>
  <c r="FA179" i="1"/>
  <c r="FB179" i="1"/>
  <c r="FC179" i="1"/>
  <c r="EX272" i="1"/>
  <c r="EY272" i="1"/>
  <c r="EZ272" i="1"/>
  <c r="FA272" i="1"/>
  <c r="FB272" i="1"/>
  <c r="FC272" i="1"/>
  <c r="BZ12" i="1"/>
  <c r="BM272" i="1"/>
  <c r="AZ272" i="1"/>
  <c r="AM12" i="1"/>
  <c r="CG106" i="1"/>
  <c r="CG265" i="1"/>
  <c r="FL273" i="1" l="1"/>
  <c r="CH273" i="1"/>
  <c r="CA31" i="1"/>
  <c r="FL31" i="1"/>
  <c r="CA273" i="1"/>
  <c r="FL110" i="1"/>
  <c r="CG273" i="1"/>
  <c r="EV167" i="1"/>
  <c r="EI167" i="1"/>
  <c r="DV167" i="1"/>
  <c r="DI167" i="1"/>
  <c r="CV167" i="1"/>
  <c r="CH181" i="1" l="1"/>
  <c r="CG181" i="1"/>
  <c r="CH313" i="1"/>
  <c r="CG313" i="1"/>
  <c r="CA313" i="1"/>
  <c r="FL313" i="1"/>
  <c r="CA235" i="1"/>
  <c r="FL235" i="1"/>
  <c r="CA307" i="1"/>
  <c r="FL307" i="1"/>
  <c r="CA172" i="1"/>
  <c r="FL172" i="1"/>
  <c r="CA304" i="1"/>
  <c r="FL304" i="1"/>
  <c r="CA300" i="1"/>
  <c r="FL300" i="1"/>
  <c r="CA204" i="1"/>
  <c r="FL204" i="1"/>
  <c r="CA270" i="1"/>
  <c r="FL270" i="1"/>
  <c r="CA250" i="1"/>
  <c r="FL250" i="1"/>
  <c r="CA238" i="1"/>
  <c r="FL238" i="1"/>
  <c r="CA199" i="1"/>
  <c r="FL199" i="1"/>
  <c r="CA183" i="1"/>
  <c r="FL183" i="1"/>
  <c r="CA169" i="1"/>
  <c r="FL169" i="1"/>
  <c r="CA298" i="1"/>
  <c r="FL298" i="1"/>
  <c r="CA248" i="1"/>
  <c r="FL248" i="1"/>
  <c r="CA207" i="1"/>
  <c r="FL207" i="1"/>
  <c r="CA255" i="1"/>
  <c r="FL255" i="1"/>
  <c r="CA231" i="1"/>
  <c r="FL231" i="1"/>
  <c r="CA168" i="1"/>
  <c r="FL168" i="1"/>
  <c r="CA210" i="1"/>
  <c r="FL210" i="1"/>
  <c r="CA201" i="1"/>
  <c r="FL201" i="1"/>
  <c r="CA252" i="1"/>
  <c r="FL252" i="1"/>
  <c r="CA166" i="1"/>
  <c r="FL166" i="1"/>
  <c r="CA240" i="1"/>
  <c r="FL240" i="1"/>
  <c r="CA230" i="1"/>
  <c r="FL230" i="1"/>
  <c r="CA171" i="1"/>
  <c r="FL171" i="1"/>
  <c r="CA315" i="1"/>
  <c r="FL315" i="1"/>
  <c r="CA198" i="1"/>
  <c r="FL198" i="1"/>
  <c r="CA251" i="1"/>
  <c r="FL251" i="1"/>
  <c r="CA249" i="1"/>
  <c r="FL249" i="1"/>
  <c r="CA258" i="1"/>
  <c r="FL258" i="1"/>
  <c r="CA213" i="1"/>
  <c r="FL213" i="1"/>
  <c r="CA163" i="1"/>
  <c r="FL163" i="1"/>
  <c r="CA261" i="1"/>
  <c r="FL261" i="1"/>
  <c r="CA297" i="1"/>
  <c r="FL297" i="1"/>
  <c r="CA181" i="1"/>
  <c r="FL181" i="1"/>
  <c r="CA237" i="1"/>
  <c r="FL237" i="1"/>
  <c r="CA269" i="1"/>
  <c r="FL269" i="1"/>
  <c r="CA222" i="1"/>
  <c r="FL222" i="1"/>
  <c r="CA162" i="1"/>
  <c r="FL162" i="1"/>
  <c r="CA208" i="1"/>
  <c r="FL208" i="1"/>
  <c r="CA197" i="1"/>
  <c r="FL197" i="1"/>
  <c r="CA268" i="1"/>
  <c r="FL268" i="1"/>
  <c r="CA271" i="1"/>
  <c r="FL271" i="1"/>
  <c r="CA177" i="1"/>
  <c r="FL177" i="1"/>
  <c r="CA295" i="1"/>
  <c r="FL295" i="1"/>
  <c r="CA256" i="1"/>
  <c r="FL256" i="1"/>
  <c r="CA239" i="1"/>
  <c r="FL239" i="1"/>
  <c r="CA110" i="1"/>
  <c r="FL224" i="1"/>
  <c r="FL242" i="1"/>
  <c r="FL236" i="1"/>
  <c r="CH221" i="1"/>
  <c r="FL312" i="1"/>
  <c r="FL227" i="1"/>
  <c r="FL202" i="1"/>
  <c r="FL167" i="1"/>
  <c r="FL196" i="1"/>
  <c r="FL216" i="1"/>
  <c r="FL245" i="1"/>
  <c r="FL217" i="1"/>
  <c r="FL215" i="1"/>
  <c r="FL267" i="1"/>
  <c r="FL260" i="1"/>
  <c r="FL206" i="1"/>
  <c r="FL243" i="1"/>
  <c r="CH174" i="1"/>
  <c r="FL214" i="1"/>
  <c r="FL223" i="1"/>
  <c r="FL203" i="1"/>
  <c r="FL302" i="1"/>
  <c r="FL257" i="1"/>
  <c r="FL205" i="1"/>
  <c r="CH220" i="1"/>
  <c r="FL218" i="1"/>
  <c r="FL234" i="1"/>
  <c r="FL296" i="1"/>
  <c r="FL200" i="1"/>
  <c r="FL182" i="1"/>
  <c r="FL247" i="1"/>
  <c r="FL209" i="1"/>
  <c r="FL229" i="1"/>
  <c r="FL211" i="1"/>
  <c r="CG110" i="1"/>
  <c r="EW167" i="1"/>
  <c r="CA241" i="1" l="1"/>
  <c r="FL241" i="1"/>
  <c r="CA164" i="1"/>
  <c r="FL164" i="1"/>
  <c r="CA175" i="1"/>
  <c r="FL175" i="1"/>
  <c r="CA306" i="1"/>
  <c r="FL306" i="1"/>
  <c r="CA184" i="1"/>
  <c r="FL184" i="1"/>
  <c r="CA173" i="1"/>
  <c r="FL173" i="1"/>
  <c r="CA225" i="1"/>
  <c r="FL225" i="1"/>
  <c r="CA165" i="1"/>
  <c r="FL165" i="1"/>
  <c r="CA176" i="1"/>
  <c r="FL176" i="1"/>
  <c r="CA253" i="1"/>
  <c r="FL253" i="1"/>
  <c r="CA309" i="1"/>
  <c r="FL309" i="1"/>
  <c r="CA264" i="1"/>
  <c r="FL264" i="1"/>
  <c r="CA134" i="1"/>
  <c r="FL134" i="1"/>
  <c r="CA303" i="1"/>
  <c r="FL303" i="1"/>
  <c r="CA263" i="1"/>
  <c r="FL263" i="1"/>
  <c r="CA228" i="1"/>
  <c r="FL228" i="1"/>
  <c r="CA310" i="1"/>
  <c r="FL310" i="1"/>
  <c r="CA244" i="1"/>
  <c r="FL244" i="1"/>
  <c r="CA170" i="1"/>
  <c r="FL170" i="1"/>
  <c r="CA220" i="1"/>
  <c r="FL220" i="1"/>
  <c r="CA212" i="1"/>
  <c r="FL212" i="1"/>
  <c r="CA299" i="1"/>
  <c r="FL299" i="1"/>
  <c r="CA226" i="1"/>
  <c r="FL226" i="1"/>
  <c r="CA301" i="1"/>
  <c r="FL301" i="1"/>
  <c r="CA305" i="1"/>
  <c r="FL305" i="1"/>
  <c r="CA221" i="1"/>
  <c r="FL221" i="1"/>
  <c r="CA262" i="1"/>
  <c r="FL262" i="1"/>
  <c r="CA246" i="1"/>
  <c r="FL246" i="1"/>
  <c r="CA311" i="1"/>
  <c r="FL311" i="1"/>
  <c r="CA259" i="1"/>
  <c r="FL259" i="1"/>
  <c r="CA174" i="1"/>
  <c r="FL174" i="1"/>
  <c r="CA308" i="1"/>
  <c r="FL308" i="1"/>
  <c r="CA254" i="1"/>
  <c r="FL254" i="1"/>
  <c r="CA233" i="1"/>
  <c r="FL233" i="1"/>
  <c r="CA209" i="1"/>
  <c r="CA247" i="1"/>
  <c r="CA312" i="1"/>
  <c r="CA229" i="1"/>
  <c r="CA182" i="1"/>
  <c r="CA257" i="1"/>
  <c r="CA196" i="1"/>
  <c r="CA227" i="1"/>
  <c r="CA224" i="1"/>
  <c r="CA203" i="1"/>
  <c r="CA260" i="1"/>
  <c r="CA217" i="1"/>
  <c r="CA202" i="1"/>
  <c r="CA242" i="1"/>
  <c r="CA245" i="1"/>
  <c r="CA200" i="1"/>
  <c r="CA234" i="1"/>
  <c r="CA218" i="1"/>
  <c r="CA223" i="1"/>
  <c r="CA267" i="1"/>
  <c r="CA167" i="1"/>
  <c r="CA236" i="1"/>
  <c r="CA211" i="1"/>
  <c r="CA205" i="1"/>
  <c r="CA243" i="1"/>
  <c r="CA215" i="1"/>
  <c r="CA296" i="1"/>
  <c r="CA302" i="1"/>
  <c r="CA214" i="1"/>
  <c r="CA206" i="1"/>
  <c r="CA216" i="1"/>
  <c r="CG211" i="1"/>
  <c r="CG176" i="1"/>
  <c r="CG209" i="1"/>
  <c r="CG254" i="1"/>
  <c r="CG247" i="1"/>
  <c r="CG200" i="1"/>
  <c r="CG241" i="1"/>
  <c r="CG234" i="1"/>
  <c r="CG164" i="1"/>
  <c r="CG218" i="1"/>
  <c r="CG205" i="1"/>
  <c r="CG233" i="1"/>
  <c r="CG203" i="1"/>
  <c r="CG223" i="1"/>
  <c r="CG175" i="1"/>
  <c r="CG253" i="1"/>
  <c r="CG243" i="1"/>
  <c r="CG309" i="1"/>
  <c r="CG260" i="1"/>
  <c r="CG267" i="1"/>
  <c r="CG215" i="1"/>
  <c r="CG264" i="1"/>
  <c r="CG217" i="1"/>
  <c r="CG134" i="1"/>
  <c r="CG259" i="1"/>
  <c r="CG167" i="1"/>
  <c r="CG202" i="1"/>
  <c r="CG303" i="1"/>
  <c r="CG312" i="1"/>
  <c r="CG263" i="1"/>
  <c r="CG306" i="1"/>
  <c r="CG236" i="1"/>
  <c r="CG242" i="1"/>
  <c r="CG229" i="1"/>
  <c r="CG228" i="1"/>
  <c r="CG246" i="1"/>
  <c r="CG310" i="1"/>
  <c r="CG182" i="1"/>
  <c r="CG244" i="1"/>
  <c r="CG296" i="1"/>
  <c r="CG170" i="1"/>
  <c r="CG184" i="1"/>
  <c r="CG220" i="1"/>
  <c r="CG257" i="1"/>
  <c r="CG302" i="1"/>
  <c r="CG173" i="1"/>
  <c r="CG214" i="1"/>
  <c r="CG174" i="1"/>
  <c r="CG212" i="1"/>
  <c r="CG225" i="1"/>
  <c r="CG206" i="1"/>
  <c r="CG311" i="1"/>
  <c r="CG299" i="1"/>
  <c r="CG226" i="1"/>
  <c r="CG245" i="1"/>
  <c r="CG216" i="1"/>
  <c r="CG196" i="1"/>
  <c r="CG301" i="1"/>
  <c r="CG227" i="1"/>
  <c r="CG305" i="1"/>
  <c r="CG165" i="1"/>
  <c r="CG221" i="1"/>
  <c r="CG308" i="1"/>
  <c r="CG262" i="1"/>
  <c r="CG224" i="1"/>
  <c r="CH167" i="1"/>
  <c r="AL80" i="1" l="1"/>
  <c r="AM80" i="1" s="1"/>
  <c r="AL85" i="1" l="1"/>
  <c r="AM85" i="1" s="1"/>
  <c r="AH90" i="1"/>
  <c r="AH316" i="1" s="1"/>
  <c r="AL316" i="1" l="1"/>
  <c r="EV97" i="1"/>
  <c r="EI97" i="1"/>
  <c r="DV97" i="1"/>
  <c r="DI97" i="1"/>
  <c r="CV97" i="1"/>
  <c r="CA97" i="1" l="1"/>
  <c r="FL97" i="1"/>
  <c r="EW97" i="1"/>
  <c r="AR316" i="1" l="1"/>
  <c r="V19" i="34"/>
  <c r="V20" i="34"/>
  <c r="V21" i="34"/>
  <c r="V22" i="34"/>
  <c r="V23" i="34"/>
  <c r="V24" i="34"/>
  <c r="V25" i="34"/>
  <c r="V26" i="34"/>
  <c r="V27" i="34"/>
  <c r="V28" i="34"/>
  <c r="V29" i="34"/>
  <c r="V30" i="34"/>
  <c r="V31" i="34"/>
  <c r="V32" i="34"/>
  <c r="V33" i="34"/>
  <c r="V34" i="34"/>
  <c r="V35" i="34"/>
  <c r="V36" i="34"/>
  <c r="V37" i="34"/>
  <c r="V38" i="34"/>
  <c r="V39" i="34"/>
  <c r="V40" i="34"/>
  <c r="V41" i="34"/>
  <c r="V42" i="34"/>
  <c r="V43" i="34"/>
  <c r="V44" i="34"/>
  <c r="V45" i="34"/>
  <c r="V46" i="34"/>
  <c r="V47" i="34"/>
  <c r="V48" i="34"/>
  <c r="V49" i="34"/>
  <c r="V50" i="34"/>
  <c r="V51" i="34"/>
  <c r="V52" i="34"/>
  <c r="V53" i="34"/>
  <c r="V54" i="34"/>
  <c r="V55" i="34"/>
  <c r="V56" i="34"/>
  <c r="V57" i="34"/>
  <c r="V58" i="34"/>
  <c r="V59" i="34"/>
  <c r="V60" i="34"/>
  <c r="V61" i="34"/>
  <c r="V62" i="34"/>
  <c r="V63" i="34"/>
  <c r="V64" i="34"/>
  <c r="V65" i="34"/>
  <c r="V66" i="34"/>
  <c r="V67" i="34"/>
  <c r="V68" i="34"/>
  <c r="V69" i="34"/>
  <c r="V70" i="34"/>
  <c r="V71" i="34"/>
  <c r="V72" i="34"/>
  <c r="V73" i="34"/>
  <c r="V74" i="34"/>
  <c r="V75" i="34"/>
  <c r="V76" i="34"/>
  <c r="V77" i="34"/>
  <c r="V78" i="34"/>
  <c r="V79" i="34"/>
  <c r="V80" i="34"/>
  <c r="V81" i="34"/>
  <c r="V82" i="34"/>
  <c r="V83" i="34"/>
  <c r="V84" i="34"/>
  <c r="V85" i="34"/>
  <c r="V86" i="34"/>
  <c r="V87" i="34"/>
  <c r="V88" i="34"/>
  <c r="V89" i="34"/>
  <c r="V90" i="34"/>
  <c r="V91" i="34"/>
  <c r="V92" i="34"/>
  <c r="V93" i="34"/>
  <c r="V94" i="34"/>
  <c r="V95" i="34"/>
  <c r="V96" i="34"/>
  <c r="V97" i="34"/>
  <c r="V98" i="34"/>
  <c r="V99" i="34"/>
  <c r="V100" i="34"/>
  <c r="V101" i="34"/>
  <c r="V102" i="34"/>
  <c r="V103" i="34"/>
  <c r="V104" i="34"/>
  <c r="V105" i="34"/>
  <c r="V106" i="34"/>
  <c r="V107" i="34"/>
  <c r="V108" i="34"/>
  <c r="V109" i="34"/>
  <c r="V110" i="34"/>
  <c r="V111" i="34"/>
  <c r="V112" i="34"/>
  <c r="V113" i="34"/>
  <c r="V114" i="34"/>
  <c r="V115" i="34"/>
  <c r="V116" i="34"/>
  <c r="V117" i="34"/>
  <c r="V118" i="34"/>
  <c r="V119" i="34"/>
  <c r="V120" i="34"/>
  <c r="V121" i="34"/>
  <c r="V122" i="34"/>
  <c r="V123" i="34"/>
  <c r="V124" i="34"/>
  <c r="V125" i="34"/>
  <c r="V126" i="34"/>
  <c r="V127" i="34"/>
  <c r="V128" i="34"/>
  <c r="V129" i="34"/>
  <c r="V130" i="34"/>
  <c r="V131" i="34"/>
  <c r="V132" i="34"/>
  <c r="V133" i="34"/>
  <c r="V134" i="34"/>
  <c r="V135" i="34"/>
  <c r="V136" i="34"/>
  <c r="V137" i="34"/>
  <c r="V138" i="34"/>
  <c r="V139" i="34"/>
  <c r="V140" i="34"/>
  <c r="V141" i="34"/>
  <c r="V142" i="34"/>
  <c r="V143" i="34"/>
  <c r="V144" i="34"/>
  <c r="V145" i="34"/>
  <c r="V146" i="34"/>
  <c r="V147" i="34"/>
  <c r="V148" i="34"/>
  <c r="V149" i="34"/>
  <c r="V150" i="34"/>
  <c r="V151" i="34"/>
  <c r="V152" i="34"/>
  <c r="V153" i="34"/>
  <c r="V154" i="34"/>
  <c r="V155" i="34"/>
  <c r="V156" i="34"/>
  <c r="V157" i="34"/>
  <c r="V158" i="34"/>
  <c r="V159" i="34"/>
  <c r="V160" i="34"/>
  <c r="V161" i="34"/>
  <c r="V162" i="34"/>
  <c r="V163" i="34"/>
  <c r="V164" i="34"/>
  <c r="V165" i="34"/>
  <c r="V166" i="34"/>
  <c r="V167" i="34"/>
  <c r="V168" i="34"/>
  <c r="V169" i="34"/>
  <c r="V170" i="34"/>
  <c r="V171" i="34"/>
  <c r="V172" i="34"/>
  <c r="V173" i="34"/>
  <c r="V174" i="34"/>
  <c r="V175" i="34"/>
  <c r="V176" i="34"/>
  <c r="V177" i="34"/>
  <c r="V178" i="34"/>
  <c r="V179" i="34"/>
  <c r="V180" i="34"/>
  <c r="V181" i="34"/>
  <c r="V182" i="34"/>
  <c r="V183" i="34"/>
  <c r="V184" i="34"/>
  <c r="V185" i="34"/>
  <c r="V186" i="34"/>
  <c r="V187" i="34"/>
  <c r="V188" i="34"/>
  <c r="V189" i="34"/>
  <c r="V190" i="34"/>
  <c r="V191" i="34"/>
  <c r="V192" i="34"/>
  <c r="V193" i="34"/>
  <c r="V194" i="34"/>
  <c r="V195" i="34"/>
  <c r="V196" i="34"/>
  <c r="V197" i="34"/>
  <c r="V198" i="34"/>
  <c r="V199" i="34"/>
  <c r="V200" i="34"/>
  <c r="V201" i="34"/>
  <c r="V202" i="34"/>
  <c r="V203" i="34"/>
  <c r="V5" i="34"/>
  <c r="V6" i="34"/>
  <c r="V7" i="34"/>
  <c r="V8" i="34"/>
  <c r="V9" i="34"/>
  <c r="V10" i="34"/>
  <c r="V11" i="34"/>
  <c r="V12" i="34"/>
  <c r="V13" i="34"/>
  <c r="V14" i="34"/>
  <c r="V15" i="34"/>
  <c r="V16" i="34"/>
  <c r="V17" i="34"/>
  <c r="V18" i="34"/>
  <c r="V4" i="34"/>
  <c r="EV110" i="1" l="1"/>
  <c r="EI110" i="1"/>
  <c r="DV110" i="1"/>
  <c r="DI110" i="1"/>
  <c r="CV110" i="1"/>
  <c r="CH110" i="1" l="1"/>
  <c r="EW110" i="1"/>
  <c r="CS53" i="23"/>
  <c r="CS52" i="23"/>
  <c r="CS51" i="23"/>
  <c r="CS50" i="23"/>
  <c r="CS49" i="23"/>
  <c r="CS48" i="23"/>
  <c r="CS47" i="23"/>
  <c r="CS46" i="23"/>
  <c r="CB53" i="23"/>
  <c r="CB52" i="23"/>
  <c r="BO53" i="23"/>
  <c r="BO52" i="23"/>
  <c r="BB53" i="23"/>
  <c r="BB52" i="23"/>
  <c r="AO53" i="23"/>
  <c r="AB53" i="23"/>
  <c r="AB52" i="23"/>
  <c r="CC53" i="23" l="1"/>
  <c r="CC52" i="23"/>
  <c r="D26" i="33"/>
  <c r="D13" i="33"/>
  <c r="BO51" i="23" l="1"/>
  <c r="BB51" i="23"/>
  <c r="BO50" i="23"/>
  <c r="BB50" i="23"/>
  <c r="BO49" i="23"/>
  <c r="BB49" i="23"/>
  <c r="BO48" i="23"/>
  <c r="BB48" i="23"/>
  <c r="BO47" i="23"/>
  <c r="BB47" i="23"/>
  <c r="BO46" i="23"/>
  <c r="BB46" i="23"/>
  <c r="AO47" i="23"/>
  <c r="AO48" i="23"/>
  <c r="AO49" i="23"/>
  <c r="AO50" i="23"/>
  <c r="AO51" i="23"/>
  <c r="AO46" i="23"/>
  <c r="AB46" i="23"/>
  <c r="AB47" i="23"/>
  <c r="AB48" i="23"/>
  <c r="AB49" i="23"/>
  <c r="AB50" i="23"/>
  <c r="AB51" i="23"/>
  <c r="CC51" i="23" l="1"/>
  <c r="CC46" i="23"/>
  <c r="CC47" i="23"/>
  <c r="CC49" i="23"/>
  <c r="CC50" i="23"/>
  <c r="CC48" i="23"/>
  <c r="CA98" i="1" l="1"/>
  <c r="FL98" i="1"/>
  <c r="CG98" i="1"/>
  <c r="FJ316" i="1"/>
  <c r="FL94" i="1"/>
  <c r="FL189" i="1"/>
  <c r="FL193" i="1"/>
  <c r="FL73" i="1"/>
  <c r="FL45" i="1"/>
  <c r="FL57" i="1"/>
  <c r="FL272" i="1"/>
  <c r="CA137" i="1" l="1"/>
  <c r="FL137" i="1"/>
  <c r="CA290" i="1"/>
  <c r="FL290" i="1"/>
  <c r="CA126" i="1"/>
  <c r="FL126" i="1"/>
  <c r="CA92" i="1"/>
  <c r="FL92" i="1"/>
  <c r="CA26" i="1"/>
  <c r="FL26" i="1"/>
  <c r="CA88" i="1"/>
  <c r="FL88" i="1"/>
  <c r="CA276" i="1"/>
  <c r="FL276" i="1"/>
  <c r="CA71" i="1"/>
  <c r="FL71" i="1"/>
  <c r="CA43" i="1"/>
  <c r="FL43" i="1"/>
  <c r="CA77" i="1"/>
  <c r="FL77" i="1"/>
  <c r="CA152" i="1"/>
  <c r="FL152" i="1"/>
  <c r="CA47" i="1"/>
  <c r="FL47" i="1"/>
  <c r="CA135" i="1"/>
  <c r="FL135" i="1"/>
  <c r="CA160" i="1"/>
  <c r="FL160" i="1"/>
  <c r="CA285" i="1"/>
  <c r="FL285" i="1"/>
  <c r="CA128" i="1"/>
  <c r="FL128" i="1"/>
  <c r="CA131" i="1"/>
  <c r="FL131" i="1"/>
  <c r="CA108" i="1"/>
  <c r="FL108" i="1"/>
  <c r="CA83" i="1"/>
  <c r="FL83" i="1"/>
  <c r="CA105" i="1"/>
  <c r="FL105" i="1"/>
  <c r="CA101" i="1"/>
  <c r="FL101" i="1"/>
  <c r="CA48" i="1"/>
  <c r="FL48" i="1"/>
  <c r="CA76" i="1"/>
  <c r="FL76" i="1"/>
  <c r="CA100" i="1"/>
  <c r="FL100" i="1"/>
  <c r="CA186" i="1"/>
  <c r="FL186" i="1"/>
  <c r="CA140" i="1"/>
  <c r="FL140" i="1"/>
  <c r="CA143" i="1"/>
  <c r="FL143" i="1"/>
  <c r="CA54" i="1"/>
  <c r="FL54" i="1"/>
  <c r="CA284" i="1"/>
  <c r="FL284" i="1"/>
  <c r="CA283" i="1"/>
  <c r="FL283" i="1"/>
  <c r="CA294" i="1"/>
  <c r="FL294" i="1"/>
  <c r="CA125" i="1"/>
  <c r="FL125" i="1"/>
  <c r="CA109" i="1"/>
  <c r="FL109" i="1"/>
  <c r="CA123" i="1"/>
  <c r="FL123" i="1"/>
  <c r="CA116" i="1"/>
  <c r="FL116" i="1"/>
  <c r="CA52" i="1"/>
  <c r="FL52" i="1"/>
  <c r="CA112" i="1"/>
  <c r="FL112" i="1"/>
  <c r="CA25" i="1"/>
  <c r="FL25" i="1"/>
  <c r="CA84" i="1"/>
  <c r="FL84" i="1"/>
  <c r="CA5" i="1"/>
  <c r="FL5" i="1"/>
  <c r="CA194" i="1"/>
  <c r="FL194" i="1"/>
  <c r="CA58" i="1"/>
  <c r="FL58" i="1"/>
  <c r="CA72" i="1"/>
  <c r="FL72" i="1"/>
  <c r="CA69" i="1"/>
  <c r="FL69" i="1"/>
  <c r="CA42" i="1"/>
  <c r="FL42" i="1"/>
  <c r="CA44" i="1"/>
  <c r="FL44" i="1"/>
  <c r="CA40" i="1"/>
  <c r="FL40" i="1"/>
  <c r="CA150" i="1"/>
  <c r="FL150" i="1"/>
  <c r="CA148" i="1"/>
  <c r="FL148" i="1"/>
  <c r="CA192" i="1"/>
  <c r="FL192" i="1"/>
  <c r="CA190" i="1"/>
  <c r="FL190" i="1"/>
  <c r="CA146" i="1"/>
  <c r="FL146" i="1"/>
  <c r="CA99" i="1"/>
  <c r="FL99" i="1"/>
  <c r="CA96" i="1"/>
  <c r="FL96" i="1"/>
  <c r="CA141" i="1"/>
  <c r="FL141" i="1"/>
  <c r="CA159" i="1"/>
  <c r="FL159" i="1"/>
  <c r="CA156" i="1"/>
  <c r="FL156" i="1"/>
  <c r="CA89" i="1"/>
  <c r="FL89" i="1"/>
  <c r="CA91" i="1"/>
  <c r="FL91" i="1"/>
  <c r="CA114" i="1"/>
  <c r="FL114" i="1"/>
  <c r="CA130" i="1"/>
  <c r="FL130" i="1"/>
  <c r="CA56" i="1"/>
  <c r="FL56" i="1"/>
  <c r="CA62" i="1"/>
  <c r="FL62" i="1"/>
  <c r="CA60" i="1"/>
  <c r="FL60" i="1"/>
  <c r="CA66" i="1"/>
  <c r="FL66" i="1"/>
  <c r="CA75" i="1"/>
  <c r="FL75" i="1"/>
  <c r="CA180" i="1"/>
  <c r="FL180" i="1"/>
  <c r="CA185" i="1"/>
  <c r="FL185" i="1"/>
  <c r="CA53" i="1"/>
  <c r="FL53" i="1"/>
  <c r="CA144" i="1"/>
  <c r="FL144" i="1"/>
  <c r="CA279" i="1"/>
  <c r="FL279" i="1"/>
  <c r="CA111" i="1"/>
  <c r="FL111" i="1"/>
  <c r="CA23" i="1"/>
  <c r="FL23" i="1"/>
  <c r="CA127" i="1"/>
  <c r="FL127" i="1"/>
  <c r="CA16" i="1"/>
  <c r="FL16" i="1"/>
  <c r="CA85" i="1"/>
  <c r="FL85" i="1"/>
  <c r="CA68" i="1"/>
  <c r="FL68" i="1"/>
  <c r="CA61" i="1"/>
  <c r="FL61" i="1"/>
  <c r="CA41" i="1"/>
  <c r="FL41" i="1"/>
  <c r="CA79" i="1"/>
  <c r="FL79" i="1"/>
  <c r="CA187" i="1"/>
  <c r="FL187" i="1"/>
  <c r="CA191" i="1"/>
  <c r="FL191" i="1"/>
  <c r="CA145" i="1"/>
  <c r="FL145" i="1"/>
  <c r="CA38" i="1"/>
  <c r="FL38" i="1"/>
  <c r="CA95" i="1"/>
  <c r="FL95" i="1"/>
  <c r="CA136" i="1"/>
  <c r="FL136" i="1"/>
  <c r="CA139" i="1"/>
  <c r="FL139" i="1"/>
  <c r="CA158" i="1"/>
  <c r="FL158" i="1"/>
  <c r="CA293" i="1"/>
  <c r="FL293" i="1"/>
  <c r="CA286" i="1"/>
  <c r="FL286" i="1"/>
  <c r="CA287" i="1"/>
  <c r="FL287" i="1"/>
  <c r="CA14" i="1"/>
  <c r="FL14" i="1"/>
  <c r="CA20" i="1"/>
  <c r="FL20" i="1"/>
  <c r="CA115" i="1"/>
  <c r="FL115" i="1"/>
  <c r="CA118" i="1"/>
  <c r="FL118" i="1"/>
  <c r="CA122" i="1"/>
  <c r="FL122" i="1"/>
  <c r="CA132" i="1"/>
  <c r="FL132" i="1"/>
  <c r="CA129" i="1"/>
  <c r="FL129" i="1"/>
  <c r="CA87" i="1"/>
  <c r="FL87" i="1"/>
  <c r="CA153" i="1"/>
  <c r="FL153" i="1"/>
  <c r="CA59" i="1"/>
  <c r="FL59" i="1"/>
  <c r="CA70" i="1"/>
  <c r="FL70" i="1"/>
  <c r="CA102" i="1"/>
  <c r="FL102" i="1"/>
  <c r="CA78" i="1"/>
  <c r="FL78" i="1"/>
  <c r="CA39" i="1"/>
  <c r="FL39" i="1"/>
  <c r="CA49" i="1"/>
  <c r="FL49" i="1"/>
  <c r="CA74" i="1"/>
  <c r="FL74" i="1"/>
  <c r="CA147" i="1"/>
  <c r="FL147" i="1"/>
  <c r="CA188" i="1"/>
  <c r="FL188" i="1"/>
  <c r="CA149" i="1"/>
  <c r="FL149" i="1"/>
  <c r="CA274" i="1"/>
  <c r="FL274" i="1"/>
  <c r="CA81" i="1"/>
  <c r="FL81" i="1"/>
  <c r="CA93" i="1"/>
  <c r="FL93" i="1"/>
  <c r="CA57" i="1"/>
  <c r="CA189" i="1"/>
  <c r="CA45" i="1"/>
  <c r="CA193" i="1"/>
  <c r="CA94" i="1"/>
  <c r="CA73" i="1"/>
  <c r="FL266" i="1"/>
  <c r="FL82" i="1"/>
  <c r="FL80" i="1"/>
  <c r="FL278" i="1"/>
  <c r="FL90" i="1"/>
  <c r="FL288" i="1"/>
  <c r="FL113" i="1"/>
  <c r="FL6" i="1"/>
  <c r="FL37" i="1"/>
  <c r="FL63" i="1"/>
  <c r="FL277" i="1"/>
  <c r="CG272" i="1"/>
  <c r="CA272" i="1"/>
  <c r="FL289" i="1"/>
  <c r="FL107" i="1"/>
  <c r="CG148" i="1"/>
  <c r="CG81" i="1"/>
  <c r="CG73" i="1"/>
  <c r="CG150" i="1"/>
  <c r="CG145" i="1"/>
  <c r="CG38" i="1"/>
  <c r="CG95" i="1"/>
  <c r="CG76" i="1"/>
  <c r="CG147" i="1"/>
  <c r="CG188" i="1"/>
  <c r="CG189" i="1"/>
  <c r="CG57" i="1"/>
  <c r="CG186" i="1"/>
  <c r="CG94" i="1"/>
  <c r="CG45" i="1"/>
  <c r="CG193" i="1"/>
  <c r="CG185" i="1"/>
  <c r="D105" i="22"/>
  <c r="D44" i="22"/>
  <c r="D46" i="22"/>
  <c r="D47" i="22"/>
  <c r="D43" i="22"/>
  <c r="CA12" i="1"/>
  <c r="FD316" i="1"/>
  <c r="FL12" i="1"/>
  <c r="FK316" i="1"/>
  <c r="D29" i="33"/>
  <c r="D16" i="33"/>
  <c r="D28" i="33"/>
  <c r="D15" i="33"/>
  <c r="D14" i="33"/>
  <c r="D27" i="33"/>
  <c r="D24" i="33"/>
  <c r="D11" i="33"/>
  <c r="D25" i="33"/>
  <c r="D12" i="33"/>
  <c r="FE319" i="1" l="1"/>
  <c r="FL281" i="1"/>
  <c r="CH281" i="1"/>
  <c r="CA22" i="1"/>
  <c r="FL22" i="1"/>
  <c r="CA27" i="1"/>
  <c r="FL27" i="1"/>
  <c r="CA151" i="1"/>
  <c r="FL151" i="1"/>
  <c r="CA3" i="1"/>
  <c r="FL3" i="1"/>
  <c r="CA35" i="1"/>
  <c r="FL35" i="1"/>
  <c r="CA19" i="1"/>
  <c r="FL19" i="1"/>
  <c r="CA178" i="1"/>
  <c r="FL178" i="1"/>
  <c r="CA179" i="1"/>
  <c r="FL179" i="1"/>
  <c r="CA124" i="1"/>
  <c r="FL124" i="1"/>
  <c r="CA13" i="1"/>
  <c r="FL13" i="1"/>
  <c r="CA280" i="1"/>
  <c r="FL280" i="1"/>
  <c r="CA4" i="1"/>
  <c r="FL4" i="1"/>
  <c r="CA161" i="1"/>
  <c r="FL161" i="1"/>
  <c r="CA24" i="1"/>
  <c r="FL24" i="1"/>
  <c r="CA103" i="1"/>
  <c r="FL103" i="1"/>
  <c r="CA18" i="1"/>
  <c r="FL18" i="1"/>
  <c r="CA133" i="1"/>
  <c r="FL133" i="1"/>
  <c r="CA275" i="1"/>
  <c r="FL275" i="1"/>
  <c r="CA86" i="1"/>
  <c r="FL86" i="1"/>
  <c r="CA28" i="1"/>
  <c r="FL28" i="1"/>
  <c r="CA282" i="1"/>
  <c r="FL282" i="1"/>
  <c r="CA195" i="1"/>
  <c r="FL195" i="1"/>
  <c r="CA154" i="1"/>
  <c r="FL154" i="1"/>
  <c r="CA15" i="1"/>
  <c r="FL15" i="1"/>
  <c r="CA121" i="1"/>
  <c r="FL121" i="1"/>
  <c r="CA7" i="1"/>
  <c r="FL7" i="1"/>
  <c r="CA119" i="1"/>
  <c r="FL119" i="1"/>
  <c r="CA10" i="1"/>
  <c r="FL10" i="1"/>
  <c r="CA29" i="1"/>
  <c r="FL29" i="1"/>
  <c r="CA55" i="1"/>
  <c r="FL55" i="1"/>
  <c r="CA291" i="1"/>
  <c r="FL291" i="1"/>
  <c r="CA155" i="1"/>
  <c r="D88" i="22" s="1"/>
  <c r="FL155" i="1"/>
  <c r="CA117" i="1"/>
  <c r="FL117" i="1"/>
  <c r="CA11" i="1"/>
  <c r="FL11" i="1"/>
  <c r="CA292" i="1"/>
  <c r="FL292" i="1"/>
  <c r="CA142" i="1"/>
  <c r="FL142" i="1"/>
  <c r="CA9" i="1"/>
  <c r="FL9" i="1"/>
  <c r="CA120" i="1"/>
  <c r="FL120" i="1"/>
  <c r="CA157" i="1"/>
  <c r="FL157" i="1"/>
  <c r="CA138" i="1"/>
  <c r="FL138" i="1"/>
  <c r="CA67" i="1"/>
  <c r="FL67" i="1"/>
  <c r="CA21" i="1"/>
  <c r="FL21" i="1"/>
  <c r="CA37" i="1"/>
  <c r="CA107" i="1"/>
  <c r="CA63" i="1"/>
  <c r="CA6" i="1"/>
  <c r="CA113" i="1"/>
  <c r="CA288" i="1"/>
  <c r="CA80" i="1"/>
  <c r="D91" i="22" s="1"/>
  <c r="CA289" i="1"/>
  <c r="CA281" i="1"/>
  <c r="CA277" i="1"/>
  <c r="CA278" i="1"/>
  <c r="CA82" i="1"/>
  <c r="CA266" i="1"/>
  <c r="D28" i="22" s="1"/>
  <c r="D78" i="22"/>
  <c r="D77" i="22"/>
  <c r="D75" i="22"/>
  <c r="D15" i="22"/>
  <c r="D73" i="22"/>
  <c r="D12" i="22"/>
  <c r="D76" i="22"/>
  <c r="CG22" i="1"/>
  <c r="CG275" i="1"/>
  <c r="D14" i="22"/>
  <c r="D74" i="22"/>
  <c r="D45" i="22"/>
  <c r="CG15" i="1"/>
  <c r="CG6" i="1"/>
  <c r="CG119" i="1"/>
  <c r="CG86" i="1"/>
  <c r="D16" i="22"/>
  <c r="CG10" i="1"/>
  <c r="CG121" i="1"/>
  <c r="CG4" i="1"/>
  <c r="CG154" i="1"/>
  <c r="CG13" i="1"/>
  <c r="CG155" i="1"/>
  <c r="CG11" i="1"/>
  <c r="CG142" i="1"/>
  <c r="CG28" i="1"/>
  <c r="CG195" i="1"/>
  <c r="CG288" i="1"/>
  <c r="CG124" i="1"/>
  <c r="CG117" i="1"/>
  <c r="CG292" i="1"/>
  <c r="CG282" i="1"/>
  <c r="CG90" i="1"/>
  <c r="CG7" i="1"/>
  <c r="CG63" i="1"/>
  <c r="CG113" i="1"/>
  <c r="CG179" i="1"/>
  <c r="CG80" i="1"/>
  <c r="CG280" i="1"/>
  <c r="D11" i="22"/>
  <c r="D127" i="22" s="1"/>
  <c r="F127" i="22" s="1"/>
  <c r="D104" i="22"/>
  <c r="D13" i="22"/>
  <c r="CG103" i="1"/>
  <c r="CG35" i="1"/>
  <c r="CG18" i="1"/>
  <c r="CG19" i="1"/>
  <c r="CG133" i="1"/>
  <c r="CG107" i="1"/>
  <c r="CG289" i="1"/>
  <c r="CG178" i="1"/>
  <c r="CG281" i="1"/>
  <c r="CG277" i="1"/>
  <c r="CG37" i="1"/>
  <c r="CG9" i="1"/>
  <c r="CG27" i="1"/>
  <c r="CG120" i="1"/>
  <c r="CG29" i="1"/>
  <c r="CG157" i="1"/>
  <c r="CG161" i="1"/>
  <c r="CG138" i="1"/>
  <c r="CG151" i="1"/>
  <c r="CG278" i="1"/>
  <c r="CG55" i="1"/>
  <c r="CG67" i="1"/>
  <c r="CG3" i="1"/>
  <c r="CG21" i="1"/>
  <c r="CG24" i="1"/>
  <c r="CG82" i="1"/>
  <c r="CG291" i="1"/>
  <c r="CG266" i="1"/>
  <c r="D59" i="22"/>
  <c r="D60" i="22"/>
  <c r="D57" i="22"/>
  <c r="D56" i="22"/>
  <c r="I7" i="14"/>
  <c r="J7" i="14"/>
  <c r="K7" i="14"/>
  <c r="L7" i="14"/>
  <c r="M7" i="14"/>
  <c r="H7" i="14"/>
  <c r="M6" i="14"/>
  <c r="L6" i="14"/>
  <c r="K6" i="14"/>
  <c r="J6" i="14"/>
  <c r="I6" i="14"/>
  <c r="H6" i="14"/>
  <c r="D129" i="22" l="1"/>
  <c r="F129" i="22" s="1"/>
  <c r="D130" i="22"/>
  <c r="F130" i="22" s="1"/>
  <c r="D132" i="22"/>
  <c r="F132" i="22" s="1"/>
  <c r="D131" i="22"/>
  <c r="F131" i="22" s="1"/>
  <c r="D86" i="22"/>
  <c r="D58" i="22"/>
  <c r="D90" i="22"/>
  <c r="D113" i="22"/>
  <c r="D27" i="22"/>
  <c r="D87" i="22"/>
  <c r="D29" i="22"/>
  <c r="D145" i="22" s="1"/>
  <c r="D114" i="22"/>
  <c r="CA46" i="1"/>
  <c r="FL46" i="1"/>
  <c r="D89" i="22"/>
  <c r="D24" i="22"/>
  <c r="D140" i="22" s="1"/>
  <c r="D26" i="22"/>
  <c r="F26" i="33"/>
  <c r="F29" i="33"/>
  <c r="C26" i="33"/>
  <c r="F13" i="33"/>
  <c r="F16" i="33"/>
  <c r="C13" i="33"/>
  <c r="D142" i="22" l="1"/>
  <c r="D143" i="22"/>
  <c r="D144" i="22"/>
  <c r="AC90" i="1"/>
  <c r="AM90" i="1" s="1"/>
  <c r="CA90" i="1" s="1"/>
  <c r="EV177" i="1"/>
  <c r="EV262" i="1"/>
  <c r="EV249" i="1"/>
  <c r="EV241" i="1"/>
  <c r="EV169" i="1"/>
  <c r="EV301" i="1"/>
  <c r="EV206" i="1"/>
  <c r="EV162" i="1"/>
  <c r="EV288" i="1"/>
  <c r="EV276" i="1"/>
  <c r="EV147" i="1"/>
  <c r="EV272" i="1"/>
  <c r="EV179" i="1"/>
  <c r="EV178" i="1"/>
  <c r="EV315" i="1"/>
  <c r="EV271" i="1"/>
  <c r="EV270" i="1"/>
  <c r="EV269" i="1"/>
  <c r="EV268" i="1"/>
  <c r="EV267" i="1"/>
  <c r="EV266" i="1"/>
  <c r="EV313" i="1"/>
  <c r="EV312" i="1"/>
  <c r="EV311" i="1"/>
  <c r="EV212" i="1"/>
  <c r="EV264" i="1"/>
  <c r="EV263" i="1"/>
  <c r="EV261" i="1"/>
  <c r="EV291" i="1"/>
  <c r="EV260" i="1"/>
  <c r="EV259" i="1"/>
  <c r="EV258" i="1"/>
  <c r="EV257" i="1"/>
  <c r="EV256" i="1"/>
  <c r="EV184" i="1"/>
  <c r="EV255" i="1"/>
  <c r="EV254" i="1"/>
  <c r="EV253" i="1"/>
  <c r="EV252" i="1"/>
  <c r="EV251" i="1"/>
  <c r="EV250" i="1"/>
  <c r="EV310" i="1"/>
  <c r="EV309" i="1"/>
  <c r="EV308" i="1"/>
  <c r="EV248" i="1"/>
  <c r="EV247" i="1"/>
  <c r="EV183" i="1"/>
  <c r="EV246" i="1"/>
  <c r="EV176" i="1"/>
  <c r="EV175" i="1"/>
  <c r="EV245" i="1"/>
  <c r="EV244" i="1"/>
  <c r="EV307" i="1"/>
  <c r="EV243" i="1"/>
  <c r="EV134" i="1"/>
  <c r="EV242" i="1"/>
  <c r="EV240" i="1"/>
  <c r="EV239" i="1"/>
  <c r="EV238" i="1"/>
  <c r="EV237" i="1"/>
  <c r="EV306" i="1"/>
  <c r="EV236" i="1"/>
  <c r="EV173" i="1"/>
  <c r="EV172" i="1"/>
  <c r="EV171" i="1"/>
  <c r="EV235" i="1"/>
  <c r="EV234" i="1"/>
  <c r="EV233" i="1"/>
  <c r="EV182" i="1"/>
  <c r="EV170" i="1"/>
  <c r="EV231" i="1"/>
  <c r="EV230" i="1"/>
  <c r="EV181" i="1"/>
  <c r="EV229" i="1"/>
  <c r="EV305" i="1"/>
  <c r="EV228" i="1"/>
  <c r="EV304" i="1"/>
  <c r="EV303" i="1"/>
  <c r="EV302" i="1"/>
  <c r="EV227" i="1"/>
  <c r="EV226" i="1"/>
  <c r="EV225" i="1"/>
  <c r="EV224" i="1"/>
  <c r="EV223" i="1"/>
  <c r="EV222" i="1"/>
  <c r="EV220" i="1"/>
  <c r="EV300" i="1"/>
  <c r="EV299" i="1"/>
  <c r="EV218" i="1"/>
  <c r="EV216" i="1"/>
  <c r="EV215" i="1"/>
  <c r="EV214" i="1"/>
  <c r="EV213" i="1"/>
  <c r="EV211" i="1"/>
  <c r="EV168" i="1"/>
  <c r="EV210" i="1"/>
  <c r="EV209" i="1"/>
  <c r="EV208" i="1"/>
  <c r="EV207" i="1"/>
  <c r="EV205" i="1"/>
  <c r="EV204" i="1"/>
  <c r="EV203" i="1"/>
  <c r="EV202" i="1"/>
  <c r="EV166" i="1"/>
  <c r="EV165" i="1"/>
  <c r="EV201" i="1"/>
  <c r="EV200" i="1"/>
  <c r="EV164" i="1"/>
  <c r="EV199" i="1"/>
  <c r="EV298" i="1"/>
  <c r="EV297" i="1"/>
  <c r="EV163" i="1"/>
  <c r="EV296" i="1"/>
  <c r="EV198" i="1"/>
  <c r="EV197" i="1"/>
  <c r="EV295" i="1"/>
  <c r="EV196" i="1"/>
  <c r="EV161" i="1"/>
  <c r="EV160" i="1"/>
  <c r="EV159" i="1"/>
  <c r="EV195" i="1"/>
  <c r="EV158" i="1"/>
  <c r="EV294" i="1"/>
  <c r="EV293" i="1"/>
  <c r="EV157" i="1"/>
  <c r="EV292" i="1"/>
  <c r="EV290" i="1"/>
  <c r="EV289" i="1"/>
  <c r="EV287" i="1"/>
  <c r="EV156" i="1"/>
  <c r="EV286" i="1"/>
  <c r="EV285" i="1"/>
  <c r="EV284" i="1"/>
  <c r="EV283" i="1"/>
  <c r="EV282" i="1"/>
  <c r="EV281" i="1"/>
  <c r="EV280" i="1"/>
  <c r="EV279" i="1"/>
  <c r="EV194" i="1"/>
  <c r="EV277" i="1"/>
  <c r="EV155" i="1"/>
  <c r="EV153" i="1"/>
  <c r="EV154" i="1"/>
  <c r="EV275" i="1"/>
  <c r="EV152" i="1"/>
  <c r="EV193" i="1"/>
  <c r="EV192" i="1"/>
  <c r="EV191" i="1"/>
  <c r="EV151" i="1"/>
  <c r="EV190" i="1"/>
  <c r="EV189" i="1"/>
  <c r="EV150" i="1"/>
  <c r="EV188" i="1"/>
  <c r="EV180" i="1"/>
  <c r="EV187" i="1"/>
  <c r="EV149" i="1"/>
  <c r="EV148" i="1"/>
  <c r="EV186" i="1"/>
  <c r="EV185" i="1"/>
  <c r="EV146" i="1"/>
  <c r="EV145" i="1"/>
  <c r="EI162" i="1"/>
  <c r="EI269" i="1"/>
  <c r="EI313" i="1"/>
  <c r="EI264" i="1"/>
  <c r="EI262" i="1"/>
  <c r="EI261" i="1"/>
  <c r="EI259" i="1"/>
  <c r="EI258" i="1"/>
  <c r="EI184" i="1"/>
  <c r="EI255" i="1"/>
  <c r="EI252" i="1"/>
  <c r="EI251" i="1"/>
  <c r="EI249" i="1"/>
  <c r="EI309" i="1"/>
  <c r="EI247" i="1"/>
  <c r="EI183" i="1"/>
  <c r="EI175" i="1"/>
  <c r="EI245" i="1"/>
  <c r="EI243" i="1"/>
  <c r="EI241" i="1"/>
  <c r="EI240" i="1"/>
  <c r="EI237" i="1"/>
  <c r="EI306" i="1"/>
  <c r="EI172" i="1"/>
  <c r="EI171" i="1"/>
  <c r="EI233" i="1"/>
  <c r="EI182" i="1"/>
  <c r="EI169" i="1"/>
  <c r="EI230" i="1"/>
  <c r="EI305" i="1"/>
  <c r="EI228" i="1"/>
  <c r="EI302" i="1"/>
  <c r="EI227" i="1"/>
  <c r="EI224" i="1"/>
  <c r="EI223" i="1"/>
  <c r="EI301" i="1"/>
  <c r="EI300" i="1"/>
  <c r="EI218" i="1"/>
  <c r="EI217" i="1"/>
  <c r="EI214" i="1"/>
  <c r="EI213" i="1"/>
  <c r="EI210" i="1"/>
  <c r="EI209" i="1"/>
  <c r="EI206" i="1"/>
  <c r="EI205" i="1"/>
  <c r="EI202" i="1"/>
  <c r="EI166" i="1"/>
  <c r="EI200" i="1"/>
  <c r="EI164" i="1"/>
  <c r="EI297" i="1"/>
  <c r="EI163" i="1"/>
  <c r="EI197" i="1"/>
  <c r="EI161" i="1"/>
  <c r="EI195" i="1"/>
  <c r="EI158" i="1"/>
  <c r="EI157" i="1"/>
  <c r="EI292" i="1"/>
  <c r="EI288" i="1"/>
  <c r="EI287" i="1"/>
  <c r="EI285" i="1"/>
  <c r="EI284" i="1"/>
  <c r="EI281" i="1"/>
  <c r="EI280" i="1"/>
  <c r="EI277" i="1"/>
  <c r="EI155" i="1"/>
  <c r="EI276" i="1"/>
  <c r="EI275" i="1"/>
  <c r="EI192" i="1"/>
  <c r="EI191" i="1"/>
  <c r="EI189" i="1"/>
  <c r="EI150" i="1"/>
  <c r="EI187" i="1"/>
  <c r="EI147" i="1"/>
  <c r="DV272" i="1"/>
  <c r="DV179" i="1"/>
  <c r="DV267" i="1"/>
  <c r="DV257" i="1"/>
  <c r="DV250" i="1"/>
  <c r="DV246" i="1"/>
  <c r="DV134" i="1"/>
  <c r="DV236" i="1"/>
  <c r="DV170" i="1"/>
  <c r="DV304" i="1"/>
  <c r="DV223" i="1"/>
  <c r="DV299" i="1"/>
  <c r="DV214" i="1"/>
  <c r="DV209" i="1"/>
  <c r="DV204" i="1"/>
  <c r="DV200" i="1"/>
  <c r="DV163" i="1"/>
  <c r="DV295" i="1"/>
  <c r="DV195" i="1"/>
  <c r="DV292" i="1"/>
  <c r="DV156" i="1"/>
  <c r="DV283" i="1"/>
  <c r="DV279" i="1"/>
  <c r="DV153" i="1"/>
  <c r="DV152" i="1"/>
  <c r="DV151" i="1"/>
  <c r="DV188" i="1"/>
  <c r="DV148" i="1"/>
  <c r="DV146" i="1"/>
  <c r="DI178" i="1"/>
  <c r="DI179" i="1"/>
  <c r="DI271" i="1"/>
  <c r="DI270" i="1"/>
  <c r="DI267" i="1"/>
  <c r="DI266" i="1"/>
  <c r="DI311" i="1"/>
  <c r="DI212" i="1"/>
  <c r="DI291" i="1"/>
  <c r="DI260" i="1"/>
  <c r="DI257" i="1"/>
  <c r="DI256" i="1"/>
  <c r="DI254" i="1"/>
  <c r="DI253" i="1"/>
  <c r="DI250" i="1"/>
  <c r="DI310" i="1"/>
  <c r="DI309" i="1"/>
  <c r="DI308" i="1"/>
  <c r="DI248" i="1"/>
  <c r="DI183" i="1"/>
  <c r="DI246" i="1"/>
  <c r="DI176" i="1"/>
  <c r="DI245" i="1"/>
  <c r="DI244" i="1"/>
  <c r="DI307" i="1"/>
  <c r="DI243" i="1"/>
  <c r="DI134" i="1"/>
  <c r="DI242" i="1"/>
  <c r="DI240" i="1"/>
  <c r="DI239" i="1"/>
  <c r="DI238" i="1"/>
  <c r="DI306" i="1"/>
  <c r="DI236" i="1"/>
  <c r="DI173" i="1"/>
  <c r="DI171" i="1"/>
  <c r="DI235" i="1"/>
  <c r="DI234" i="1"/>
  <c r="DI182" i="1"/>
  <c r="DI170" i="1"/>
  <c r="DI231" i="1"/>
  <c r="DI230" i="1"/>
  <c r="DI181" i="1"/>
  <c r="DI229" i="1"/>
  <c r="DI228" i="1"/>
  <c r="DI304" i="1"/>
  <c r="DI303" i="1"/>
  <c r="DI227" i="1"/>
  <c r="DI226" i="1"/>
  <c r="DI225" i="1"/>
  <c r="DI223" i="1"/>
  <c r="DI222" i="1"/>
  <c r="DI220" i="1"/>
  <c r="DI300" i="1"/>
  <c r="DI299" i="1"/>
  <c r="DI217" i="1"/>
  <c r="DI216" i="1"/>
  <c r="DI215" i="1"/>
  <c r="DI213" i="1"/>
  <c r="DI211" i="1"/>
  <c r="DI168" i="1"/>
  <c r="DI209" i="1"/>
  <c r="DI208" i="1"/>
  <c r="DI207" i="1"/>
  <c r="DI205" i="1"/>
  <c r="DI204" i="1"/>
  <c r="DI203" i="1"/>
  <c r="DI166" i="1"/>
  <c r="DI165" i="1"/>
  <c r="DI201" i="1"/>
  <c r="DI164" i="1"/>
  <c r="DI199" i="1"/>
  <c r="DI298" i="1"/>
  <c r="DI163" i="1"/>
  <c r="DI296" i="1"/>
  <c r="DI198" i="1"/>
  <c r="DI197" i="1"/>
  <c r="DI295" i="1"/>
  <c r="DI196" i="1"/>
  <c r="DI161" i="1"/>
  <c r="DI160" i="1"/>
  <c r="DI159" i="1"/>
  <c r="DI158" i="1"/>
  <c r="DI294" i="1"/>
  <c r="DI293" i="1"/>
  <c r="DI292" i="1"/>
  <c r="DI290" i="1"/>
  <c r="DI289" i="1"/>
  <c r="DI287" i="1"/>
  <c r="DI156" i="1"/>
  <c r="DI286" i="1"/>
  <c r="DI284" i="1"/>
  <c r="DI283" i="1"/>
  <c r="DI282" i="1"/>
  <c r="DI280" i="1"/>
  <c r="DI279" i="1"/>
  <c r="DI194" i="1"/>
  <c r="DI155" i="1"/>
  <c r="DI153" i="1"/>
  <c r="DI154" i="1"/>
  <c r="DI275" i="1"/>
  <c r="DI152" i="1"/>
  <c r="DI193" i="1"/>
  <c r="DI191" i="1"/>
  <c r="DI151" i="1"/>
  <c r="DI190" i="1"/>
  <c r="DI150" i="1"/>
  <c r="DI188" i="1"/>
  <c r="DI180" i="1"/>
  <c r="DI149" i="1"/>
  <c r="DI148" i="1"/>
  <c r="DI186" i="1"/>
  <c r="DI185" i="1"/>
  <c r="DI146" i="1"/>
  <c r="DI145" i="1"/>
  <c r="CV272" i="1"/>
  <c r="CV179" i="1"/>
  <c r="CV178" i="1"/>
  <c r="CV177" i="1"/>
  <c r="CV315" i="1"/>
  <c r="CV271" i="1"/>
  <c r="CV270" i="1"/>
  <c r="CV269" i="1"/>
  <c r="CV268" i="1"/>
  <c r="CV267" i="1"/>
  <c r="CV266" i="1"/>
  <c r="CV313" i="1"/>
  <c r="CV312" i="1"/>
  <c r="CV311" i="1"/>
  <c r="CV212" i="1"/>
  <c r="CV264" i="1"/>
  <c r="CV263" i="1"/>
  <c r="CV262" i="1"/>
  <c r="CV261" i="1"/>
  <c r="CV291" i="1"/>
  <c r="CV260" i="1"/>
  <c r="CV259" i="1"/>
  <c r="CV258" i="1"/>
  <c r="CV257" i="1"/>
  <c r="CV256" i="1"/>
  <c r="CV184" i="1"/>
  <c r="CV255" i="1"/>
  <c r="CV254" i="1"/>
  <c r="CV253" i="1"/>
  <c r="CV252" i="1"/>
  <c r="CV251" i="1"/>
  <c r="CV250" i="1"/>
  <c r="CV310" i="1"/>
  <c r="CV249" i="1"/>
  <c r="CV309" i="1"/>
  <c r="CV308" i="1"/>
  <c r="CV248" i="1"/>
  <c r="CV247" i="1"/>
  <c r="CV183" i="1"/>
  <c r="CV246" i="1"/>
  <c r="CV176" i="1"/>
  <c r="CV175" i="1"/>
  <c r="CV245" i="1"/>
  <c r="CV244" i="1"/>
  <c r="CV307" i="1"/>
  <c r="CV243" i="1"/>
  <c r="CV134" i="1"/>
  <c r="CV242" i="1"/>
  <c r="CV241" i="1"/>
  <c r="CV240" i="1"/>
  <c r="CV239" i="1"/>
  <c r="CV238" i="1"/>
  <c r="CV237" i="1"/>
  <c r="CV306" i="1"/>
  <c r="CV236" i="1"/>
  <c r="CV173" i="1"/>
  <c r="CV172" i="1"/>
  <c r="CV171" i="1"/>
  <c r="CV235" i="1"/>
  <c r="CV234" i="1"/>
  <c r="CV233" i="1"/>
  <c r="CV182" i="1"/>
  <c r="CV170" i="1"/>
  <c r="CV231" i="1"/>
  <c r="CV169" i="1"/>
  <c r="CV230" i="1"/>
  <c r="CV181" i="1"/>
  <c r="CV229" i="1"/>
  <c r="CV305" i="1"/>
  <c r="CV228" i="1"/>
  <c r="CV304" i="1"/>
  <c r="CV303" i="1"/>
  <c r="CV302" i="1"/>
  <c r="CV227" i="1"/>
  <c r="CV226" i="1"/>
  <c r="CV225" i="1"/>
  <c r="CV224" i="1"/>
  <c r="CV223" i="1"/>
  <c r="CV222" i="1"/>
  <c r="CV220" i="1"/>
  <c r="CV301" i="1"/>
  <c r="CV300" i="1"/>
  <c r="CV299" i="1"/>
  <c r="CV218" i="1"/>
  <c r="CV217" i="1"/>
  <c r="CV216" i="1"/>
  <c r="CV215" i="1"/>
  <c r="CV214" i="1"/>
  <c r="CV213" i="1"/>
  <c r="CV211" i="1"/>
  <c r="CV168" i="1"/>
  <c r="CV210" i="1"/>
  <c r="CV209" i="1"/>
  <c r="CV208" i="1"/>
  <c r="CV207" i="1"/>
  <c r="CV206" i="1"/>
  <c r="CV205" i="1"/>
  <c r="CV204" i="1"/>
  <c r="CV203" i="1"/>
  <c r="CV202" i="1"/>
  <c r="CV166" i="1"/>
  <c r="CV165" i="1"/>
  <c r="CV201" i="1"/>
  <c r="CV200" i="1"/>
  <c r="CV164" i="1"/>
  <c r="CV199" i="1"/>
  <c r="CV298" i="1"/>
  <c r="CV297" i="1"/>
  <c r="CV163" i="1"/>
  <c r="CV296" i="1"/>
  <c r="CV198" i="1"/>
  <c r="CV162" i="1"/>
  <c r="CV197" i="1"/>
  <c r="CV295" i="1"/>
  <c r="CV196" i="1"/>
  <c r="CV161" i="1"/>
  <c r="CV160" i="1"/>
  <c r="CV159" i="1"/>
  <c r="CV195" i="1"/>
  <c r="CV158" i="1"/>
  <c r="CV294" i="1"/>
  <c r="CV293" i="1"/>
  <c r="CV157" i="1"/>
  <c r="CV292" i="1"/>
  <c r="CV290" i="1"/>
  <c r="CV289" i="1"/>
  <c r="CV288" i="1"/>
  <c r="CV287" i="1"/>
  <c r="CV156" i="1"/>
  <c r="CV286" i="1"/>
  <c r="CV285" i="1"/>
  <c r="CV284" i="1"/>
  <c r="CV283" i="1"/>
  <c r="CV282" i="1"/>
  <c r="CV281" i="1"/>
  <c r="CV280" i="1"/>
  <c r="CV279" i="1"/>
  <c r="CV194" i="1"/>
  <c r="CV277" i="1"/>
  <c r="CV155" i="1"/>
  <c r="CV153" i="1"/>
  <c r="CV154" i="1"/>
  <c r="CV276" i="1"/>
  <c r="CV275" i="1"/>
  <c r="CV152" i="1"/>
  <c r="CV193" i="1"/>
  <c r="CV192" i="1"/>
  <c r="CV191" i="1"/>
  <c r="CV151" i="1"/>
  <c r="CV190" i="1"/>
  <c r="CV189" i="1"/>
  <c r="CV150" i="1"/>
  <c r="CV188" i="1"/>
  <c r="CV180" i="1"/>
  <c r="CV187" i="1"/>
  <c r="CV149" i="1"/>
  <c r="CV148" i="1"/>
  <c r="CV186" i="1"/>
  <c r="CV147" i="1"/>
  <c r="CV185" i="1"/>
  <c r="CV146" i="1"/>
  <c r="CV145" i="1"/>
  <c r="AC316" i="1" l="1"/>
  <c r="G7" i="14"/>
  <c r="C7" i="14"/>
  <c r="B7" i="14"/>
  <c r="E7" i="14"/>
  <c r="F7" i="14"/>
  <c r="D7" i="14"/>
  <c r="G6" i="14"/>
  <c r="C6" i="14"/>
  <c r="F24" i="33"/>
  <c r="F11" i="33"/>
  <c r="F6" i="14"/>
  <c r="B6" i="14"/>
  <c r="F25" i="33"/>
  <c r="F12" i="33"/>
  <c r="E6" i="14"/>
  <c r="D6" i="14"/>
  <c r="F28" i="33"/>
  <c r="F15" i="33"/>
  <c r="F14" i="33"/>
  <c r="F27" i="33"/>
  <c r="DV185" i="1"/>
  <c r="DV149" i="1"/>
  <c r="DV150" i="1"/>
  <c r="EW150" i="1" s="1"/>
  <c r="DV191" i="1"/>
  <c r="EW191" i="1" s="1"/>
  <c r="DV275" i="1"/>
  <c r="EW275" i="1" s="1"/>
  <c r="DV155" i="1"/>
  <c r="EW155" i="1" s="1"/>
  <c r="DV280" i="1"/>
  <c r="EW280" i="1" s="1"/>
  <c r="DV284" i="1"/>
  <c r="EW284" i="1" s="1"/>
  <c r="DV287" i="1"/>
  <c r="EW287" i="1" s="1"/>
  <c r="DV157" i="1"/>
  <c r="DV160" i="1"/>
  <c r="DV197" i="1"/>
  <c r="EW197" i="1" s="1"/>
  <c r="DV297" i="1"/>
  <c r="DV165" i="1"/>
  <c r="DV205" i="1"/>
  <c r="EW205" i="1" s="1"/>
  <c r="DV210" i="1"/>
  <c r="DV216" i="1"/>
  <c r="DV300" i="1"/>
  <c r="EW300" i="1" s="1"/>
  <c r="DV224" i="1"/>
  <c r="DV228" i="1"/>
  <c r="EW228" i="1" s="1"/>
  <c r="DV182" i="1"/>
  <c r="EW182" i="1" s="1"/>
  <c r="DV306" i="1"/>
  <c r="EW306" i="1" s="1"/>
  <c r="DV243" i="1"/>
  <c r="EW243" i="1" s="1"/>
  <c r="DV183" i="1"/>
  <c r="EW183" i="1" s="1"/>
  <c r="DV251" i="1"/>
  <c r="DV258" i="1"/>
  <c r="DV263" i="1"/>
  <c r="DV268" i="1"/>
  <c r="DI147" i="1"/>
  <c r="DI187" i="1"/>
  <c r="DI189" i="1"/>
  <c r="DI192" i="1"/>
  <c r="DI276" i="1"/>
  <c r="DI277" i="1"/>
  <c r="DI281" i="1"/>
  <c r="DI285" i="1"/>
  <c r="DI288" i="1"/>
  <c r="DI157" i="1"/>
  <c r="DI195" i="1"/>
  <c r="EW195" i="1" s="1"/>
  <c r="DI162" i="1"/>
  <c r="DI297" i="1"/>
  <c r="DI200" i="1"/>
  <c r="EW200" i="1" s="1"/>
  <c r="DI202" i="1"/>
  <c r="DI206" i="1"/>
  <c r="DI210" i="1"/>
  <c r="DI214" i="1"/>
  <c r="EW214" i="1" s="1"/>
  <c r="DI218" i="1"/>
  <c r="DI301" i="1"/>
  <c r="DI224" i="1"/>
  <c r="DI302" i="1"/>
  <c r="DI305" i="1"/>
  <c r="DI169" i="1"/>
  <c r="DI233" i="1"/>
  <c r="DI172" i="1"/>
  <c r="DI237" i="1"/>
  <c r="DI241" i="1"/>
  <c r="DI174" i="1"/>
  <c r="DI175" i="1"/>
  <c r="DI247" i="1"/>
  <c r="DI249" i="1"/>
  <c r="DI251" i="1"/>
  <c r="DI252" i="1"/>
  <c r="DI255" i="1"/>
  <c r="DI184" i="1"/>
  <c r="DI258" i="1"/>
  <c r="DI259" i="1"/>
  <c r="DI261" i="1"/>
  <c r="DI262" i="1"/>
  <c r="DI263" i="1"/>
  <c r="DI264" i="1"/>
  <c r="DI312" i="1"/>
  <c r="DI313" i="1"/>
  <c r="DI268" i="1"/>
  <c r="DI269" i="1"/>
  <c r="DI315" i="1"/>
  <c r="DI177" i="1"/>
  <c r="DI272" i="1"/>
  <c r="DV145" i="1"/>
  <c r="DV147" i="1"/>
  <c r="DV186" i="1"/>
  <c r="DV187" i="1"/>
  <c r="DV180" i="1"/>
  <c r="DV189" i="1"/>
  <c r="DV190" i="1"/>
  <c r="DV192" i="1"/>
  <c r="DV193" i="1"/>
  <c r="DV276" i="1"/>
  <c r="DV154" i="1"/>
  <c r="DV277" i="1"/>
  <c r="DV194" i="1"/>
  <c r="DV281" i="1"/>
  <c r="DV282" i="1"/>
  <c r="DV285" i="1"/>
  <c r="DV286" i="1"/>
  <c r="DV288" i="1"/>
  <c r="DV290" i="1"/>
  <c r="DV294" i="1"/>
  <c r="DV158" i="1"/>
  <c r="EW158" i="1" s="1"/>
  <c r="DV161" i="1"/>
  <c r="EW161" i="1" s="1"/>
  <c r="DV162" i="1"/>
  <c r="DV296" i="1"/>
  <c r="DV199" i="1"/>
  <c r="DV164" i="1"/>
  <c r="EW164" i="1" s="1"/>
  <c r="DV166" i="1"/>
  <c r="EW166" i="1" s="1"/>
  <c r="DV202" i="1"/>
  <c r="DV206" i="1"/>
  <c r="DV208" i="1"/>
  <c r="DV211" i="1"/>
  <c r="DV213" i="1"/>
  <c r="EW213" i="1" s="1"/>
  <c r="DV217" i="1"/>
  <c r="EW217" i="1" s="1"/>
  <c r="DV218" i="1"/>
  <c r="DV301" i="1"/>
  <c r="DV222" i="1"/>
  <c r="DV226" i="1"/>
  <c r="DV227" i="1"/>
  <c r="EW227" i="1" s="1"/>
  <c r="DV181" i="1"/>
  <c r="DV230" i="1"/>
  <c r="EW230" i="1" s="1"/>
  <c r="DV235" i="1"/>
  <c r="DV171" i="1"/>
  <c r="EW171" i="1" s="1"/>
  <c r="DV239" i="1"/>
  <c r="DV240" i="1"/>
  <c r="EW240" i="1" s="1"/>
  <c r="DV244" i="1"/>
  <c r="DV245" i="1"/>
  <c r="EW245" i="1" s="1"/>
  <c r="DV308" i="1"/>
  <c r="DV309" i="1"/>
  <c r="EW309" i="1" s="1"/>
  <c r="DV254" i="1"/>
  <c r="DV255" i="1"/>
  <c r="DV291" i="1"/>
  <c r="DV261" i="1"/>
  <c r="DV311" i="1"/>
  <c r="DV312" i="1"/>
  <c r="DV271" i="1"/>
  <c r="DV315" i="1"/>
  <c r="DV289" i="1"/>
  <c r="DV293" i="1"/>
  <c r="DV159" i="1"/>
  <c r="DV196" i="1"/>
  <c r="DV198" i="1"/>
  <c r="DV298" i="1"/>
  <c r="DV201" i="1"/>
  <c r="DV203" i="1"/>
  <c r="DV207" i="1"/>
  <c r="DV168" i="1"/>
  <c r="DV215" i="1"/>
  <c r="DV220" i="1"/>
  <c r="DV225" i="1"/>
  <c r="DV302" i="1"/>
  <c r="DV303" i="1"/>
  <c r="DV305" i="1"/>
  <c r="DV229" i="1"/>
  <c r="DV169" i="1"/>
  <c r="DV231" i="1"/>
  <c r="DV233" i="1"/>
  <c r="DV234" i="1"/>
  <c r="DV172" i="1"/>
  <c r="DV173" i="1"/>
  <c r="DV237" i="1"/>
  <c r="DV238" i="1"/>
  <c r="DV241" i="1"/>
  <c r="DV242" i="1"/>
  <c r="DV174" i="1"/>
  <c r="EW174" i="1" s="1"/>
  <c r="DV307" i="1"/>
  <c r="DV175" i="1"/>
  <c r="DV176" i="1"/>
  <c r="DV247" i="1"/>
  <c r="DV248" i="1"/>
  <c r="DV249" i="1"/>
  <c r="DV310" i="1"/>
  <c r="DV252" i="1"/>
  <c r="DV253" i="1"/>
  <c r="DV184" i="1"/>
  <c r="DV256" i="1"/>
  <c r="DV259" i="1"/>
  <c r="DV260" i="1"/>
  <c r="DV262" i="1"/>
  <c r="DV264" i="1"/>
  <c r="DV212" i="1"/>
  <c r="DV313" i="1"/>
  <c r="DV266" i="1"/>
  <c r="DV269" i="1"/>
  <c r="DV270" i="1"/>
  <c r="DV177" i="1"/>
  <c r="DV178" i="1"/>
  <c r="EI145" i="1"/>
  <c r="EI146" i="1"/>
  <c r="EW146" i="1" s="1"/>
  <c r="EI185" i="1"/>
  <c r="EI186" i="1"/>
  <c r="EI148" i="1"/>
  <c r="EW148" i="1" s="1"/>
  <c r="EI149" i="1"/>
  <c r="EI180" i="1"/>
  <c r="EI188" i="1"/>
  <c r="EW188" i="1" s="1"/>
  <c r="EI190" i="1"/>
  <c r="EI151" i="1"/>
  <c r="EW151" i="1" s="1"/>
  <c r="EI193" i="1"/>
  <c r="EI152" i="1"/>
  <c r="EW152" i="1" s="1"/>
  <c r="EI154" i="1"/>
  <c r="EI153" i="1"/>
  <c r="EW153" i="1" s="1"/>
  <c r="EI194" i="1"/>
  <c r="EI279" i="1"/>
  <c r="EW279" i="1" s="1"/>
  <c r="EI282" i="1"/>
  <c r="EI283" i="1"/>
  <c r="EW283" i="1" s="1"/>
  <c r="EI286" i="1"/>
  <c r="EI156" i="1"/>
  <c r="EW156" i="1" s="1"/>
  <c r="EI289" i="1"/>
  <c r="EI290" i="1"/>
  <c r="EI293" i="1"/>
  <c r="EI294" i="1"/>
  <c r="EI159" i="1"/>
  <c r="EI160" i="1"/>
  <c r="EI196" i="1"/>
  <c r="EI295" i="1"/>
  <c r="EW295" i="1" s="1"/>
  <c r="EI198" i="1"/>
  <c r="EI296" i="1"/>
  <c r="EI298" i="1"/>
  <c r="EI199" i="1"/>
  <c r="EI201" i="1"/>
  <c r="EI165" i="1"/>
  <c r="EI203" i="1"/>
  <c r="EI204" i="1"/>
  <c r="EW204" i="1" s="1"/>
  <c r="EI207" i="1"/>
  <c r="EI208" i="1"/>
  <c r="EI168" i="1"/>
  <c r="EI211" i="1"/>
  <c r="EI215" i="1"/>
  <c r="EI216" i="1"/>
  <c r="EI299" i="1"/>
  <c r="EW299" i="1" s="1"/>
  <c r="EI220" i="1"/>
  <c r="EI222" i="1"/>
  <c r="EI225" i="1"/>
  <c r="EI226" i="1"/>
  <c r="EI303" i="1"/>
  <c r="EI304" i="1"/>
  <c r="EW304" i="1" s="1"/>
  <c r="EI229" i="1"/>
  <c r="EI181" i="1"/>
  <c r="EI231" i="1"/>
  <c r="EI170" i="1"/>
  <c r="EW170" i="1" s="1"/>
  <c r="EI234" i="1"/>
  <c r="EI235" i="1"/>
  <c r="EI173" i="1"/>
  <c r="EI236" i="1"/>
  <c r="EW236" i="1" s="1"/>
  <c r="EI238" i="1"/>
  <c r="EI239" i="1"/>
  <c r="EI242" i="1"/>
  <c r="EI134" i="1"/>
  <c r="EW134" i="1" s="1"/>
  <c r="EI307" i="1"/>
  <c r="EI244" i="1"/>
  <c r="EI176" i="1"/>
  <c r="EI246" i="1"/>
  <c r="EW246" i="1" s="1"/>
  <c r="EI248" i="1"/>
  <c r="EI308" i="1"/>
  <c r="EI310" i="1"/>
  <c r="EI250" i="1"/>
  <c r="EW250" i="1" s="1"/>
  <c r="EI253" i="1"/>
  <c r="EI254" i="1"/>
  <c r="EI256" i="1"/>
  <c r="EI257" i="1"/>
  <c r="EW257" i="1" s="1"/>
  <c r="EI260" i="1"/>
  <c r="EI291" i="1"/>
  <c r="EI212" i="1"/>
  <c r="EI311" i="1"/>
  <c r="EI266" i="1"/>
  <c r="EI267" i="1"/>
  <c r="EW267" i="1" s="1"/>
  <c r="EI270" i="1"/>
  <c r="EI315" i="1"/>
  <c r="EW292" i="1"/>
  <c r="EW163" i="1"/>
  <c r="EW209" i="1"/>
  <c r="EW223" i="1"/>
  <c r="EI263" i="1"/>
  <c r="EI312" i="1"/>
  <c r="EI268" i="1"/>
  <c r="EI272" i="1"/>
  <c r="EI271" i="1"/>
  <c r="EI177" i="1"/>
  <c r="EI178" i="1"/>
  <c r="EI179" i="1"/>
  <c r="EW179" i="1" s="1"/>
  <c r="D25" i="22" l="1"/>
  <c r="EW216" i="1"/>
  <c r="EW208" i="1"/>
  <c r="EW207" i="1"/>
  <c r="EW198" i="1"/>
  <c r="EW289" i="1"/>
  <c r="EW187" i="1"/>
  <c r="EW290" i="1"/>
  <c r="EW247" i="1"/>
  <c r="EW237" i="1"/>
  <c r="EW305" i="1"/>
  <c r="EW277" i="1"/>
  <c r="EW218" i="1"/>
  <c r="EW285" i="1"/>
  <c r="EW192" i="1"/>
  <c r="EW210" i="1"/>
  <c r="EW157" i="1"/>
  <c r="EW315" i="1"/>
  <c r="EW235" i="1"/>
  <c r="EW266" i="1"/>
  <c r="EW310" i="1"/>
  <c r="EW242" i="1"/>
  <c r="EW231" i="1"/>
  <c r="EW303" i="1"/>
  <c r="EW261" i="1"/>
  <c r="EW202" i="1"/>
  <c r="EW255" i="1"/>
  <c r="EW282" i="1"/>
  <c r="EW288" i="1"/>
  <c r="EW272" i="1"/>
  <c r="EW196" i="1"/>
  <c r="EW145" i="1"/>
  <c r="EW154" i="1"/>
  <c r="EW190" i="1"/>
  <c r="EW206" i="1"/>
  <c r="EW147" i="1"/>
  <c r="EW185" i="1"/>
  <c r="EW296" i="1"/>
  <c r="EW312" i="1"/>
  <c r="EW176" i="1"/>
  <c r="EW203" i="1"/>
  <c r="EW293" i="1"/>
  <c r="EW286" i="1"/>
  <c r="EW194" i="1"/>
  <c r="EW193" i="1"/>
  <c r="EW180" i="1"/>
  <c r="EW215" i="1"/>
  <c r="EW201" i="1"/>
  <c r="EW159" i="1"/>
  <c r="EW178" i="1"/>
  <c r="EW222" i="1"/>
  <c r="EW186" i="1"/>
  <c r="EW270" i="1"/>
  <c r="EW212" i="1"/>
  <c r="EW260" i="1"/>
  <c r="EW253" i="1"/>
  <c r="EW248" i="1"/>
  <c r="EW307" i="1"/>
  <c r="EW238" i="1"/>
  <c r="EW234" i="1"/>
  <c r="EW229" i="1"/>
  <c r="EW225" i="1"/>
  <c r="EW168" i="1"/>
  <c r="EW298" i="1"/>
  <c r="EW313" i="1"/>
  <c r="EW262" i="1"/>
  <c r="EW184" i="1"/>
  <c r="EW249" i="1"/>
  <c r="EW241" i="1"/>
  <c r="EW169" i="1"/>
  <c r="EW308" i="1"/>
  <c r="EW301" i="1"/>
  <c r="EW162" i="1"/>
  <c r="EW294" i="1"/>
  <c r="EW251" i="1"/>
  <c r="EW233" i="1"/>
  <c r="EW297" i="1"/>
  <c r="EW258" i="1"/>
  <c r="EW149" i="1"/>
  <c r="EW177" i="1"/>
  <c r="EW263" i="1"/>
  <c r="EW311" i="1"/>
  <c r="EW254" i="1"/>
  <c r="EW244" i="1"/>
  <c r="EW226" i="1"/>
  <c r="EW199" i="1"/>
  <c r="EW269" i="1"/>
  <c r="EW264" i="1"/>
  <c r="EW259" i="1"/>
  <c r="EW252" i="1"/>
  <c r="EW281" i="1"/>
  <c r="EW189" i="1"/>
  <c r="EW224" i="1"/>
  <c r="EW160" i="1"/>
  <c r="EW268" i="1"/>
  <c r="EW165" i="1"/>
  <c r="EW276" i="1"/>
  <c r="EW220" i="1"/>
  <c r="EW271" i="1"/>
  <c r="EW291" i="1"/>
  <c r="EW239" i="1"/>
  <c r="EW181" i="1"/>
  <c r="EW211" i="1"/>
  <c r="EW175" i="1"/>
  <c r="EW256" i="1"/>
  <c r="EW173" i="1"/>
  <c r="EW172" i="1"/>
  <c r="EW302" i="1"/>
  <c r="CH13" i="1" l="1"/>
  <c r="G22" i="33" l="1"/>
  <c r="D22" i="33"/>
  <c r="G9" i="33"/>
  <c r="D9" i="33"/>
  <c r="E13" i="33" l="1"/>
  <c r="C20" i="31" l="1"/>
  <c r="D20" i="31"/>
  <c r="E20" i="31"/>
  <c r="F20" i="31"/>
  <c r="G20" i="31"/>
  <c r="H20" i="31"/>
  <c r="B20" i="31"/>
  <c r="E26" i="33" l="1"/>
  <c r="CH24" i="1" l="1"/>
  <c r="CH29" i="1"/>
  <c r="CH27" i="1"/>
  <c r="CH21" i="1"/>
  <c r="CH18" i="1"/>
  <c r="CH22" i="1"/>
  <c r="CH15" i="1"/>
  <c r="CH19" i="1"/>
  <c r="CH28" i="1"/>
  <c r="D17" i="33"/>
  <c r="D30" i="33"/>
  <c r="CH142" i="1" l="1"/>
  <c r="CH312" i="1" l="1"/>
  <c r="CH245" i="1"/>
  <c r="CH227" i="1"/>
  <c r="CH223" i="1"/>
  <c r="CH217" i="1"/>
  <c r="CH209" i="1"/>
  <c r="CH161" i="1"/>
  <c r="CH292" i="1"/>
  <c r="CH82" i="1"/>
  <c r="CH11" i="1"/>
  <c r="CH106" i="1"/>
  <c r="CH63" i="1"/>
  <c r="CH178" i="1"/>
  <c r="CH266" i="1"/>
  <c r="CH212" i="1"/>
  <c r="CH260" i="1"/>
  <c r="CH253" i="1"/>
  <c r="CH176" i="1"/>
  <c r="CH242" i="1"/>
  <c r="CH173" i="1"/>
  <c r="CH234" i="1"/>
  <c r="CH229" i="1"/>
  <c r="CH303" i="1"/>
  <c r="CH215" i="1"/>
  <c r="CH203" i="1"/>
  <c r="CH196" i="1"/>
  <c r="CH289" i="1"/>
  <c r="CH121" i="1"/>
  <c r="CH278" i="1"/>
  <c r="CH10" i="1"/>
  <c r="CH6" i="1"/>
  <c r="CH86" i="1"/>
  <c r="CH155" i="1"/>
  <c r="CH76" i="1"/>
  <c r="CH186" i="1"/>
  <c r="CH145" i="1"/>
  <c r="CH81" i="1"/>
  <c r="CH94" i="1"/>
  <c r="CH55" i="1"/>
  <c r="CH264" i="1"/>
  <c r="CH262" i="1"/>
  <c r="CH259" i="1"/>
  <c r="CH184" i="1"/>
  <c r="CH247" i="1"/>
  <c r="CH175" i="1"/>
  <c r="CH241" i="1"/>
  <c r="CH233" i="1"/>
  <c r="CH302" i="1"/>
  <c r="CH224" i="1"/>
  <c r="CH301" i="1"/>
  <c r="CH218" i="1"/>
  <c r="CH214" i="1"/>
  <c r="CH206" i="1"/>
  <c r="CH202" i="1"/>
  <c r="CH200" i="1"/>
  <c r="CH157" i="1"/>
  <c r="CH288" i="1"/>
  <c r="CH280" i="1"/>
  <c r="CH124" i="1"/>
  <c r="CH120" i="1"/>
  <c r="CH7" i="1"/>
  <c r="CH107" i="1"/>
  <c r="CH9" i="1"/>
  <c r="CH4" i="1"/>
  <c r="CH3" i="1"/>
  <c r="CH57" i="1"/>
  <c r="CH154" i="1"/>
  <c r="CH73" i="1"/>
  <c r="CH189" i="1"/>
  <c r="CH147" i="1"/>
  <c r="CH98" i="1"/>
  <c r="CH272" i="1"/>
  <c r="CH263" i="1"/>
  <c r="CH309" i="1"/>
  <c r="CH243" i="1"/>
  <c r="CH306" i="1"/>
  <c r="CH182" i="1"/>
  <c r="CH228" i="1"/>
  <c r="CH205" i="1"/>
  <c r="CH164" i="1"/>
  <c r="CH35" i="1"/>
  <c r="CH45" i="1"/>
  <c r="CH150" i="1"/>
  <c r="CH185" i="1"/>
  <c r="CH38" i="1"/>
  <c r="CH179" i="1"/>
  <c r="CH267" i="1"/>
  <c r="CH291" i="1"/>
  <c r="CH257" i="1"/>
  <c r="CH254" i="1"/>
  <c r="CH246" i="1"/>
  <c r="CH244" i="1"/>
  <c r="CH134" i="1"/>
  <c r="CH236" i="1"/>
  <c r="CH170" i="1"/>
  <c r="CH226" i="1"/>
  <c r="CH299" i="1"/>
  <c r="CH216" i="1"/>
  <c r="CH211" i="1"/>
  <c r="CH165" i="1"/>
  <c r="CH296" i="1"/>
  <c r="CH282" i="1"/>
  <c r="CH133" i="1"/>
  <c r="CH119" i="1"/>
  <c r="CH113" i="1"/>
  <c r="CH37" i="1"/>
  <c r="CH277" i="1"/>
  <c r="CH275" i="1"/>
  <c r="CH151" i="1"/>
  <c r="CH188" i="1"/>
  <c r="CH148" i="1"/>
  <c r="CH95" i="1"/>
  <c r="C16" i="33"/>
  <c r="E16" i="33" s="1"/>
  <c r="C12" i="33"/>
  <c r="E12" i="33" s="1"/>
  <c r="C15" i="33"/>
  <c r="E15" i="33" s="1"/>
  <c r="C14" i="33"/>
  <c r="E14" i="33" s="1"/>
  <c r="C29" i="33"/>
  <c r="E29" i="33" s="1"/>
  <c r="C28" i="33" l="1"/>
  <c r="E28" i="33" s="1"/>
  <c r="C25" i="33"/>
  <c r="E25" i="33" s="1"/>
  <c r="C27" i="33"/>
  <c r="E27" i="33" s="1"/>
  <c r="EV11" i="1"/>
  <c r="EI11" i="1"/>
  <c r="EI86" i="1"/>
  <c r="DV11" i="1"/>
  <c r="DI11" i="1"/>
  <c r="CV11" i="1"/>
  <c r="CV86" i="1"/>
  <c r="EW11" i="1" l="1"/>
  <c r="CH90" i="1" l="1"/>
  <c r="CH117" i="1" l="1"/>
  <c r="G27" i="33" l="1"/>
  <c r="H27" i="33" s="1"/>
  <c r="G28" i="33"/>
  <c r="H28" i="33" s="1"/>
  <c r="G14" i="33"/>
  <c r="H14" i="33" s="1"/>
  <c r="G15" i="33"/>
  <c r="H15" i="33" s="1"/>
  <c r="G29" i="33"/>
  <c r="H29" i="33" s="1"/>
  <c r="G16" i="33"/>
  <c r="H16" i="33" s="1"/>
  <c r="G25" i="33"/>
  <c r="H25" i="33" s="1"/>
  <c r="G12" i="33"/>
  <c r="H12" i="33" s="1"/>
  <c r="G26" i="33"/>
  <c r="H26" i="33" s="1"/>
  <c r="G13" i="33"/>
  <c r="H13" i="33" s="1"/>
  <c r="F17" i="33" l="1"/>
  <c r="G11" i="33"/>
  <c r="F30" i="33"/>
  <c r="G24" i="33"/>
  <c r="G30" i="33" l="1"/>
  <c r="G17" i="33"/>
  <c r="EZ46" i="1" l="1"/>
  <c r="EZ316" i="1" s="1"/>
  <c r="FA46" i="1"/>
  <c r="FA316" i="1" s="1"/>
  <c r="FB46" i="1"/>
  <c r="FB316" i="1" s="1"/>
  <c r="FC46" i="1"/>
  <c r="FC316" i="1" s="1"/>
  <c r="EX46" i="1"/>
  <c r="EX316" i="1" s="1"/>
  <c r="EY46" i="1"/>
  <c r="EY316" i="1" s="1"/>
  <c r="EY319" i="1" s="1"/>
  <c r="FB319" i="1" l="1"/>
  <c r="FC319" i="1"/>
  <c r="FD319" i="1"/>
  <c r="FA319" i="1"/>
  <c r="EZ319" i="1"/>
  <c r="U139" i="28"/>
  <c r="T139" i="28"/>
  <c r="S139" i="28"/>
  <c r="R139" i="28"/>
  <c r="Q139" i="28"/>
  <c r="P139" i="28"/>
  <c r="O139" i="28"/>
  <c r="N139" i="28"/>
  <c r="M139" i="28"/>
  <c r="L139" i="28"/>
  <c r="K139" i="28"/>
  <c r="J139" i="28"/>
  <c r="I139" i="28"/>
  <c r="H139" i="28"/>
  <c r="G139" i="28"/>
  <c r="F139" i="28"/>
  <c r="E139" i="28"/>
  <c r="D139" i="28"/>
  <c r="J2" i="28"/>
  <c r="U127" i="27"/>
  <c r="T127" i="27"/>
  <c r="S127" i="27"/>
  <c r="R127" i="27"/>
  <c r="Q127" i="27"/>
  <c r="P127" i="27"/>
  <c r="O127" i="27"/>
  <c r="N127" i="27"/>
  <c r="M127" i="27"/>
  <c r="L127" i="27"/>
  <c r="K127" i="27"/>
  <c r="J127" i="27"/>
  <c r="I127" i="27"/>
  <c r="H127" i="27"/>
  <c r="G127" i="27"/>
  <c r="F127" i="27"/>
  <c r="E127" i="27"/>
  <c r="D127" i="27"/>
  <c r="J2" i="27"/>
  <c r="EV94" i="1" l="1"/>
  <c r="EV95" i="1"/>
  <c r="EV81" i="1"/>
  <c r="EV38" i="1"/>
  <c r="EV93" i="1"/>
  <c r="EV96" i="1"/>
  <c r="EV99" i="1"/>
  <c r="EV47" i="1"/>
  <c r="EV46" i="1"/>
  <c r="EV100" i="1"/>
  <c r="EV73" i="1"/>
  <c r="EV45" i="1"/>
  <c r="EV76" i="1"/>
  <c r="EV74" i="1"/>
  <c r="EV75" i="1"/>
  <c r="EV79" i="1"/>
  <c r="EV49" i="1"/>
  <c r="EV40" i="1"/>
  <c r="EV77" i="1"/>
  <c r="EV39" i="1"/>
  <c r="EV44" i="1"/>
  <c r="EV41" i="1"/>
  <c r="EV43" i="1"/>
  <c r="EV78" i="1"/>
  <c r="EV42" i="1"/>
  <c r="EV48" i="1"/>
  <c r="EV61" i="1"/>
  <c r="EV72" i="1"/>
  <c r="EV101" i="1"/>
  <c r="EV60" i="1"/>
  <c r="EV59" i="1"/>
  <c r="EV58" i="1"/>
  <c r="EV68" i="1"/>
  <c r="EV67" i="1"/>
  <c r="EV105" i="1"/>
  <c r="EV57" i="1"/>
  <c r="EV62" i="1"/>
  <c r="EV37" i="1"/>
  <c r="EV35" i="1"/>
  <c r="EV3" i="1"/>
  <c r="EV10" i="1"/>
  <c r="EV86" i="1"/>
  <c r="EV4" i="1"/>
  <c r="EV9" i="1"/>
  <c r="EV6" i="1"/>
  <c r="EV85" i="1"/>
  <c r="EV5" i="1"/>
  <c r="EV88" i="1"/>
  <c r="EV87" i="1"/>
  <c r="EV84" i="1"/>
  <c r="EV83" i="1"/>
  <c r="EV117" i="1"/>
  <c r="EV90" i="1"/>
  <c r="EV124" i="1"/>
  <c r="EV55" i="1"/>
  <c r="EV7" i="1"/>
  <c r="EV119" i="1"/>
  <c r="EV113" i="1"/>
  <c r="EV82" i="1"/>
  <c r="EV128" i="1"/>
  <c r="EV28" i="1"/>
  <c r="EV123" i="1"/>
  <c r="EV107" i="1"/>
  <c r="EV278" i="1"/>
  <c r="EV106" i="1"/>
  <c r="EV91" i="1"/>
  <c r="EV112" i="1"/>
  <c r="EV108" i="1"/>
  <c r="EV127" i="1"/>
  <c r="EV92" i="1"/>
  <c r="EV116" i="1"/>
  <c r="EV131" i="1"/>
  <c r="EV114" i="1"/>
  <c r="EV115" i="1"/>
  <c r="EV109" i="1"/>
  <c r="EV126" i="1"/>
  <c r="EV125" i="1"/>
  <c r="EV111" i="1"/>
  <c r="EV89" i="1"/>
  <c r="EV144" i="1"/>
  <c r="EV138" i="1"/>
  <c r="EV141" i="1"/>
  <c r="EV53" i="1"/>
  <c r="EV136" i="1"/>
  <c r="EV137" i="1"/>
  <c r="EV143" i="1"/>
  <c r="EV54" i="1"/>
  <c r="EV139" i="1"/>
  <c r="EV135" i="1"/>
  <c r="EV140" i="1"/>
  <c r="EV274" i="1"/>
  <c r="EI94" i="1"/>
  <c r="EI95" i="1"/>
  <c r="EI81" i="1"/>
  <c r="EI38" i="1"/>
  <c r="EI93" i="1"/>
  <c r="EI96" i="1"/>
  <c r="EI99" i="1"/>
  <c r="EI47" i="1"/>
  <c r="EI46" i="1"/>
  <c r="EI100" i="1"/>
  <c r="EI73" i="1"/>
  <c r="EI45" i="1"/>
  <c r="EI76" i="1"/>
  <c r="EI74" i="1"/>
  <c r="EI75" i="1"/>
  <c r="EI79" i="1"/>
  <c r="EI49" i="1"/>
  <c r="EI40" i="1"/>
  <c r="EI77" i="1"/>
  <c r="EI39" i="1"/>
  <c r="EI44" i="1"/>
  <c r="EI41" i="1"/>
  <c r="EI43" i="1"/>
  <c r="EI78" i="1"/>
  <c r="EI42" i="1"/>
  <c r="EI48" i="1"/>
  <c r="EI61" i="1"/>
  <c r="EI72" i="1"/>
  <c r="EI101" i="1"/>
  <c r="EI60" i="1"/>
  <c r="EI59" i="1"/>
  <c r="EI58" i="1"/>
  <c r="EI68" i="1"/>
  <c r="EI67" i="1"/>
  <c r="EI105" i="1"/>
  <c r="EI57" i="1"/>
  <c r="EI62" i="1"/>
  <c r="EI37" i="1"/>
  <c r="EI35" i="1"/>
  <c r="EI3" i="1"/>
  <c r="EI10" i="1"/>
  <c r="EI4" i="1"/>
  <c r="EI9" i="1"/>
  <c r="EI6" i="1"/>
  <c r="EI85" i="1"/>
  <c r="EI5" i="1"/>
  <c r="EI88" i="1"/>
  <c r="EI87" i="1"/>
  <c r="EI84" i="1"/>
  <c r="EI83" i="1"/>
  <c r="EI117" i="1"/>
  <c r="EI90" i="1"/>
  <c r="EI124" i="1"/>
  <c r="EI55" i="1"/>
  <c r="EI7" i="1"/>
  <c r="EI119" i="1"/>
  <c r="EI113" i="1"/>
  <c r="EI82" i="1"/>
  <c r="EI128" i="1"/>
  <c r="EI28" i="1"/>
  <c r="EI123" i="1"/>
  <c r="EI107" i="1"/>
  <c r="EI278" i="1"/>
  <c r="EI106" i="1"/>
  <c r="EI91" i="1"/>
  <c r="EI112" i="1"/>
  <c r="EI108" i="1"/>
  <c r="EI127" i="1"/>
  <c r="EI92" i="1"/>
  <c r="EI116" i="1"/>
  <c r="EI131" i="1"/>
  <c r="EI114" i="1"/>
  <c r="EI115" i="1"/>
  <c r="EI109" i="1"/>
  <c r="EI126" i="1"/>
  <c r="EI125" i="1"/>
  <c r="EI111" i="1"/>
  <c r="EI89" i="1"/>
  <c r="EI144" i="1"/>
  <c r="EI138" i="1"/>
  <c r="EI141" i="1"/>
  <c r="EI53" i="1"/>
  <c r="EI136" i="1"/>
  <c r="EI137" i="1"/>
  <c r="EI143" i="1"/>
  <c r="EI54" i="1"/>
  <c r="EI139" i="1"/>
  <c r="EI135" i="1"/>
  <c r="EI140" i="1"/>
  <c r="EI274" i="1"/>
  <c r="DV94" i="1"/>
  <c r="DV95" i="1"/>
  <c r="DV81" i="1"/>
  <c r="DV38" i="1"/>
  <c r="DV93" i="1"/>
  <c r="DV96" i="1"/>
  <c r="DV99" i="1"/>
  <c r="DV47" i="1"/>
  <c r="DV46" i="1"/>
  <c r="DV100" i="1"/>
  <c r="DV73" i="1"/>
  <c r="DV45" i="1"/>
  <c r="DV76" i="1"/>
  <c r="DV74" i="1"/>
  <c r="DV75" i="1"/>
  <c r="DV79" i="1"/>
  <c r="DV49" i="1"/>
  <c r="DV40" i="1"/>
  <c r="DV77" i="1"/>
  <c r="DV39" i="1"/>
  <c r="DV44" i="1"/>
  <c r="DV41" i="1"/>
  <c r="DV43" i="1"/>
  <c r="DV78" i="1"/>
  <c r="DV42" i="1"/>
  <c r="DV48" i="1"/>
  <c r="DV61" i="1"/>
  <c r="DV72" i="1"/>
  <c r="DV101" i="1"/>
  <c r="DV60" i="1"/>
  <c r="DV59" i="1"/>
  <c r="DV58" i="1"/>
  <c r="DV68" i="1"/>
  <c r="DV67" i="1"/>
  <c r="DV105" i="1"/>
  <c r="DV57" i="1"/>
  <c r="DV62" i="1"/>
  <c r="DV37" i="1"/>
  <c r="DV35" i="1"/>
  <c r="DV3" i="1"/>
  <c r="DV10" i="1"/>
  <c r="DV86" i="1"/>
  <c r="DV4" i="1"/>
  <c r="DV9" i="1"/>
  <c r="DV6" i="1"/>
  <c r="DV85" i="1"/>
  <c r="DV5" i="1"/>
  <c r="DV88" i="1"/>
  <c r="DV87" i="1"/>
  <c r="DV84" i="1"/>
  <c r="DV83" i="1"/>
  <c r="DV117" i="1"/>
  <c r="DV90" i="1"/>
  <c r="DV124" i="1"/>
  <c r="DV55" i="1"/>
  <c r="DV7" i="1"/>
  <c r="DV119" i="1"/>
  <c r="DV113" i="1"/>
  <c r="DV82" i="1"/>
  <c r="DV128" i="1"/>
  <c r="DV28" i="1"/>
  <c r="DV123" i="1"/>
  <c r="DV107" i="1"/>
  <c r="DV278" i="1"/>
  <c r="DV106" i="1"/>
  <c r="DV91" i="1"/>
  <c r="DV112" i="1"/>
  <c r="DV108" i="1"/>
  <c r="DV127" i="1"/>
  <c r="DV92" i="1"/>
  <c r="DV116" i="1"/>
  <c r="DV131" i="1"/>
  <c r="DV114" i="1"/>
  <c r="DV115" i="1"/>
  <c r="DV109" i="1"/>
  <c r="DV126" i="1"/>
  <c r="DV125" i="1"/>
  <c r="DV111" i="1"/>
  <c r="DV89" i="1"/>
  <c r="DV144" i="1"/>
  <c r="DV138" i="1"/>
  <c r="DV141" i="1"/>
  <c r="DV53" i="1"/>
  <c r="DV136" i="1"/>
  <c r="DV137" i="1"/>
  <c r="DV143" i="1"/>
  <c r="DV54" i="1"/>
  <c r="DV139" i="1"/>
  <c r="DV135" i="1"/>
  <c r="DV140" i="1"/>
  <c r="DV274" i="1"/>
  <c r="DI94" i="1"/>
  <c r="DI95" i="1"/>
  <c r="DI81" i="1"/>
  <c r="DI38" i="1"/>
  <c r="DI93" i="1"/>
  <c r="DI96" i="1"/>
  <c r="DI99" i="1"/>
  <c r="DI47" i="1"/>
  <c r="DI46" i="1"/>
  <c r="DI100" i="1"/>
  <c r="DI73" i="1"/>
  <c r="DI45" i="1"/>
  <c r="DI76" i="1"/>
  <c r="DI74" i="1"/>
  <c r="DI75" i="1"/>
  <c r="DI79" i="1"/>
  <c r="DI49" i="1"/>
  <c r="DI40" i="1"/>
  <c r="DI77" i="1"/>
  <c r="DI44" i="1"/>
  <c r="DI41" i="1"/>
  <c r="DI43" i="1"/>
  <c r="DI78" i="1"/>
  <c r="DI42" i="1"/>
  <c r="DI48" i="1"/>
  <c r="DI103" i="1"/>
  <c r="DI61" i="1"/>
  <c r="DI72" i="1"/>
  <c r="DI101" i="1"/>
  <c r="DI60" i="1"/>
  <c r="DI59" i="1"/>
  <c r="DI58" i="1"/>
  <c r="DI68" i="1"/>
  <c r="DI67" i="1"/>
  <c r="DI105" i="1"/>
  <c r="DI57" i="1"/>
  <c r="DI62" i="1"/>
  <c r="DI37" i="1"/>
  <c r="DI35" i="1"/>
  <c r="DI3" i="1"/>
  <c r="DI10" i="1"/>
  <c r="DI86" i="1"/>
  <c r="DI4" i="1"/>
  <c r="DI9" i="1"/>
  <c r="DI6" i="1"/>
  <c r="DI85" i="1"/>
  <c r="DI5" i="1"/>
  <c r="DI88" i="1"/>
  <c r="DI87" i="1"/>
  <c r="DI84" i="1"/>
  <c r="DI83" i="1"/>
  <c r="DI117" i="1"/>
  <c r="DI90" i="1"/>
  <c r="DI124" i="1"/>
  <c r="DI55" i="1"/>
  <c r="DI7" i="1"/>
  <c r="DI119" i="1"/>
  <c r="DI113" i="1"/>
  <c r="DI82" i="1"/>
  <c r="DI128" i="1"/>
  <c r="DI28" i="1"/>
  <c r="DI123" i="1"/>
  <c r="DI107" i="1"/>
  <c r="DI278" i="1"/>
  <c r="DI106" i="1"/>
  <c r="DI91" i="1"/>
  <c r="DI112" i="1"/>
  <c r="DI108" i="1"/>
  <c r="DI127" i="1"/>
  <c r="DI92" i="1"/>
  <c r="DI116" i="1"/>
  <c r="DI131" i="1"/>
  <c r="DI114" i="1"/>
  <c r="DI115" i="1"/>
  <c r="DI109" i="1"/>
  <c r="DI126" i="1"/>
  <c r="DI125" i="1"/>
  <c r="DI111" i="1"/>
  <c r="DI89" i="1"/>
  <c r="DI144" i="1"/>
  <c r="DI138" i="1"/>
  <c r="DI141" i="1"/>
  <c r="DI53" i="1"/>
  <c r="DI136" i="1"/>
  <c r="DI137" i="1"/>
  <c r="DI143" i="1"/>
  <c r="DI54" i="1"/>
  <c r="DI139" i="1"/>
  <c r="DI135" i="1"/>
  <c r="DI140" i="1"/>
  <c r="DI274" i="1"/>
  <c r="CV94" i="1"/>
  <c r="CV95" i="1"/>
  <c r="CV81" i="1"/>
  <c r="CV38" i="1"/>
  <c r="CV93" i="1"/>
  <c r="CV96" i="1"/>
  <c r="CV99" i="1"/>
  <c r="CV47" i="1"/>
  <c r="CV46" i="1"/>
  <c r="CV100" i="1"/>
  <c r="CV73" i="1"/>
  <c r="CV45" i="1"/>
  <c r="CV76" i="1"/>
  <c r="CV74" i="1"/>
  <c r="CV75" i="1"/>
  <c r="CV79" i="1"/>
  <c r="CV49" i="1"/>
  <c r="CV40" i="1"/>
  <c r="CV77" i="1"/>
  <c r="CV39" i="1"/>
  <c r="CV44" i="1"/>
  <c r="CV41" i="1"/>
  <c r="CV43" i="1"/>
  <c r="CV78" i="1"/>
  <c r="CV42" i="1"/>
  <c r="CV48" i="1"/>
  <c r="CV61" i="1"/>
  <c r="CV72" i="1"/>
  <c r="CV101" i="1"/>
  <c r="CV60" i="1"/>
  <c r="CV59" i="1"/>
  <c r="CV58" i="1"/>
  <c r="CV68" i="1"/>
  <c r="CV67" i="1"/>
  <c r="CV105" i="1"/>
  <c r="CV62" i="1"/>
  <c r="CV35" i="1"/>
  <c r="CV3" i="1"/>
  <c r="CV10" i="1"/>
  <c r="CV4" i="1"/>
  <c r="CV9" i="1"/>
  <c r="CV6" i="1"/>
  <c r="CV85" i="1"/>
  <c r="CV5" i="1"/>
  <c r="CV88" i="1"/>
  <c r="CV87" i="1"/>
  <c r="CV84" i="1"/>
  <c r="CV83" i="1"/>
  <c r="CV117" i="1"/>
  <c r="CV90" i="1"/>
  <c r="CV124" i="1"/>
  <c r="CV55" i="1"/>
  <c r="CV7" i="1"/>
  <c r="CV119" i="1"/>
  <c r="CV113" i="1"/>
  <c r="CV82" i="1"/>
  <c r="CV128" i="1"/>
  <c r="CV28" i="1"/>
  <c r="CV123" i="1"/>
  <c r="CV107" i="1"/>
  <c r="CV278" i="1"/>
  <c r="CV91" i="1"/>
  <c r="CV112" i="1"/>
  <c r="CV108" i="1"/>
  <c r="CV127" i="1"/>
  <c r="CV92" i="1"/>
  <c r="CV116" i="1"/>
  <c r="CV131" i="1"/>
  <c r="CV114" i="1"/>
  <c r="CV115" i="1"/>
  <c r="CV109" i="1"/>
  <c r="CV126" i="1"/>
  <c r="CV125" i="1"/>
  <c r="CV111" i="1"/>
  <c r="CV89" i="1"/>
  <c r="CV144" i="1"/>
  <c r="CV138" i="1"/>
  <c r="CV141" i="1"/>
  <c r="CV53" i="1"/>
  <c r="CV136" i="1"/>
  <c r="CV137" i="1"/>
  <c r="CV143" i="1"/>
  <c r="CV54" i="1"/>
  <c r="CV139" i="1"/>
  <c r="CV135" i="1"/>
  <c r="CV140" i="1"/>
  <c r="CV274" i="1"/>
  <c r="BZ316" i="1"/>
  <c r="BM316" i="1"/>
  <c r="AZ316" i="1"/>
  <c r="AM316" i="1"/>
  <c r="EW45" i="1" l="1"/>
  <c r="Z316" i="1"/>
  <c r="D42" i="22"/>
  <c r="D128" i="22" s="1"/>
  <c r="F128" i="22" s="1"/>
  <c r="FL316" i="1"/>
  <c r="EW86" i="1"/>
  <c r="EW54" i="1"/>
  <c r="EW53" i="1"/>
  <c r="EW126" i="1"/>
  <c r="EW114" i="1"/>
  <c r="EW92" i="1"/>
  <c r="EW278" i="1"/>
  <c r="EW82" i="1"/>
  <c r="EW119" i="1"/>
  <c r="EW83" i="1"/>
  <c r="EW5" i="1"/>
  <c r="EW48" i="1"/>
  <c r="EW39" i="1"/>
  <c r="EW79" i="1"/>
  <c r="EW47" i="1"/>
  <c r="EW38" i="1"/>
  <c r="EW274" i="1"/>
  <c r="EW140" i="1"/>
  <c r="EW143" i="1"/>
  <c r="EW141" i="1"/>
  <c r="EW89" i="1"/>
  <c r="EW109" i="1"/>
  <c r="EW131" i="1"/>
  <c r="EW127" i="1"/>
  <c r="EW112" i="1"/>
  <c r="EW107" i="1"/>
  <c r="EW128" i="1"/>
  <c r="EW7" i="1"/>
  <c r="EW90" i="1"/>
  <c r="EW84" i="1"/>
  <c r="EW135" i="1"/>
  <c r="EW137" i="1"/>
  <c r="EW138" i="1"/>
  <c r="EW111" i="1"/>
  <c r="EW116" i="1"/>
  <c r="EW91" i="1"/>
  <c r="EW123" i="1"/>
  <c r="EW58" i="1"/>
  <c r="EW72" i="1"/>
  <c r="EW139" i="1"/>
  <c r="EW136" i="1"/>
  <c r="EW144" i="1"/>
  <c r="EW125" i="1"/>
  <c r="EW115" i="1"/>
  <c r="EW108" i="1"/>
  <c r="EW28" i="1"/>
  <c r="EW113" i="1"/>
  <c r="EW124" i="1"/>
  <c r="EW117" i="1"/>
  <c r="EW88" i="1"/>
  <c r="EW4" i="1"/>
  <c r="EW35" i="1"/>
  <c r="EW68" i="1"/>
  <c r="EW101" i="1"/>
  <c r="EW61" i="1"/>
  <c r="EW78" i="1"/>
  <c r="EW41" i="1"/>
  <c r="EW49" i="1"/>
  <c r="EW76" i="1"/>
  <c r="EW46" i="1"/>
  <c r="EW93" i="1"/>
  <c r="EW94" i="1"/>
  <c r="EW85" i="1"/>
  <c r="EW9" i="1"/>
  <c r="EW10" i="1"/>
  <c r="EW62" i="1"/>
  <c r="EW105" i="1"/>
  <c r="EW59" i="1"/>
  <c r="EW77" i="1"/>
  <c r="EW75" i="1"/>
  <c r="EW73" i="1"/>
  <c r="EW99" i="1"/>
  <c r="EW81" i="1"/>
  <c r="EW55" i="1"/>
  <c r="EW87" i="1"/>
  <c r="EW6" i="1"/>
  <c r="EW3" i="1"/>
  <c r="EW67" i="1"/>
  <c r="EW60" i="1"/>
  <c r="EW42" i="1"/>
  <c r="EW43" i="1"/>
  <c r="EW44" i="1"/>
  <c r="EW40" i="1"/>
  <c r="EW74" i="1"/>
  <c r="EW100" i="1"/>
  <c r="EW96" i="1"/>
  <c r="EW95" i="1"/>
  <c r="CA316" i="1" l="1"/>
  <c r="D55" i="22"/>
  <c r="D141" i="22" s="1"/>
  <c r="U220" i="26"/>
  <c r="T220" i="26"/>
  <c r="S220" i="26"/>
  <c r="R220" i="26"/>
  <c r="Q220" i="26"/>
  <c r="P220" i="26"/>
  <c r="O220" i="26"/>
  <c r="N220" i="26"/>
  <c r="M220" i="26"/>
  <c r="L220" i="26"/>
  <c r="K220" i="26"/>
  <c r="J220" i="26"/>
  <c r="I220" i="26"/>
  <c r="H220" i="26"/>
  <c r="G220" i="26"/>
  <c r="F220" i="26"/>
  <c r="E220" i="26"/>
  <c r="D220" i="26"/>
  <c r="J2" i="26"/>
  <c r="CH80" i="1" l="1"/>
  <c r="E210" i="24" l="1"/>
  <c r="F210" i="24"/>
  <c r="G210" i="24"/>
  <c r="H210" i="24"/>
  <c r="I210" i="24"/>
  <c r="J210" i="24"/>
  <c r="K210" i="24"/>
  <c r="L210" i="24"/>
  <c r="M210" i="24"/>
  <c r="N210" i="24"/>
  <c r="O210" i="24"/>
  <c r="P210" i="24"/>
  <c r="Q210" i="24"/>
  <c r="R210" i="24"/>
  <c r="S210" i="24"/>
  <c r="T210" i="24"/>
  <c r="U210" i="24"/>
  <c r="D210" i="24"/>
  <c r="C11" i="33" l="1"/>
  <c r="E11" i="33" s="1"/>
  <c r="L3" i="14"/>
  <c r="G3" i="14"/>
  <c r="B3" i="14"/>
  <c r="J3" i="14"/>
  <c r="I3" i="14"/>
  <c r="H3" i="14"/>
  <c r="C3" i="14"/>
  <c r="M3" i="14"/>
  <c r="D3" i="14"/>
  <c r="K3" i="14"/>
  <c r="F3" i="14"/>
  <c r="E3" i="14"/>
  <c r="Y39" i="23"/>
  <c r="AB39" i="23" s="1"/>
  <c r="BO45" i="23"/>
  <c r="BO44" i="23"/>
  <c r="BO43" i="23"/>
  <c r="BO42" i="23"/>
  <c r="BO41" i="23"/>
  <c r="BO40" i="23"/>
  <c r="BO39" i="23"/>
  <c r="BO38" i="23"/>
  <c r="BO37" i="23"/>
  <c r="BO36" i="23"/>
  <c r="BO35" i="23"/>
  <c r="BO34" i="23"/>
  <c r="BO33" i="23"/>
  <c r="BO32" i="23"/>
  <c r="BO31" i="23"/>
  <c r="BO30" i="23"/>
  <c r="BO29" i="23"/>
  <c r="BO28" i="23"/>
  <c r="BO27" i="23"/>
  <c r="BO26" i="23"/>
  <c r="BO25" i="23"/>
  <c r="BO24" i="23"/>
  <c r="BB45" i="23"/>
  <c r="BB44" i="23"/>
  <c r="BB43" i="23"/>
  <c r="BB42" i="23"/>
  <c r="BB41" i="23"/>
  <c r="BB40" i="23"/>
  <c r="BB39" i="23"/>
  <c r="BB38" i="23"/>
  <c r="BB37" i="23"/>
  <c r="BB36" i="23"/>
  <c r="BB35" i="23"/>
  <c r="BB34" i="23"/>
  <c r="BB33" i="23"/>
  <c r="BB32" i="23"/>
  <c r="BB31" i="23"/>
  <c r="BB30" i="23"/>
  <c r="BB29" i="23"/>
  <c r="BB28" i="23"/>
  <c r="BB27" i="23"/>
  <c r="BB26" i="23"/>
  <c r="BB25" i="23"/>
  <c r="BB24" i="23"/>
  <c r="AB45" i="23"/>
  <c r="AB44" i="23"/>
  <c r="AB43" i="23"/>
  <c r="AB42" i="23"/>
  <c r="AB41" i="23"/>
  <c r="AB40" i="23"/>
  <c r="AB38" i="23"/>
  <c r="AB37" i="23"/>
  <c r="AB36" i="23"/>
  <c r="AB35" i="23"/>
  <c r="AB34" i="23"/>
  <c r="AB33" i="23"/>
  <c r="AB32" i="23"/>
  <c r="AB31" i="23"/>
  <c r="AB25" i="23"/>
  <c r="AB26" i="23"/>
  <c r="AB27" i="23"/>
  <c r="AB28" i="23"/>
  <c r="AB29" i="23"/>
  <c r="AB30" i="23"/>
  <c r="AB24" i="23"/>
  <c r="H11" i="33" l="1"/>
  <c r="C17" i="33"/>
  <c r="CC40" i="23"/>
  <c r="CC33" i="23"/>
  <c r="CC26" i="23"/>
  <c r="CC30" i="23"/>
  <c r="CC34" i="23"/>
  <c r="CC38" i="23"/>
  <c r="CC28" i="23"/>
  <c r="CC24" i="23"/>
  <c r="CC32" i="23"/>
  <c r="CC36" i="23"/>
  <c r="CC44" i="23"/>
  <c r="CC39" i="23"/>
  <c r="CC25" i="23"/>
  <c r="CC29" i="23"/>
  <c r="CC37" i="23"/>
  <c r="CC45" i="23"/>
  <c r="CC27" i="23"/>
  <c r="CC31" i="23"/>
  <c r="CC35" i="23"/>
  <c r="CC43" i="23"/>
  <c r="CC41" i="23"/>
  <c r="CC42" i="23"/>
  <c r="E17" i="33" l="1"/>
  <c r="H17" i="33"/>
  <c r="CV57" i="1" l="1"/>
  <c r="EW57" i="1" s="1"/>
  <c r="C24" i="33" l="1"/>
  <c r="E24" i="33" l="1"/>
  <c r="H24" i="33"/>
  <c r="C30" i="33"/>
  <c r="I200" i="21"/>
  <c r="E30" i="33" l="1"/>
  <c r="H30" i="33"/>
  <c r="F74" i="22" l="1"/>
  <c r="F15" i="22"/>
  <c r="F44" i="22"/>
  <c r="F13" i="22"/>
  <c r="F76" i="22"/>
  <c r="F75" i="22"/>
  <c r="F43" i="22"/>
  <c r="F14" i="22"/>
  <c r="F87" i="22" l="1"/>
  <c r="F89" i="22"/>
  <c r="F56" i="22"/>
  <c r="F28" i="22"/>
  <c r="F27" i="22"/>
  <c r="F26" i="22"/>
  <c r="F57" i="22"/>
  <c r="F88" i="22"/>
  <c r="J2" i="24"/>
  <c r="V190" i="24"/>
  <c r="V189" i="24"/>
  <c r="V188" i="24"/>
  <c r="V187" i="24"/>
  <c r="V186" i="24"/>
  <c r="V185" i="24"/>
  <c r="V184" i="24"/>
  <c r="V183" i="24"/>
  <c r="V182" i="24"/>
  <c r="V181" i="24"/>
  <c r="V180" i="24"/>
  <c r="V179" i="24"/>
  <c r="V178" i="24"/>
  <c r="V177" i="24"/>
  <c r="V176" i="24"/>
  <c r="V175" i="24"/>
  <c r="V174" i="24"/>
  <c r="V173" i="24"/>
  <c r="V172" i="24"/>
  <c r="V171" i="24"/>
  <c r="V170" i="24"/>
  <c r="V169" i="24"/>
  <c r="V168" i="24"/>
  <c r="V167" i="24"/>
  <c r="V166" i="24"/>
  <c r="V165" i="24"/>
  <c r="V164" i="24"/>
  <c r="V163" i="24"/>
  <c r="V162" i="24"/>
  <c r="V161" i="24"/>
  <c r="V160" i="24"/>
  <c r="V159" i="24"/>
  <c r="V158" i="24"/>
  <c r="V157" i="24"/>
  <c r="V156" i="24"/>
  <c r="V155" i="24"/>
  <c r="V154" i="24"/>
  <c r="V153" i="24"/>
  <c r="V152" i="24"/>
  <c r="V151" i="24"/>
  <c r="V150" i="24"/>
  <c r="V149" i="24"/>
  <c r="V148" i="24"/>
  <c r="V147" i="24"/>
  <c r="V146" i="24"/>
  <c r="V145" i="24"/>
  <c r="V144" i="24"/>
  <c r="V143" i="24"/>
  <c r="V142" i="24"/>
  <c r="V141" i="24"/>
  <c r="V140" i="24"/>
  <c r="V139" i="24"/>
  <c r="V138" i="24"/>
  <c r="V137" i="24"/>
  <c r="V136" i="24"/>
  <c r="V135" i="24"/>
  <c r="V134" i="24"/>
  <c r="V133" i="24"/>
  <c r="V132" i="24"/>
  <c r="V131" i="24"/>
  <c r="V130" i="24"/>
  <c r="V129" i="24"/>
  <c r="V128" i="24"/>
  <c r="V127" i="24"/>
  <c r="V126" i="24"/>
  <c r="V125" i="24"/>
  <c r="V124" i="24"/>
  <c r="V123" i="24"/>
  <c r="V122" i="24"/>
  <c r="V121" i="24"/>
  <c r="V120" i="24"/>
  <c r="V119" i="24"/>
  <c r="V118" i="24"/>
  <c r="V117" i="24"/>
  <c r="V116" i="24"/>
  <c r="V115" i="24"/>
  <c r="V114" i="24"/>
  <c r="V113" i="24"/>
  <c r="V112" i="24"/>
  <c r="V111" i="24"/>
  <c r="V110" i="24"/>
  <c r="V109" i="24"/>
  <c r="V108" i="24"/>
  <c r="V107" i="24"/>
  <c r="V106" i="24"/>
  <c r="V105" i="24"/>
  <c r="V104" i="24"/>
  <c r="V103" i="24"/>
  <c r="V102" i="24"/>
  <c r="V101" i="24"/>
  <c r="V100" i="24"/>
  <c r="V99" i="24"/>
  <c r="V98" i="24"/>
  <c r="V97" i="24"/>
  <c r="V96" i="24"/>
  <c r="V95" i="24"/>
  <c r="V94" i="24"/>
  <c r="V93" i="24"/>
  <c r="V92" i="24"/>
  <c r="V91" i="24"/>
  <c r="V90" i="24"/>
  <c r="V89" i="24"/>
  <c r="V88" i="24"/>
  <c r="V87" i="24"/>
  <c r="V86" i="24"/>
  <c r="V85" i="24"/>
  <c r="V84" i="24"/>
  <c r="V83" i="24"/>
  <c r="V82" i="24"/>
  <c r="V81" i="24"/>
  <c r="V80" i="24"/>
  <c r="V79" i="24"/>
  <c r="V78" i="24"/>
  <c r="V77" i="24"/>
  <c r="V76" i="24"/>
  <c r="V75" i="24"/>
  <c r="V74" i="24"/>
  <c r="V73" i="24"/>
  <c r="V72" i="24"/>
  <c r="V71" i="24"/>
  <c r="V70" i="24"/>
  <c r="V69" i="24"/>
  <c r="V68" i="24"/>
  <c r="V67" i="24"/>
  <c r="V66" i="24"/>
  <c r="V65" i="24"/>
  <c r="V64" i="24"/>
  <c r="V63" i="24"/>
  <c r="V62" i="24"/>
  <c r="V61" i="24"/>
  <c r="V60" i="24"/>
  <c r="V59" i="24"/>
  <c r="V58" i="24"/>
  <c r="V57" i="24"/>
  <c r="V56" i="24"/>
  <c r="V55" i="24"/>
  <c r="V54" i="24"/>
  <c r="V53" i="24"/>
  <c r="V52" i="24"/>
  <c r="V51" i="24"/>
  <c r="V50" i="24"/>
  <c r="V49" i="24"/>
  <c r="V48" i="24"/>
  <c r="V47" i="24"/>
  <c r="V46" i="24"/>
  <c r="V45" i="24"/>
  <c r="V44" i="24"/>
  <c r="V43" i="24"/>
  <c r="V42" i="24"/>
  <c r="V41" i="24"/>
  <c r="V40" i="24"/>
  <c r="V39" i="24"/>
  <c r="V38" i="24"/>
  <c r="V37" i="24"/>
  <c r="V36" i="24"/>
  <c r="V35" i="24"/>
  <c r="V34" i="24"/>
  <c r="V33" i="24"/>
  <c r="V32" i="24"/>
  <c r="V31" i="24"/>
  <c r="V30" i="24"/>
  <c r="V29" i="24"/>
  <c r="V28" i="24"/>
  <c r="V27" i="24"/>
  <c r="V26" i="24"/>
  <c r="V25" i="24"/>
  <c r="V24" i="24"/>
  <c r="V23" i="24"/>
  <c r="V22" i="24"/>
  <c r="V21" i="24"/>
  <c r="V20" i="24"/>
  <c r="V19" i="24"/>
  <c r="V18" i="24"/>
  <c r="V17" i="24"/>
  <c r="V16" i="24"/>
  <c r="V15" i="24"/>
  <c r="V14" i="24"/>
  <c r="V13" i="24"/>
  <c r="V12" i="24"/>
  <c r="V11" i="24"/>
  <c r="V10" i="24"/>
  <c r="V9" i="24"/>
  <c r="V8" i="24"/>
  <c r="V7" i="24"/>
  <c r="V6" i="24"/>
  <c r="V5" i="24"/>
  <c r="V4" i="24"/>
  <c r="J200" i="21"/>
  <c r="K200" i="21"/>
  <c r="L200" i="21"/>
  <c r="M200" i="21"/>
  <c r="N200" i="21"/>
  <c r="O200" i="21"/>
  <c r="P200" i="21"/>
  <c r="Q200" i="21"/>
  <c r="R200" i="21"/>
  <c r="S200" i="21"/>
  <c r="T200" i="21"/>
  <c r="U200" i="21"/>
  <c r="GL23" i="23" l="1"/>
  <c r="GH23" i="23"/>
  <c r="FX23" i="23"/>
  <c r="FW23" i="23"/>
  <c r="FS23" i="23"/>
  <c r="FJ23" i="23"/>
  <c r="FB23" i="23"/>
  <c r="ES23" i="23"/>
  <c r="EF23" i="23"/>
  <c r="DS23" i="23"/>
  <c r="DF23" i="23"/>
  <c r="CS23" i="23"/>
  <c r="CB23" i="23"/>
  <c r="BO23" i="23"/>
  <c r="BB23" i="23"/>
  <c r="AO23" i="23"/>
  <c r="AB23" i="23"/>
  <c r="GL22" i="23"/>
  <c r="GH22" i="23"/>
  <c r="FX22" i="23"/>
  <c r="FW22" i="23"/>
  <c r="FS22" i="23"/>
  <c r="FJ22" i="23"/>
  <c r="FB22" i="23"/>
  <c r="ES22" i="23"/>
  <c r="EF22" i="23"/>
  <c r="DS22" i="23"/>
  <c r="DF22" i="23"/>
  <c r="CS22" i="23"/>
  <c r="CB22" i="23"/>
  <c r="BO22" i="23"/>
  <c r="BB22" i="23"/>
  <c r="AO22" i="23"/>
  <c r="AB22" i="23"/>
  <c r="GL21" i="23"/>
  <c r="GH21" i="23"/>
  <c r="FX21" i="23"/>
  <c r="FW21" i="23"/>
  <c r="FS21" i="23"/>
  <c r="FJ21" i="23"/>
  <c r="FB21" i="23"/>
  <c r="ES21" i="23"/>
  <c r="EF21" i="23"/>
  <c r="DS21" i="23"/>
  <c r="DF21" i="23"/>
  <c r="CS21" i="23"/>
  <c r="CB21" i="23"/>
  <c r="BO21" i="23"/>
  <c r="BB21" i="23"/>
  <c r="AO21" i="23"/>
  <c r="AB21" i="23"/>
  <c r="GL20" i="23"/>
  <c r="GH20" i="23"/>
  <c r="FX20" i="23"/>
  <c r="FW20" i="23"/>
  <c r="FS20" i="23"/>
  <c r="FJ20" i="23"/>
  <c r="FB20" i="23"/>
  <c r="ES20" i="23"/>
  <c r="EF20" i="23"/>
  <c r="DS20" i="23"/>
  <c r="DF20" i="23"/>
  <c r="CS20" i="23"/>
  <c r="CB20" i="23"/>
  <c r="BO20" i="23"/>
  <c r="BB20" i="23"/>
  <c r="AO20" i="23"/>
  <c r="AB20" i="23"/>
  <c r="GL19" i="23"/>
  <c r="GH19" i="23"/>
  <c r="FX19" i="23"/>
  <c r="FW19" i="23"/>
  <c r="FS19" i="23"/>
  <c r="FJ19" i="23"/>
  <c r="FB19" i="23"/>
  <c r="ES19" i="23"/>
  <c r="EF19" i="23"/>
  <c r="DS19" i="23"/>
  <c r="DF19" i="23"/>
  <c r="CS19" i="23"/>
  <c r="CB19" i="23"/>
  <c r="BO19" i="23"/>
  <c r="BB19" i="23"/>
  <c r="AO19" i="23"/>
  <c r="AB19" i="23"/>
  <c r="GL18" i="23"/>
  <c r="GH18" i="23"/>
  <c r="FX18" i="23"/>
  <c r="FW18" i="23"/>
  <c r="FS18" i="23"/>
  <c r="FJ18" i="23"/>
  <c r="FB18" i="23"/>
  <c r="ES18" i="23"/>
  <c r="EF18" i="23"/>
  <c r="DS18" i="23"/>
  <c r="DF18" i="23"/>
  <c r="CS18" i="23"/>
  <c r="CB18" i="23"/>
  <c r="BO18" i="23"/>
  <c r="BB18" i="23"/>
  <c r="AO18" i="23"/>
  <c r="AB18" i="23"/>
  <c r="GL17" i="23"/>
  <c r="GH17" i="23"/>
  <c r="FX17" i="23"/>
  <c r="FW17" i="23"/>
  <c r="FS17" i="23"/>
  <c r="FJ17" i="23"/>
  <c r="FB17" i="23"/>
  <c r="ES17" i="23"/>
  <c r="EF17" i="23"/>
  <c r="DS17" i="23"/>
  <c r="DF17" i="23"/>
  <c r="CS17" i="23"/>
  <c r="CB17" i="23"/>
  <c r="BO17" i="23"/>
  <c r="BB17" i="23"/>
  <c r="AO17" i="23"/>
  <c r="AB17" i="23"/>
  <c r="GL16" i="23"/>
  <c r="GH16" i="23"/>
  <c r="FX16" i="23"/>
  <c r="FW16" i="23"/>
  <c r="FS16" i="23"/>
  <c r="FJ16" i="23"/>
  <c r="FB16" i="23"/>
  <c r="ES16" i="23"/>
  <c r="EF16" i="23"/>
  <c r="DS16" i="23"/>
  <c r="DF16" i="23"/>
  <c r="CS16" i="23"/>
  <c r="CB16" i="23"/>
  <c r="BO16" i="23"/>
  <c r="BB16" i="23"/>
  <c r="AO16" i="23"/>
  <c r="AB16" i="23"/>
  <c r="GL15" i="23"/>
  <c r="GH15" i="23"/>
  <c r="FX15" i="23"/>
  <c r="FW15" i="23"/>
  <c r="FS15" i="23"/>
  <c r="FJ15" i="23"/>
  <c r="FB15" i="23"/>
  <c r="ES15" i="23"/>
  <c r="EF15" i="23"/>
  <c r="DS15" i="23"/>
  <c r="DF15" i="23"/>
  <c r="CS15" i="23"/>
  <c r="CB15" i="23"/>
  <c r="BO15" i="23"/>
  <c r="BB15" i="23"/>
  <c r="AO15" i="23"/>
  <c r="AB15" i="23"/>
  <c r="GL14" i="23"/>
  <c r="GH14" i="23"/>
  <c r="FX14" i="23"/>
  <c r="FW14" i="23"/>
  <c r="FS14" i="23"/>
  <c r="FJ14" i="23"/>
  <c r="FB14" i="23"/>
  <c r="ES14" i="23"/>
  <c r="EF14" i="23"/>
  <c r="DS14" i="23"/>
  <c r="DF14" i="23"/>
  <c r="CS14" i="23"/>
  <c r="CB14" i="23"/>
  <c r="BO14" i="23"/>
  <c r="BB14" i="23"/>
  <c r="AO14" i="23"/>
  <c r="AB14" i="23"/>
  <c r="GL13" i="23"/>
  <c r="GH13" i="23"/>
  <c r="FX13" i="23"/>
  <c r="FW13" i="23"/>
  <c r="FS13" i="23"/>
  <c r="FJ13" i="23"/>
  <c r="FB13" i="23"/>
  <c r="ES13" i="23"/>
  <c r="EF13" i="23"/>
  <c r="DS13" i="23"/>
  <c r="DF13" i="23"/>
  <c r="CS13" i="23"/>
  <c r="CB13" i="23"/>
  <c r="BO13" i="23"/>
  <c r="BB13" i="23"/>
  <c r="AO13" i="23"/>
  <c r="AB13" i="23"/>
  <c r="GL12" i="23"/>
  <c r="GH12" i="23"/>
  <c r="FX12" i="23"/>
  <c r="FW12" i="23"/>
  <c r="FS12" i="23"/>
  <c r="FJ12" i="23"/>
  <c r="FB12" i="23"/>
  <c r="ES12" i="23"/>
  <c r="EF12" i="23"/>
  <c r="DS12" i="23"/>
  <c r="DF12" i="23"/>
  <c r="CS12" i="23"/>
  <c r="CB12" i="23"/>
  <c r="BO12" i="23"/>
  <c r="BB12" i="23"/>
  <c r="AO12" i="23"/>
  <c r="AB12" i="23"/>
  <c r="GL11" i="23"/>
  <c r="GH11" i="23"/>
  <c r="FX11" i="23"/>
  <c r="FW11" i="23"/>
  <c r="FS11" i="23"/>
  <c r="FJ11" i="23"/>
  <c r="FB11" i="23"/>
  <c r="ES11" i="23"/>
  <c r="EF11" i="23"/>
  <c r="DS11" i="23"/>
  <c r="DF11" i="23"/>
  <c r="CS11" i="23"/>
  <c r="CB11" i="23"/>
  <c r="BO11" i="23"/>
  <c r="BB11" i="23"/>
  <c r="AO11" i="23"/>
  <c r="AB11" i="23"/>
  <c r="GL10" i="23"/>
  <c r="GH10" i="23"/>
  <c r="FX10" i="23"/>
  <c r="FW10" i="23"/>
  <c r="FS10" i="23"/>
  <c r="FJ10" i="23"/>
  <c r="FB10" i="23"/>
  <c r="ES10" i="23"/>
  <c r="EF10" i="23"/>
  <c r="DS10" i="23"/>
  <c r="DF10" i="23"/>
  <c r="CS10" i="23"/>
  <c r="CB10" i="23"/>
  <c r="BO10" i="23"/>
  <c r="BB10" i="23"/>
  <c r="AO10" i="23"/>
  <c r="AB10" i="23"/>
  <c r="GL9" i="23"/>
  <c r="GH9" i="23"/>
  <c r="FX9" i="23"/>
  <c r="FW9" i="23"/>
  <c r="FS9" i="23"/>
  <c r="FJ9" i="23"/>
  <c r="FB9" i="23"/>
  <c r="ES9" i="23"/>
  <c r="EF9" i="23"/>
  <c r="DS9" i="23"/>
  <c r="DF9" i="23"/>
  <c r="CS9" i="23"/>
  <c r="CB9" i="23"/>
  <c r="BO9" i="23"/>
  <c r="BB9" i="23"/>
  <c r="AO9" i="23"/>
  <c r="AB9" i="23"/>
  <c r="GG14" i="23" l="1"/>
  <c r="GI14" i="23" s="1"/>
  <c r="GJ14" i="23" s="1"/>
  <c r="GK9" i="23"/>
  <c r="GK21" i="23"/>
  <c r="ET18" i="23"/>
  <c r="GK23" i="23"/>
  <c r="CC12" i="23"/>
  <c r="GK13" i="23"/>
  <c r="GK17" i="23"/>
  <c r="GK11" i="23"/>
  <c r="GK15" i="23"/>
  <c r="ET19" i="23"/>
  <c r="ET23" i="23"/>
  <c r="ET12" i="23"/>
  <c r="GK12" i="23"/>
  <c r="CC13" i="23"/>
  <c r="GK16" i="23"/>
  <c r="CC17" i="23"/>
  <c r="CC18" i="23"/>
  <c r="GK19" i="23"/>
  <c r="ET20" i="23"/>
  <c r="GK20" i="23"/>
  <c r="CC21" i="23"/>
  <c r="ET15" i="23"/>
  <c r="CC16" i="23"/>
  <c r="CC10" i="23"/>
  <c r="CC14" i="23"/>
  <c r="CC15" i="23"/>
  <c r="ET16" i="23"/>
  <c r="ET17" i="23"/>
  <c r="ET21" i="23"/>
  <c r="CC22" i="23"/>
  <c r="ET11" i="23"/>
  <c r="CC9" i="23"/>
  <c r="ET9" i="23"/>
  <c r="ET10" i="23"/>
  <c r="GK10" i="23"/>
  <c r="CC11" i="23"/>
  <c r="ET13" i="23"/>
  <c r="ET14" i="23"/>
  <c r="GK18" i="23"/>
  <c r="CC19" i="23"/>
  <c r="CC20" i="23"/>
  <c r="ET22" i="23"/>
  <c r="GK22" i="23"/>
  <c r="CC23" i="23"/>
  <c r="GG23" i="23"/>
  <c r="GI23" i="23" s="1"/>
  <c r="GJ23" i="23" s="1"/>
  <c r="GG22" i="23"/>
  <c r="GI22" i="23" s="1"/>
  <c r="GJ22" i="23" s="1"/>
  <c r="GG19" i="23"/>
  <c r="GI19" i="23" s="1"/>
  <c r="GJ19" i="23" s="1"/>
  <c r="GG21" i="23"/>
  <c r="GI21" i="23" s="1"/>
  <c r="GJ21" i="23" s="1"/>
  <c r="GG20" i="23"/>
  <c r="GI20" i="23" s="1"/>
  <c r="GJ20" i="23" s="1"/>
  <c r="GG18" i="23"/>
  <c r="GI18" i="23" s="1"/>
  <c r="GJ18" i="23" s="1"/>
  <c r="GG17" i="23"/>
  <c r="GI17" i="23" s="1"/>
  <c r="GJ17" i="23" s="1"/>
  <c r="GG16" i="23"/>
  <c r="GI16" i="23" s="1"/>
  <c r="GJ16" i="23" s="1"/>
  <c r="GG15" i="23"/>
  <c r="GI15" i="23" s="1"/>
  <c r="GJ15" i="23" s="1"/>
  <c r="GK14" i="23"/>
  <c r="GG13" i="23"/>
  <c r="GI13" i="23" s="1"/>
  <c r="GJ13" i="23" s="1"/>
  <c r="GG12" i="23"/>
  <c r="GI12" i="23" s="1"/>
  <c r="GJ12" i="23" s="1"/>
  <c r="GG11" i="23"/>
  <c r="GI11" i="23" s="1"/>
  <c r="GJ11" i="23" s="1"/>
  <c r="GG10" i="23"/>
  <c r="GI10" i="23" s="1"/>
  <c r="GJ10" i="23" s="1"/>
  <c r="GG9" i="23"/>
  <c r="GI9" i="23" s="1"/>
  <c r="GJ9" i="23" s="1"/>
  <c r="GL8" i="23"/>
  <c r="GH8" i="23"/>
  <c r="FX8" i="23"/>
  <c r="FW8" i="23"/>
  <c r="FS8" i="23"/>
  <c r="FJ8" i="23"/>
  <c r="FB8" i="23"/>
  <c r="ES8" i="23"/>
  <c r="EF8" i="23"/>
  <c r="DS8" i="23"/>
  <c r="DF8" i="23"/>
  <c r="CS8" i="23"/>
  <c r="CB8" i="23"/>
  <c r="BO8" i="23"/>
  <c r="BB8" i="23"/>
  <c r="AO8" i="23"/>
  <c r="AB8" i="23"/>
  <c r="GL7" i="23"/>
  <c r="GH7" i="23"/>
  <c r="FX7" i="23"/>
  <c r="FW7" i="23"/>
  <c r="FS7" i="23"/>
  <c r="FJ7" i="23"/>
  <c r="FB7" i="23"/>
  <c r="ES7" i="23"/>
  <c r="EF7" i="23"/>
  <c r="DS7" i="23"/>
  <c r="DF7" i="23"/>
  <c r="CS7" i="23"/>
  <c r="CB7" i="23"/>
  <c r="BO7" i="23"/>
  <c r="BB7" i="23"/>
  <c r="AO7" i="23"/>
  <c r="AB7" i="23"/>
  <c r="GL6" i="23"/>
  <c r="GH6" i="23"/>
  <c r="FX6" i="23"/>
  <c r="FW6" i="23"/>
  <c r="FS6" i="23"/>
  <c r="FJ6" i="23"/>
  <c r="FB6" i="23"/>
  <c r="ES6" i="23"/>
  <c r="EF6" i="23"/>
  <c r="DS6" i="23"/>
  <c r="DF6" i="23"/>
  <c r="CS6" i="23"/>
  <c r="CB6" i="23"/>
  <c r="BO6" i="23"/>
  <c r="BB6" i="23"/>
  <c r="AO6" i="23"/>
  <c r="AB6" i="23"/>
  <c r="GL5" i="23"/>
  <c r="GH5" i="23"/>
  <c r="FX5" i="23"/>
  <c r="FW5" i="23"/>
  <c r="FS5" i="23"/>
  <c r="FJ5" i="23"/>
  <c r="FB5" i="23"/>
  <c r="ES5" i="23"/>
  <c r="EF5" i="23"/>
  <c r="DS5" i="23"/>
  <c r="DF5" i="23"/>
  <c r="CS5" i="23"/>
  <c r="CB5" i="23"/>
  <c r="BO5" i="23"/>
  <c r="BB5" i="23"/>
  <c r="AO5" i="23"/>
  <c r="AB5" i="23"/>
  <c r="GL4" i="23"/>
  <c r="GH4" i="23"/>
  <c r="FX4" i="23"/>
  <c r="FW4" i="23"/>
  <c r="FS4" i="23"/>
  <c r="FJ4" i="23"/>
  <c r="FB4" i="23"/>
  <c r="ES4" i="23"/>
  <c r="EF4" i="23"/>
  <c r="DS4" i="23"/>
  <c r="DF4" i="23"/>
  <c r="CS4" i="23"/>
  <c r="CB4" i="23"/>
  <c r="BO4" i="23"/>
  <c r="BB4" i="23"/>
  <c r="AO4" i="23"/>
  <c r="AB4" i="23"/>
  <c r="GK6" i="23" l="1"/>
  <c r="GK4" i="23"/>
  <c r="GK8" i="23"/>
  <c r="ET4" i="23"/>
  <c r="CC5" i="23"/>
  <c r="CC6" i="23"/>
  <c r="ET8" i="23"/>
  <c r="GG5" i="23"/>
  <c r="GI5" i="23" s="1"/>
  <c r="GJ5" i="23" s="1"/>
  <c r="CC7" i="23"/>
  <c r="ET5" i="23"/>
  <c r="CC4" i="23"/>
  <c r="ET6" i="23"/>
  <c r="ET7" i="23"/>
  <c r="GK7" i="23"/>
  <c r="CC8" i="23"/>
  <c r="GG8" i="23"/>
  <c r="GI8" i="23" s="1"/>
  <c r="GJ8" i="23" s="1"/>
  <c r="GG6" i="23"/>
  <c r="GI6" i="23" s="1"/>
  <c r="GJ6" i="23" s="1"/>
  <c r="GG7" i="23"/>
  <c r="GI7" i="23" s="1"/>
  <c r="GJ7" i="23" s="1"/>
  <c r="GK5" i="23"/>
  <c r="GG4" i="23"/>
  <c r="GI4" i="23" s="1"/>
  <c r="GJ4" i="23" s="1"/>
  <c r="V5" i="21" l="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6" i="21"/>
  <c r="V57" i="21"/>
  <c r="V58" i="21"/>
  <c r="V59" i="21"/>
  <c r="V60" i="21"/>
  <c r="V61" i="21"/>
  <c r="V62" i="21"/>
  <c r="V63" i="21"/>
  <c r="V64" i="21"/>
  <c r="V65" i="21"/>
  <c r="V66" i="21"/>
  <c r="V67" i="21"/>
  <c r="V68" i="21"/>
  <c r="V69" i="21"/>
  <c r="V70" i="21"/>
  <c r="V71" i="21"/>
  <c r="V72" i="21"/>
  <c r="V73" i="21"/>
  <c r="V74" i="21"/>
  <c r="V75" i="21"/>
  <c r="V76" i="21"/>
  <c r="V77" i="21"/>
  <c r="V78" i="21"/>
  <c r="V79" i="21"/>
  <c r="V80" i="21"/>
  <c r="V81" i="21"/>
  <c r="V82" i="21"/>
  <c r="V83" i="21"/>
  <c r="V84" i="21"/>
  <c r="V85" i="21"/>
  <c r="V86" i="21"/>
  <c r="V87" i="21"/>
  <c r="V88" i="21"/>
  <c r="V89" i="21"/>
  <c r="V90" i="21"/>
  <c r="V91" i="21"/>
  <c r="V92" i="21"/>
  <c r="V93" i="21"/>
  <c r="V94" i="21"/>
  <c r="V95" i="21"/>
  <c r="V96" i="21"/>
  <c r="V97" i="21"/>
  <c r="V98" i="21"/>
  <c r="V99" i="21"/>
  <c r="V100" i="21"/>
  <c r="V101" i="21"/>
  <c r="V102" i="21"/>
  <c r="V103" i="21"/>
  <c r="V104" i="21"/>
  <c r="V105" i="21"/>
  <c r="V106" i="21"/>
  <c r="V107" i="21"/>
  <c r="V108" i="21"/>
  <c r="V109" i="21"/>
  <c r="V110" i="21"/>
  <c r="V111" i="21"/>
  <c r="V112" i="21"/>
  <c r="V113" i="21"/>
  <c r="V114" i="21"/>
  <c r="V115" i="21"/>
  <c r="V116" i="21"/>
  <c r="V117" i="21"/>
  <c r="V118" i="21"/>
  <c r="V119" i="21"/>
  <c r="V120" i="21"/>
  <c r="V121" i="21"/>
  <c r="V122" i="21"/>
  <c r="V123" i="21"/>
  <c r="V124" i="21"/>
  <c r="V125" i="21"/>
  <c r="V126" i="21"/>
  <c r="V127" i="21"/>
  <c r="V128" i="21"/>
  <c r="V129" i="21"/>
  <c r="V130" i="21"/>
  <c r="V131" i="21"/>
  <c r="V132" i="21"/>
  <c r="V133" i="21"/>
  <c r="V134" i="21"/>
  <c r="V135" i="21"/>
  <c r="V136" i="21"/>
  <c r="V137" i="21"/>
  <c r="V138" i="21"/>
  <c r="V139" i="21"/>
  <c r="V140" i="21"/>
  <c r="V141" i="21"/>
  <c r="V142" i="21"/>
  <c r="V143" i="21"/>
  <c r="V144" i="21"/>
  <c r="V145" i="21"/>
  <c r="V146" i="21"/>
  <c r="V147" i="21"/>
  <c r="V148" i="21"/>
  <c r="V149" i="21"/>
  <c r="V150" i="21"/>
  <c r="V151" i="21"/>
  <c r="V152" i="21"/>
  <c r="V153" i="21"/>
  <c r="V154" i="21"/>
  <c r="V155" i="21"/>
  <c r="V156" i="21"/>
  <c r="V157" i="21"/>
  <c r="V158" i="21"/>
  <c r="V159" i="21"/>
  <c r="V160" i="21"/>
  <c r="V161" i="21"/>
  <c r="V162" i="21"/>
  <c r="V163" i="21"/>
  <c r="V164" i="21"/>
  <c r="V165" i="21"/>
  <c r="V166" i="21"/>
  <c r="V167" i="21"/>
  <c r="V168" i="21"/>
  <c r="V169" i="21"/>
  <c r="V170" i="21"/>
  <c r="V171" i="21"/>
  <c r="V172" i="21"/>
  <c r="V173" i="21"/>
  <c r="V174" i="21"/>
  <c r="V175" i="21"/>
  <c r="V176" i="21"/>
  <c r="V177" i="21"/>
  <c r="V178" i="21"/>
  <c r="V179" i="21"/>
  <c r="V180" i="21"/>
  <c r="V181" i="21"/>
  <c r="V182" i="21"/>
  <c r="V183" i="21"/>
  <c r="V184" i="21"/>
  <c r="V185" i="21"/>
  <c r="V186" i="21"/>
  <c r="V187" i="21"/>
  <c r="V188" i="21"/>
  <c r="V189" i="21"/>
  <c r="V190" i="21"/>
  <c r="H9" i="22" l="1"/>
  <c r="E9" i="22"/>
  <c r="V4" i="21"/>
  <c r="G115" i="22" l="1"/>
  <c r="G92" i="22" l="1"/>
  <c r="G146" i="22"/>
  <c r="G133" i="22"/>
  <c r="G79" i="22"/>
  <c r="G106" i="22"/>
  <c r="G61" i="22"/>
  <c r="G48" i="22"/>
  <c r="G30" i="22" l="1"/>
  <c r="H77" i="22" l="1"/>
  <c r="H76" i="22"/>
  <c r="I76" i="22" s="1"/>
  <c r="H74" i="22"/>
  <c r="I74" i="22" s="1"/>
  <c r="H75" i="22"/>
  <c r="I75" i="22" s="1"/>
  <c r="H78" i="22"/>
  <c r="H105" i="22"/>
  <c r="I105" i="22" s="1"/>
  <c r="H43" i="22"/>
  <c r="I43" i="22" s="1"/>
  <c r="H45" i="22"/>
  <c r="H47" i="22"/>
  <c r="H44" i="22"/>
  <c r="I44" i="22" s="1"/>
  <c r="H46" i="22"/>
  <c r="H16" i="22"/>
  <c r="H14" i="22"/>
  <c r="I14" i="22" s="1"/>
  <c r="H12" i="22"/>
  <c r="H15" i="22"/>
  <c r="I15" i="22" s="1"/>
  <c r="H13" i="22"/>
  <c r="I13" i="22" s="1"/>
  <c r="H128" i="22" l="1"/>
  <c r="I128" i="22" s="1"/>
  <c r="H129" i="22"/>
  <c r="I129" i="22" s="1"/>
  <c r="E146" i="22"/>
  <c r="H141" i="22"/>
  <c r="H142" i="22"/>
  <c r="I142" i="22" s="1"/>
  <c r="E133" i="22"/>
  <c r="H127" i="22"/>
  <c r="I127" i="22" s="1"/>
  <c r="H143" i="22"/>
  <c r="I143" i="22" s="1"/>
  <c r="H131" i="22"/>
  <c r="I131" i="22" s="1"/>
  <c r="H132" i="22"/>
  <c r="I132" i="22" s="1"/>
  <c r="H140" i="22"/>
  <c r="H130" i="22"/>
  <c r="I130" i="22" s="1"/>
  <c r="H144" i="22"/>
  <c r="I144" i="22" s="1"/>
  <c r="H145" i="22"/>
  <c r="E106" i="22"/>
  <c r="H104" i="22"/>
  <c r="I104" i="22" s="1"/>
  <c r="E115" i="22"/>
  <c r="H113" i="22"/>
  <c r="I113" i="22" s="1"/>
  <c r="H91" i="22"/>
  <c r="H88" i="22"/>
  <c r="I88" i="22" s="1"/>
  <c r="H89" i="22"/>
  <c r="I89" i="22" s="1"/>
  <c r="H73" i="22"/>
  <c r="E79" i="22"/>
  <c r="H114" i="22"/>
  <c r="I114" i="22" s="1"/>
  <c r="H86" i="22"/>
  <c r="E92" i="22"/>
  <c r="H87" i="22"/>
  <c r="I87" i="22" s="1"/>
  <c r="H90" i="22"/>
  <c r="H55" i="22"/>
  <c r="H42" i="22"/>
  <c r="H57" i="22"/>
  <c r="I57" i="22" s="1"/>
  <c r="H58" i="22"/>
  <c r="E61" i="22"/>
  <c r="H56" i="22"/>
  <c r="I56" i="22" s="1"/>
  <c r="H59" i="22"/>
  <c r="H60" i="22"/>
  <c r="E48" i="22"/>
  <c r="E17" i="22"/>
  <c r="H28" i="22"/>
  <c r="I28" i="22" s="1"/>
  <c r="H26" i="22"/>
  <c r="I26" i="22" s="1"/>
  <c r="E30" i="22"/>
  <c r="H24" i="22"/>
  <c r="H27" i="22"/>
  <c r="I27" i="22" s="1"/>
  <c r="H25" i="22"/>
  <c r="H29" i="22"/>
  <c r="H133" i="22" l="1"/>
  <c r="H146" i="22"/>
  <c r="H92" i="22"/>
  <c r="H106" i="22"/>
  <c r="H115" i="22"/>
  <c r="H79" i="22"/>
  <c r="H48" i="22"/>
  <c r="H61" i="22"/>
  <c r="H30" i="22"/>
  <c r="E179" i="19" l="1"/>
  <c r="F179" i="19"/>
  <c r="G179" i="19"/>
  <c r="H179" i="19"/>
  <c r="I179" i="19"/>
  <c r="J179" i="19"/>
  <c r="K179" i="19"/>
  <c r="L179" i="19"/>
  <c r="M179" i="19"/>
  <c r="N179" i="19"/>
  <c r="O179" i="19"/>
  <c r="P179" i="19"/>
  <c r="Q179" i="19"/>
  <c r="R179" i="19"/>
  <c r="S179" i="19"/>
  <c r="T179" i="19"/>
  <c r="U179" i="19"/>
  <c r="D179" i="19"/>
  <c r="CV37" i="1" l="1"/>
  <c r="EW37" i="1" s="1"/>
  <c r="CV118" i="1"/>
  <c r="CV130" i="1"/>
  <c r="CV16" i="1"/>
  <c r="CV25" i="1"/>
  <c r="CV26" i="1"/>
  <c r="CV56" i="1"/>
  <c r="CV23" i="1"/>
  <c r="CV120" i="1"/>
  <c r="CV24" i="1"/>
  <c r="CV29" i="1"/>
  <c r="CV22" i="1"/>
  <c r="CV132" i="1"/>
  <c r="CV129" i="1"/>
  <c r="CV15" i="1"/>
  <c r="CV19" i="1"/>
  <c r="CV20" i="1"/>
  <c r="CV14" i="1"/>
  <c r="CV122" i="1"/>
  <c r="CV121" i="1"/>
  <c r="CV18" i="1"/>
  <c r="CV133" i="1"/>
  <c r="DI24" i="1" l="1"/>
  <c r="DI120" i="1"/>
  <c r="DI23" i="1"/>
  <c r="DI56" i="1"/>
  <c r="DI26" i="1"/>
  <c r="DI25" i="1"/>
  <c r="DI16" i="1"/>
  <c r="DI130" i="1"/>
  <c r="DI118" i="1"/>
  <c r="DV133" i="1"/>
  <c r="DV18" i="1"/>
  <c r="DV121" i="1"/>
  <c r="DV122" i="1"/>
  <c r="DV14" i="1"/>
  <c r="DV20" i="1"/>
  <c r="DI132" i="1"/>
  <c r="DI22" i="1"/>
  <c r="DI29" i="1"/>
  <c r="DV19" i="1"/>
  <c r="DV15" i="1"/>
  <c r="DI133" i="1"/>
  <c r="DI18" i="1"/>
  <c r="DI121" i="1"/>
  <c r="DI122" i="1"/>
  <c r="DI14" i="1"/>
  <c r="DI20" i="1"/>
  <c r="DI19" i="1"/>
  <c r="DI15" i="1"/>
  <c r="DV132" i="1"/>
  <c r="DV22" i="1"/>
  <c r="DV29" i="1"/>
  <c r="DV24" i="1"/>
  <c r="DV120" i="1"/>
  <c r="DV23" i="1"/>
  <c r="DV56" i="1"/>
  <c r="DV26" i="1"/>
  <c r="DV25" i="1"/>
  <c r="DV16" i="1"/>
  <c r="DV130" i="1"/>
  <c r="DV118" i="1"/>
  <c r="EI133" i="1"/>
  <c r="EI18" i="1"/>
  <c r="EI121" i="1"/>
  <c r="EI122" i="1"/>
  <c r="EI14" i="1"/>
  <c r="EI20" i="1"/>
  <c r="EI19" i="1"/>
  <c r="EI15" i="1"/>
  <c r="EI129" i="1"/>
  <c r="EI132" i="1"/>
  <c r="EI22" i="1"/>
  <c r="EI29" i="1"/>
  <c r="EI24" i="1"/>
  <c r="EI120" i="1"/>
  <c r="EI23" i="1"/>
  <c r="EI56" i="1"/>
  <c r="EI26" i="1"/>
  <c r="EI25" i="1"/>
  <c r="EI16" i="1"/>
  <c r="EI130" i="1"/>
  <c r="EI118" i="1"/>
  <c r="EV133" i="1"/>
  <c r="EV18" i="1"/>
  <c r="EV121" i="1"/>
  <c r="EV122" i="1"/>
  <c r="EV14" i="1"/>
  <c r="EV20" i="1"/>
  <c r="EV19" i="1"/>
  <c r="EV15" i="1"/>
  <c r="EV129" i="1"/>
  <c r="EV132" i="1"/>
  <c r="EV22" i="1"/>
  <c r="EV29" i="1"/>
  <c r="EV24" i="1"/>
  <c r="EV120" i="1"/>
  <c r="EV23" i="1"/>
  <c r="EV56" i="1"/>
  <c r="EV26" i="1"/>
  <c r="EV25" i="1"/>
  <c r="EV16" i="1"/>
  <c r="EV130" i="1"/>
  <c r="EV118" i="1"/>
  <c r="EW24" i="1" l="1"/>
  <c r="EW20" i="1"/>
  <c r="EW18" i="1"/>
  <c r="EW25" i="1"/>
  <c r="EW19" i="1"/>
  <c r="EW118" i="1"/>
  <c r="EW23" i="1"/>
  <c r="EW22" i="1"/>
  <c r="EW122" i="1"/>
  <c r="EW130" i="1"/>
  <c r="EW26" i="1"/>
  <c r="EW120" i="1"/>
  <c r="EW132" i="1"/>
  <c r="EW121" i="1"/>
  <c r="EW16" i="1"/>
  <c r="EW56" i="1"/>
  <c r="EW29" i="1"/>
  <c r="EW15" i="1"/>
  <c r="EW14" i="1"/>
  <c r="EW133" i="1"/>
  <c r="CV106" i="1"/>
  <c r="EW106" i="1" s="1"/>
  <c r="EI71" i="1" l="1"/>
  <c r="DV103" i="1"/>
  <c r="EV103" i="1"/>
  <c r="CV103" i="1"/>
  <c r="EI70" i="1"/>
  <c r="EI66" i="1"/>
  <c r="EI102" i="1"/>
  <c r="EI69" i="1"/>
  <c r="CV80" i="1"/>
  <c r="CV63" i="1"/>
  <c r="CV21" i="1"/>
  <c r="CV12" i="1" l="1"/>
  <c r="EI21" i="1"/>
  <c r="DV102" i="1"/>
  <c r="DV69" i="1"/>
  <c r="DV71" i="1"/>
  <c r="DV70" i="1"/>
  <c r="EV66" i="1"/>
  <c r="EV102" i="1"/>
  <c r="EV69" i="1"/>
  <c r="EV71" i="1"/>
  <c r="EV70" i="1"/>
  <c r="DV63" i="1"/>
  <c r="DV80" i="1"/>
  <c r="EI63" i="1"/>
  <c r="EI80" i="1"/>
  <c r="EV63" i="1"/>
  <c r="EV80" i="1"/>
  <c r="CV66" i="1"/>
  <c r="CV102" i="1"/>
  <c r="CV69" i="1"/>
  <c r="CV71" i="1"/>
  <c r="CV70" i="1"/>
  <c r="DI21" i="1"/>
  <c r="DI12" i="1"/>
  <c r="DV21" i="1"/>
  <c r="DV12" i="1"/>
  <c r="EV21" i="1"/>
  <c r="EV12" i="1"/>
  <c r="DI63" i="1"/>
  <c r="EI12" i="1"/>
  <c r="DI102" i="1"/>
  <c r="DI69" i="1"/>
  <c r="DI71" i="1"/>
  <c r="DI70" i="1"/>
  <c r="E3" i="10"/>
  <c r="E5" i="10" s="1"/>
  <c r="EW69" i="1" l="1"/>
  <c r="EW70" i="1"/>
  <c r="EW102" i="1"/>
  <c r="EW71" i="1"/>
  <c r="EW12" i="1"/>
  <c r="EW21" i="1"/>
  <c r="EW63" i="1"/>
  <c r="E15" i="10"/>
  <c r="C66" i="12"/>
  <c r="F66" i="12"/>
  <c r="D147" i="12"/>
  <c r="E105" i="12"/>
  <c r="E66" i="12"/>
  <c r="E8" i="12"/>
  <c r="G8" i="12"/>
  <c r="F8" i="12"/>
  <c r="G105" i="12"/>
  <c r="D66" i="12"/>
  <c r="F147" i="12"/>
  <c r="F105" i="12"/>
  <c r="C105" i="12"/>
  <c r="D8" i="12"/>
  <c r="C8" i="12"/>
  <c r="G147" i="12"/>
  <c r="E10" i="10"/>
  <c r="C147" i="12"/>
  <c r="E147" i="12"/>
  <c r="G66" i="12"/>
  <c r="D105" i="12"/>
  <c r="C67" i="12" l="1"/>
  <c r="C9" i="12"/>
  <c r="E11" i="10"/>
  <c r="E16" i="10" s="1"/>
  <c r="E17" i="10" s="1"/>
  <c r="D64" i="12" l="1"/>
  <c r="E64" i="12"/>
  <c r="F64" i="12"/>
  <c r="G64" i="12"/>
  <c r="C64" i="12"/>
  <c r="DV66" i="1" l="1"/>
  <c r="DI66" i="1"/>
  <c r="EI103" i="1" l="1"/>
  <c r="EW103" i="1" s="1"/>
  <c r="DI80" i="1"/>
  <c r="EW80" i="1" s="1"/>
  <c r="EW66" i="1"/>
  <c r="G6" i="12"/>
  <c r="H145" i="12"/>
  <c r="H146" i="12" s="1"/>
  <c r="C103" i="12"/>
  <c r="C148" i="12" l="1"/>
  <c r="C106" i="12"/>
  <c r="F11" i="22" l="1"/>
  <c r="F104" i="22"/>
  <c r="F105" i="22"/>
  <c r="C6" i="12"/>
  <c r="D6" i="12"/>
  <c r="E6" i="12"/>
  <c r="F6" i="12"/>
  <c r="F77" i="22" l="1"/>
  <c r="I77" i="22"/>
  <c r="F46" i="22"/>
  <c r="I46" i="22"/>
  <c r="F42" i="22"/>
  <c r="I42" i="22"/>
  <c r="F47" i="22"/>
  <c r="I47" i="22"/>
  <c r="F16" i="22"/>
  <c r="I16" i="22"/>
  <c r="F73" i="22"/>
  <c r="I73" i="22"/>
  <c r="D106" i="22"/>
  <c r="F113" i="22"/>
  <c r="F142" i="22"/>
  <c r="F143" i="22"/>
  <c r="F144" i="22"/>
  <c r="D115" i="22"/>
  <c r="H8" i="12"/>
  <c r="H6" i="12"/>
  <c r="H7" i="12" s="1"/>
  <c r="F60" i="22" l="1"/>
  <c r="I60" i="22"/>
  <c r="F140" i="22"/>
  <c r="I140" i="22"/>
  <c r="F115" i="22"/>
  <c r="I115" i="22"/>
  <c r="F59" i="22"/>
  <c r="I59" i="22"/>
  <c r="F145" i="22"/>
  <c r="I145" i="22"/>
  <c r="F86" i="22"/>
  <c r="I86" i="22"/>
  <c r="F24" i="22"/>
  <c r="I24" i="22"/>
  <c r="F106" i="22"/>
  <c r="I106" i="22"/>
  <c r="F90" i="22"/>
  <c r="I90" i="22"/>
  <c r="F29" i="22"/>
  <c r="I29" i="22"/>
  <c r="F114" i="22"/>
  <c r="G17" i="22"/>
  <c r="H11" i="22"/>
  <c r="I11" i="22" s="1"/>
  <c r="C184" i="12"/>
  <c r="D148" i="12"/>
  <c r="E148" i="12" s="1"/>
  <c r="F148" i="12" s="1"/>
  <c r="G148" i="12" s="1"/>
  <c r="H148" i="12" s="1"/>
  <c r="D9" i="12"/>
  <c r="E9" i="12" s="1"/>
  <c r="F9" i="12" s="1"/>
  <c r="G9" i="12" s="1"/>
  <c r="D67" i="12"/>
  <c r="E67" i="12" s="1"/>
  <c r="F67" i="12" s="1"/>
  <c r="G67" i="12" s="1"/>
  <c r="H67" i="12" s="1"/>
  <c r="D106" i="12"/>
  <c r="E106" i="12" s="1"/>
  <c r="F106" i="12" s="1"/>
  <c r="G106" i="12" s="1"/>
  <c r="H106" i="12" s="1"/>
  <c r="H103" i="12"/>
  <c r="H64" i="12"/>
  <c r="D184" i="12" s="1"/>
  <c r="H17" i="22" l="1"/>
  <c r="E184" i="12"/>
  <c r="G184" i="12" s="1"/>
  <c r="H104" i="12"/>
  <c r="H65" i="12"/>
  <c r="H9" i="12"/>
  <c r="C185" i="12" l="1"/>
  <c r="I40" i="12"/>
  <c r="M32" i="14" l="1"/>
  <c r="L32" i="14"/>
  <c r="K32" i="14"/>
  <c r="J32" i="14"/>
  <c r="I32" i="14"/>
  <c r="H32" i="14"/>
  <c r="G32" i="14"/>
  <c r="F32" i="14"/>
  <c r="E32" i="14"/>
  <c r="D32" i="14"/>
  <c r="C32" i="14"/>
  <c r="B32" i="14"/>
  <c r="AR55" i="14" l="1"/>
  <c r="AS55" i="14" s="1"/>
  <c r="AT55" i="14" s="1"/>
  <c r="AU55" i="14" s="1"/>
  <c r="AV55" i="14" s="1"/>
  <c r="AW55" i="14" s="1"/>
  <c r="AX55" i="14" s="1"/>
  <c r="AY55" i="14" s="1"/>
  <c r="AZ55" i="14" s="1"/>
  <c r="BA55" i="14" s="1"/>
  <c r="BB55" i="14" s="1"/>
  <c r="BC55" i="14" s="1"/>
  <c r="AR30" i="14"/>
  <c r="AS30" i="14" s="1"/>
  <c r="AT30" i="14" s="1"/>
  <c r="AU30" i="14" s="1"/>
  <c r="AV30" i="14" s="1"/>
  <c r="AW30" i="14" s="1"/>
  <c r="AX30" i="14" s="1"/>
  <c r="AY30" i="14" s="1"/>
  <c r="AZ30" i="14" s="1"/>
  <c r="BA30" i="14" s="1"/>
  <c r="BB30" i="14" s="1"/>
  <c r="BC30" i="14" s="1"/>
  <c r="AR4" i="14"/>
  <c r="AS4" i="14" s="1"/>
  <c r="AT4" i="14" s="1"/>
  <c r="AU4" i="14" s="1"/>
  <c r="AV4" i="14" s="1"/>
  <c r="AW4" i="14" s="1"/>
  <c r="AX4" i="14" s="1"/>
  <c r="AY4" i="14" s="1"/>
  <c r="AZ4" i="14" s="1"/>
  <c r="BA4" i="14" s="1"/>
  <c r="BB4" i="14" s="1"/>
  <c r="BC4" i="14" s="1"/>
  <c r="AD155" i="14"/>
  <c r="AE155" i="14" s="1"/>
  <c r="AF155" i="14" s="1"/>
  <c r="AG155" i="14" s="1"/>
  <c r="AH155" i="14" s="1"/>
  <c r="AI155" i="14" s="1"/>
  <c r="AJ155" i="14" s="1"/>
  <c r="AK155" i="14" s="1"/>
  <c r="AL155" i="14" s="1"/>
  <c r="AM155" i="14" s="1"/>
  <c r="AN155" i="14" s="1"/>
  <c r="AO155" i="14" s="1"/>
  <c r="AD130" i="14"/>
  <c r="AE130" i="14" s="1"/>
  <c r="AF130" i="14" s="1"/>
  <c r="AG130" i="14" s="1"/>
  <c r="AH130" i="14" s="1"/>
  <c r="AI130" i="14" s="1"/>
  <c r="AJ130" i="14" s="1"/>
  <c r="AK130" i="14" s="1"/>
  <c r="AL130" i="14" s="1"/>
  <c r="AM130" i="14" s="1"/>
  <c r="AN130" i="14" s="1"/>
  <c r="AO130" i="14" s="1"/>
  <c r="AD105" i="14"/>
  <c r="AE105" i="14" s="1"/>
  <c r="AF105" i="14" s="1"/>
  <c r="AG105" i="14" s="1"/>
  <c r="AH105" i="14" s="1"/>
  <c r="AI105" i="14" s="1"/>
  <c r="AJ105" i="14" s="1"/>
  <c r="AK105" i="14" s="1"/>
  <c r="AL105" i="14" s="1"/>
  <c r="AM105" i="14" s="1"/>
  <c r="AN105" i="14" s="1"/>
  <c r="AO105" i="14" s="1"/>
  <c r="AD80" i="14"/>
  <c r="AE80" i="14" s="1"/>
  <c r="AF80" i="14" s="1"/>
  <c r="AG80" i="14" s="1"/>
  <c r="AH80" i="14" s="1"/>
  <c r="AI80" i="14" s="1"/>
  <c r="AJ80" i="14" s="1"/>
  <c r="AK80" i="14" s="1"/>
  <c r="AL80" i="14" s="1"/>
  <c r="AM80" i="14" s="1"/>
  <c r="AN80" i="14" s="1"/>
  <c r="AO80" i="14" s="1"/>
  <c r="AD55" i="14"/>
  <c r="AE55" i="14" s="1"/>
  <c r="AF55" i="14" s="1"/>
  <c r="AG55" i="14" s="1"/>
  <c r="AH55" i="14" s="1"/>
  <c r="AI55" i="14" s="1"/>
  <c r="AJ55" i="14" s="1"/>
  <c r="AK55" i="14" s="1"/>
  <c r="AL55" i="14" s="1"/>
  <c r="AM55" i="14" s="1"/>
  <c r="AN55" i="14" s="1"/>
  <c r="AO55" i="14" s="1"/>
  <c r="AD30" i="14"/>
  <c r="AE30" i="14" s="1"/>
  <c r="AF30" i="14" s="1"/>
  <c r="AG30" i="14" s="1"/>
  <c r="AH30" i="14" s="1"/>
  <c r="AI30" i="14" s="1"/>
  <c r="AJ30" i="14" s="1"/>
  <c r="AK30" i="14" s="1"/>
  <c r="AL30" i="14" s="1"/>
  <c r="AM30" i="14" s="1"/>
  <c r="AN30" i="14" s="1"/>
  <c r="AO30" i="14" s="1"/>
  <c r="AD4" i="14"/>
  <c r="AE4" i="14" s="1"/>
  <c r="AF4" i="14" s="1"/>
  <c r="AG4" i="14" s="1"/>
  <c r="AH4" i="14" s="1"/>
  <c r="AI4" i="14" s="1"/>
  <c r="AJ4" i="14" s="1"/>
  <c r="AK4" i="14" s="1"/>
  <c r="AL4" i="14" s="1"/>
  <c r="AM4" i="14" s="1"/>
  <c r="AN4" i="14" s="1"/>
  <c r="AO4" i="14" s="1"/>
  <c r="P180" i="14"/>
  <c r="Q180" i="14" s="1"/>
  <c r="R180" i="14" s="1"/>
  <c r="S180" i="14" s="1"/>
  <c r="T180" i="14" s="1"/>
  <c r="U180" i="14" s="1"/>
  <c r="V180" i="14" s="1"/>
  <c r="W180" i="14" s="1"/>
  <c r="X180" i="14" s="1"/>
  <c r="Y180" i="14" s="1"/>
  <c r="Z180" i="14" s="1"/>
  <c r="AA180" i="14" s="1"/>
  <c r="P155" i="14"/>
  <c r="Q155" i="14" s="1"/>
  <c r="R155" i="14" s="1"/>
  <c r="S155" i="14" s="1"/>
  <c r="T155" i="14" s="1"/>
  <c r="U155" i="14" s="1"/>
  <c r="V155" i="14" s="1"/>
  <c r="W155" i="14" s="1"/>
  <c r="X155" i="14" s="1"/>
  <c r="Y155" i="14" s="1"/>
  <c r="Z155" i="14" s="1"/>
  <c r="AA155" i="14" s="1"/>
  <c r="P130" i="14"/>
  <c r="Q130" i="14" s="1"/>
  <c r="R130" i="14" s="1"/>
  <c r="S130" i="14" s="1"/>
  <c r="T130" i="14" s="1"/>
  <c r="U130" i="14" s="1"/>
  <c r="V130" i="14" s="1"/>
  <c r="W130" i="14" s="1"/>
  <c r="X130" i="14" s="1"/>
  <c r="Y130" i="14" s="1"/>
  <c r="Z130" i="14" s="1"/>
  <c r="AA130" i="14" s="1"/>
  <c r="P105" i="14"/>
  <c r="Q105" i="14" s="1"/>
  <c r="R105" i="14" s="1"/>
  <c r="S105" i="14" s="1"/>
  <c r="T105" i="14" s="1"/>
  <c r="U105" i="14" s="1"/>
  <c r="V105" i="14" s="1"/>
  <c r="W105" i="14" s="1"/>
  <c r="X105" i="14" s="1"/>
  <c r="Y105" i="14" s="1"/>
  <c r="Z105" i="14" s="1"/>
  <c r="AA105" i="14" s="1"/>
  <c r="P80" i="14"/>
  <c r="Q80" i="14" s="1"/>
  <c r="R80" i="14" s="1"/>
  <c r="S80" i="14" s="1"/>
  <c r="T80" i="14" s="1"/>
  <c r="U80" i="14" s="1"/>
  <c r="V80" i="14" s="1"/>
  <c r="W80" i="14" s="1"/>
  <c r="X80" i="14" s="1"/>
  <c r="Y80" i="14" s="1"/>
  <c r="Z80" i="14" s="1"/>
  <c r="AA80" i="14" s="1"/>
  <c r="P55" i="14"/>
  <c r="Q55" i="14" s="1"/>
  <c r="R55" i="14" s="1"/>
  <c r="S55" i="14" s="1"/>
  <c r="T55" i="14" s="1"/>
  <c r="U55" i="14" s="1"/>
  <c r="V55" i="14" s="1"/>
  <c r="W55" i="14" s="1"/>
  <c r="X55" i="14" s="1"/>
  <c r="Y55" i="14" s="1"/>
  <c r="Z55" i="14" s="1"/>
  <c r="AA55" i="14" s="1"/>
  <c r="P30" i="14"/>
  <c r="Q30" i="14" s="1"/>
  <c r="R30" i="14" s="1"/>
  <c r="S30" i="14" s="1"/>
  <c r="T30" i="14" s="1"/>
  <c r="U30" i="14" s="1"/>
  <c r="V30" i="14" s="1"/>
  <c r="W30" i="14" s="1"/>
  <c r="X30" i="14" s="1"/>
  <c r="Y30" i="14" s="1"/>
  <c r="Z30" i="14" s="1"/>
  <c r="AA30" i="14" s="1"/>
  <c r="P4" i="14"/>
  <c r="Q4" i="14" s="1"/>
  <c r="R4" i="14" s="1"/>
  <c r="S4" i="14" s="1"/>
  <c r="T4" i="14" s="1"/>
  <c r="U4" i="14" s="1"/>
  <c r="V4" i="14" s="1"/>
  <c r="W4" i="14" s="1"/>
  <c r="X4" i="14" s="1"/>
  <c r="Y4" i="14" s="1"/>
  <c r="Z4" i="14" s="1"/>
  <c r="AA4" i="14" s="1"/>
  <c r="B155" i="14" l="1"/>
  <c r="C155" i="14" s="1"/>
  <c r="D155" i="14" s="1"/>
  <c r="E155" i="14" s="1"/>
  <c r="F155" i="14" s="1"/>
  <c r="G155" i="14" s="1"/>
  <c r="H155" i="14" s="1"/>
  <c r="I155" i="14" s="1"/>
  <c r="J155" i="14" s="1"/>
  <c r="K155" i="14" s="1"/>
  <c r="L155" i="14" s="1"/>
  <c r="M155" i="14" s="1"/>
  <c r="B130" i="14"/>
  <c r="C130" i="14" s="1"/>
  <c r="D130" i="14" s="1"/>
  <c r="E130" i="14" s="1"/>
  <c r="F130" i="14" s="1"/>
  <c r="G130" i="14" s="1"/>
  <c r="H130" i="14" s="1"/>
  <c r="I130" i="14" s="1"/>
  <c r="J130" i="14" s="1"/>
  <c r="K130" i="14" s="1"/>
  <c r="L130" i="14" s="1"/>
  <c r="M130" i="14" s="1"/>
  <c r="B105" i="14"/>
  <c r="C105" i="14" s="1"/>
  <c r="D105" i="14" s="1"/>
  <c r="E105" i="14" s="1"/>
  <c r="F105" i="14" s="1"/>
  <c r="G105" i="14" s="1"/>
  <c r="H105" i="14" s="1"/>
  <c r="I105" i="14" s="1"/>
  <c r="J105" i="14" s="1"/>
  <c r="K105" i="14" s="1"/>
  <c r="L105" i="14" s="1"/>
  <c r="M105" i="14" s="1"/>
  <c r="B80" i="14"/>
  <c r="C80" i="14" s="1"/>
  <c r="D80" i="14" s="1"/>
  <c r="E80" i="14" s="1"/>
  <c r="F80" i="14" s="1"/>
  <c r="G80" i="14" s="1"/>
  <c r="H80" i="14" s="1"/>
  <c r="I80" i="14" s="1"/>
  <c r="J80" i="14" s="1"/>
  <c r="K80" i="14" s="1"/>
  <c r="L80" i="14" s="1"/>
  <c r="M80" i="14" s="1"/>
  <c r="B55" i="14"/>
  <c r="C55" i="14" s="1"/>
  <c r="D55" i="14" s="1"/>
  <c r="E55" i="14" s="1"/>
  <c r="F55" i="14" s="1"/>
  <c r="G55" i="14" s="1"/>
  <c r="H55" i="14" s="1"/>
  <c r="I55" i="14" s="1"/>
  <c r="J55" i="14" s="1"/>
  <c r="K55" i="14" s="1"/>
  <c r="L55" i="14" s="1"/>
  <c r="M55" i="14" s="1"/>
  <c r="B30" i="14"/>
  <c r="C30" i="14" s="1"/>
  <c r="D30" i="14" s="1"/>
  <c r="E30" i="14" s="1"/>
  <c r="F30" i="14" s="1"/>
  <c r="G30" i="14" s="1"/>
  <c r="H30" i="14" s="1"/>
  <c r="I30" i="14" s="1"/>
  <c r="J30" i="14" s="1"/>
  <c r="K30" i="14" s="1"/>
  <c r="L30" i="14" s="1"/>
  <c r="M30" i="14" s="1"/>
  <c r="B4" i="14"/>
  <c r="C4" i="14" s="1"/>
  <c r="D4" i="14" s="1"/>
  <c r="E4" i="14" s="1"/>
  <c r="F4" i="14" l="1"/>
  <c r="G4" i="14" s="1"/>
  <c r="H66" i="12" l="1"/>
  <c r="D185" i="12" s="1"/>
  <c r="H105" i="12"/>
  <c r="E185" i="12" s="1"/>
  <c r="H147" i="12"/>
  <c r="F185" i="12" s="1"/>
  <c r="G185" i="12" l="1"/>
  <c r="B5" i="14" l="1"/>
  <c r="C5" i="14" l="1"/>
  <c r="D5" i="14" s="1"/>
  <c r="E5" i="14" s="1"/>
  <c r="F5" i="14" s="1"/>
  <c r="G5" i="14" s="1"/>
  <c r="BA29" i="14" l="1"/>
  <c r="AW29" i="14"/>
  <c r="AS29" i="14"/>
  <c r="AY29" i="14"/>
  <c r="AX29" i="14"/>
  <c r="AZ29" i="14"/>
  <c r="AV29" i="14"/>
  <c r="AR29" i="14"/>
  <c r="BC29" i="14"/>
  <c r="AU29" i="14"/>
  <c r="BB29" i="14"/>
  <c r="AT29" i="14"/>
  <c r="BA54" i="14"/>
  <c r="AW54" i="14"/>
  <c r="AS54" i="14"/>
  <c r="BC54" i="14"/>
  <c r="AU54" i="14"/>
  <c r="BB54" i="14"/>
  <c r="AT54" i="14"/>
  <c r="AZ54" i="14"/>
  <c r="AV54" i="14"/>
  <c r="AR54" i="14"/>
  <c r="AY54" i="14"/>
  <c r="AX54" i="14"/>
  <c r="BC3" i="14"/>
  <c r="AY3" i="14"/>
  <c r="AU3" i="14"/>
  <c r="AR3" i="14"/>
  <c r="BB3" i="14"/>
  <c r="AX3" i="14"/>
  <c r="AT3" i="14"/>
  <c r="AV3" i="14"/>
  <c r="BA3" i="14"/>
  <c r="AW3" i="14"/>
  <c r="AS3" i="14"/>
  <c r="AZ3" i="14"/>
  <c r="AO154" i="14"/>
  <c r="AK154" i="14"/>
  <c r="AG154" i="14"/>
  <c r="AD154" i="14"/>
  <c r="AN154" i="14"/>
  <c r="AJ154" i="14"/>
  <c r="AF154" i="14"/>
  <c r="AH154" i="14"/>
  <c r="AM154" i="14"/>
  <c r="AI154" i="14"/>
  <c r="AE154" i="14"/>
  <c r="AL154" i="14"/>
  <c r="AO129" i="14"/>
  <c r="AK129" i="14"/>
  <c r="AG129" i="14"/>
  <c r="AN129" i="14"/>
  <c r="AJ129" i="14"/>
  <c r="AF129" i="14"/>
  <c r="AM129" i="14"/>
  <c r="AI129" i="14"/>
  <c r="AE129" i="14"/>
  <c r="AL129" i="14"/>
  <c r="AH129" i="14"/>
  <c r="AD129" i="14"/>
  <c r="AO104" i="14"/>
  <c r="AK104" i="14"/>
  <c r="AG104" i="14"/>
  <c r="AE104" i="14"/>
  <c r="AN104" i="14"/>
  <c r="AJ104" i="14"/>
  <c r="AF104" i="14"/>
  <c r="AM104" i="14"/>
  <c r="AL104" i="14"/>
  <c r="AH104" i="14"/>
  <c r="AD104" i="14"/>
  <c r="AI104" i="14"/>
  <c r="AO54" i="14"/>
  <c r="AK54" i="14"/>
  <c r="AG54" i="14"/>
  <c r="AM54" i="14"/>
  <c r="AE54" i="14"/>
  <c r="AN54" i="14"/>
  <c r="AJ54" i="14"/>
  <c r="AF54" i="14"/>
  <c r="AL54" i="14"/>
  <c r="AH54" i="14"/>
  <c r="AD54" i="14"/>
  <c r="AI54" i="14"/>
  <c r="AO29" i="14"/>
  <c r="AK29" i="14"/>
  <c r="AG29" i="14"/>
  <c r="AE29" i="14"/>
  <c r="AN29" i="14"/>
  <c r="AJ29" i="14"/>
  <c r="AF29" i="14"/>
  <c r="AM29" i="14"/>
  <c r="AL29" i="14"/>
  <c r="AH29" i="14"/>
  <c r="AD29" i="14"/>
  <c r="AI29" i="14"/>
  <c r="AA179" i="14"/>
  <c r="W179" i="14"/>
  <c r="S179" i="14"/>
  <c r="U179" i="14"/>
  <c r="Q179" i="14"/>
  <c r="T179" i="14"/>
  <c r="Z179" i="14"/>
  <c r="V179" i="14"/>
  <c r="R179" i="14"/>
  <c r="Y179" i="14"/>
  <c r="X179" i="14"/>
  <c r="P179" i="14"/>
  <c r="AA129" i="14"/>
  <c r="Z129" i="14"/>
  <c r="V129" i="14"/>
  <c r="R129" i="14"/>
  <c r="Y129" i="14"/>
  <c r="U129" i="14"/>
  <c r="Q129" i="14"/>
  <c r="X129" i="14"/>
  <c r="T129" i="14"/>
  <c r="P129" i="14"/>
  <c r="W129" i="14"/>
  <c r="S129" i="14"/>
  <c r="AA104" i="14"/>
  <c r="W104" i="14"/>
  <c r="S104" i="14"/>
  <c r="Z104" i="14"/>
  <c r="V104" i="14"/>
  <c r="R104" i="14"/>
  <c r="Y104" i="14"/>
  <c r="U104" i="14"/>
  <c r="Q104" i="14"/>
  <c r="X104" i="14"/>
  <c r="T104" i="14"/>
  <c r="P104" i="14"/>
  <c r="AA79" i="14"/>
  <c r="W79" i="14"/>
  <c r="S79" i="14"/>
  <c r="P79" i="14"/>
  <c r="Z79" i="14"/>
  <c r="V79" i="14"/>
  <c r="R79" i="14"/>
  <c r="T79" i="14"/>
  <c r="Y79" i="14"/>
  <c r="U79" i="14"/>
  <c r="Q79" i="14"/>
  <c r="X79" i="14"/>
  <c r="AA54" i="14"/>
  <c r="W54" i="14"/>
  <c r="S54" i="14"/>
  <c r="Y54" i="14"/>
  <c r="Q54" i="14"/>
  <c r="T54" i="14"/>
  <c r="Z54" i="14"/>
  <c r="V54" i="14"/>
  <c r="R54" i="14"/>
  <c r="U54" i="14"/>
  <c r="X54" i="14"/>
  <c r="P54" i="14"/>
  <c r="M129" i="14"/>
  <c r="L129" i="14"/>
  <c r="H129" i="14"/>
  <c r="D129" i="14"/>
  <c r="E129" i="14"/>
  <c r="K129" i="14"/>
  <c r="G129" i="14"/>
  <c r="C129" i="14"/>
  <c r="J129" i="14"/>
  <c r="F129" i="14"/>
  <c r="B129" i="14"/>
  <c r="I129" i="14"/>
  <c r="M104" i="14"/>
  <c r="I104" i="14"/>
  <c r="E104" i="14"/>
  <c r="B104" i="14"/>
  <c r="L104" i="14"/>
  <c r="H104" i="14"/>
  <c r="D104" i="14"/>
  <c r="J104" i="14"/>
  <c r="K104" i="14"/>
  <c r="G104" i="14"/>
  <c r="C104" i="14"/>
  <c r="F104" i="14"/>
  <c r="M54" i="14"/>
  <c r="I54" i="14"/>
  <c r="E54" i="14"/>
  <c r="G54" i="14"/>
  <c r="J54" i="14"/>
  <c r="B54" i="14"/>
  <c r="L54" i="14"/>
  <c r="H54" i="14"/>
  <c r="D54" i="14"/>
  <c r="K54" i="14"/>
  <c r="C54" i="14"/>
  <c r="F54" i="14"/>
  <c r="M29" i="14"/>
  <c r="I29" i="14"/>
  <c r="E29" i="14"/>
  <c r="G29" i="14"/>
  <c r="C29" i="14"/>
  <c r="F29" i="14"/>
  <c r="L29" i="14"/>
  <c r="H29" i="14"/>
  <c r="D29" i="14"/>
  <c r="K29" i="14"/>
  <c r="J29" i="14"/>
  <c r="B29" i="14"/>
  <c r="D31" i="11"/>
  <c r="D70" i="11"/>
  <c r="D71" i="11"/>
  <c r="D69" i="11"/>
  <c r="D59" i="11"/>
  <c r="D58" i="11"/>
  <c r="D72" i="11"/>
  <c r="D61" i="11"/>
  <c r="D51" i="11"/>
  <c r="D40" i="11"/>
  <c r="D41" i="11"/>
  <c r="D6" i="11"/>
  <c r="D32" i="11"/>
  <c r="D30" i="11"/>
  <c r="D48" i="11"/>
  <c r="D50" i="11"/>
  <c r="D21" i="11"/>
  <c r="D19" i="11"/>
  <c r="D65" i="11"/>
  <c r="D49" i="11"/>
  <c r="D20" i="11"/>
  <c r="D33" i="11"/>
  <c r="D63" i="11"/>
  <c r="D62" i="11"/>
  <c r="D22" i="11"/>
  <c r="D18" i="11"/>
  <c r="D17" i="11"/>
  <c r="D7" i="11"/>
  <c r="D23" i="11" l="1"/>
  <c r="D64" i="11"/>
  <c r="D67" i="11"/>
  <c r="D60" i="11"/>
  <c r="D66" i="11"/>
  <c r="D68" i="11"/>
  <c r="D52" i="11"/>
  <c r="D42" i="11"/>
  <c r="D34" i="11"/>
  <c r="D5" i="11"/>
  <c r="D8" i="11" s="1"/>
  <c r="D73" i="11" l="1"/>
  <c r="F55" i="22" l="1"/>
  <c r="I55" i="22"/>
  <c r="H5" i="14"/>
  <c r="DV129" i="1" l="1"/>
  <c r="DI129" i="1"/>
  <c r="I5" i="14"/>
  <c r="J5" i="14" s="1"/>
  <c r="K5" i="14" s="1"/>
  <c r="L5" i="14" s="1"/>
  <c r="M5" i="14" s="1"/>
  <c r="E79" i="14"/>
  <c r="F79" i="14"/>
  <c r="J79" i="14"/>
  <c r="L79" i="14"/>
  <c r="K79" i="14"/>
  <c r="B79" i="14"/>
  <c r="M79" i="14"/>
  <c r="H79" i="14"/>
  <c r="G79" i="14"/>
  <c r="I79" i="14"/>
  <c r="D79" i="14"/>
  <c r="C79" i="14"/>
  <c r="AO79" i="14"/>
  <c r="AN79" i="14"/>
  <c r="AL79" i="14"/>
  <c r="AK79" i="14"/>
  <c r="AJ79" i="14"/>
  <c r="AH79" i="14"/>
  <c r="AG79" i="14"/>
  <c r="AF79" i="14"/>
  <c r="AD79" i="14"/>
  <c r="AE79" i="14"/>
  <c r="AM79" i="14"/>
  <c r="AI79" i="14"/>
  <c r="F12" i="22" l="1"/>
  <c r="I12" i="22"/>
  <c r="EW129" i="1"/>
  <c r="I141" i="22"/>
  <c r="D17" i="22"/>
  <c r="E12" i="10"/>
  <c r="F17" i="22" l="1"/>
  <c r="I17" i="22"/>
  <c r="F25" i="22"/>
  <c r="I25" i="22"/>
  <c r="F141" i="22"/>
  <c r="D30" i="22"/>
  <c r="F30" i="22" s="1"/>
  <c r="Q29" i="14" l="1"/>
  <c r="U29" i="14"/>
  <c r="Y29" i="14"/>
  <c r="R29" i="14"/>
  <c r="V29" i="14"/>
  <c r="Z29" i="14"/>
  <c r="S29" i="14"/>
  <c r="W29" i="14"/>
  <c r="AA29" i="14"/>
  <c r="T29" i="14"/>
  <c r="X29" i="14"/>
  <c r="P29" i="14"/>
  <c r="EV98" i="1"/>
  <c r="EV316" i="1" s="1"/>
  <c r="EI98" i="1"/>
  <c r="EI316" i="1" s="1"/>
  <c r="DV98" i="1"/>
  <c r="DV316" i="1" s="1"/>
  <c r="DI98" i="1"/>
  <c r="DI316" i="1" s="1"/>
  <c r="CV98" i="1"/>
  <c r="CV316" i="1" s="1"/>
  <c r="EW98" i="1" l="1"/>
  <c r="EW316" i="1" s="1"/>
  <c r="I154" i="14" l="1"/>
  <c r="H154" i="14"/>
  <c r="G154" i="14"/>
  <c r="F154" i="14"/>
  <c r="E154" i="14"/>
  <c r="D154" i="14"/>
  <c r="C154" i="14"/>
  <c r="J154" i="14"/>
  <c r="M154" i="14"/>
  <c r="L154" i="14"/>
  <c r="K154" i="14"/>
  <c r="B154" i="14"/>
  <c r="AO3" i="14" l="1"/>
  <c r="AF3" i="14"/>
  <c r="AD3" i="14"/>
  <c r="AI3" i="14"/>
  <c r="AE3" i="14"/>
  <c r="AN3" i="14"/>
  <c r="AM3" i="14"/>
  <c r="AG3" i="14"/>
  <c r="AH3" i="14"/>
  <c r="AK3" i="14"/>
  <c r="AJ3" i="14"/>
  <c r="AL3" i="14"/>
  <c r="F78" i="22" l="1"/>
  <c r="I78" i="22"/>
  <c r="D79" i="22"/>
  <c r="F79" i="22" l="1"/>
  <c r="I79" i="22"/>
  <c r="F91" i="22"/>
  <c r="I91" i="22"/>
  <c r="D92" i="22"/>
  <c r="F92" i="22" l="1"/>
  <c r="I92" i="22"/>
  <c r="CH193" i="1" l="1"/>
  <c r="S154" i="14"/>
  <c r="X154" i="14"/>
  <c r="R3" i="14"/>
  <c r="W154" i="14"/>
  <c r="T154" i="14"/>
  <c r="AA3" i="14"/>
  <c r="U154" i="14"/>
  <c r="Q154" i="14"/>
  <c r="T3" i="14"/>
  <c r="V154" i="14"/>
  <c r="X3" i="14"/>
  <c r="Q3" i="14"/>
  <c r="V3" i="14"/>
  <c r="W3" i="14"/>
  <c r="Z154" i="14"/>
  <c r="R154" i="14"/>
  <c r="Z3" i="14"/>
  <c r="Y3" i="14"/>
  <c r="S3" i="14"/>
  <c r="U3" i="14"/>
  <c r="Y154" i="14"/>
  <c r="P154" i="14"/>
  <c r="P3" i="14"/>
  <c r="AA154" i="14"/>
  <c r="F45" i="22" l="1"/>
  <c r="I45" i="22"/>
  <c r="D133" i="22"/>
  <c r="D48" i="22"/>
  <c r="F133" i="22" l="1"/>
  <c r="I133" i="22"/>
  <c r="F48" i="22"/>
  <c r="I48" i="22"/>
  <c r="F58" i="22"/>
  <c r="I58" i="22"/>
  <c r="D61" i="22"/>
  <c r="D146" i="22"/>
  <c r="F61" i="22" l="1"/>
  <c r="I61" i="22"/>
  <c r="F146" i="22"/>
  <c r="I146" i="22"/>
</calcChain>
</file>

<file path=xl/comments1.xml><?xml version="1.0" encoding="utf-8"?>
<comments xmlns="http://schemas.openxmlformats.org/spreadsheetml/2006/main">
  <authors>
    <author>C056191</author>
    <author>c055300</author>
    <author>e217761</author>
    <author>c056525</author>
    <author>Jorge</author>
  </authors>
  <commentList>
    <comment ref="A1" authorId="0" shapeId="0">
      <text>
        <r>
          <rPr>
            <sz val="9"/>
            <color indexed="81"/>
            <rFont val="Segoe UI"/>
            <family val="2"/>
          </rPr>
          <t xml:space="preserve">Negócio ao qual o projeto proposto deverá ser vinculado
</t>
        </r>
      </text>
    </comment>
    <comment ref="B1" authorId="0" shapeId="0">
      <text>
        <r>
          <rPr>
            <sz val="9"/>
            <color indexed="81"/>
            <rFont val="Segoe UI"/>
            <family val="2"/>
          </rPr>
          <t>Agrupamento ao qual pertence o projeto proposto.</t>
        </r>
      </text>
    </comment>
    <comment ref="C1" authorId="0" shapeId="0">
      <text>
        <r>
          <rPr>
            <sz val="9"/>
            <color indexed="81"/>
            <rFont val="Segoe UI"/>
            <family val="2"/>
          </rPr>
          <t xml:space="preserve">Orgão responsável pela execução do projeto.
</t>
        </r>
      </text>
    </comment>
    <comment ref="D1" authorId="0" shapeId="0">
      <text>
        <r>
          <rPr>
            <sz val="9"/>
            <color indexed="81"/>
            <rFont val="Segoe UI"/>
            <family val="2"/>
          </rPr>
          <t xml:space="preserve">Empregado que responde pelas informações e resultados do projeto.
</t>
        </r>
      </text>
    </comment>
    <comment ref="F1" authorId="0" shapeId="0">
      <text>
        <r>
          <rPr>
            <sz val="9"/>
            <color indexed="81"/>
            <rFont val="Segoe UI"/>
            <family val="2"/>
          </rPr>
          <t xml:space="preserve">Empregado que responde pelas informações e resultados do projeto.
</t>
        </r>
      </text>
    </comment>
    <comment ref="G1" authorId="0" shapeId="0">
      <text>
        <r>
          <rPr>
            <sz val="9"/>
            <color indexed="81"/>
            <rFont val="Segoe UI"/>
            <family val="2"/>
          </rPr>
          <t xml:space="preserve">Diretoria ao qual o órgão responsável está subordinado.
</t>
        </r>
      </text>
    </comment>
    <comment ref="J1" authorId="0" shapeId="0">
      <text>
        <r>
          <rPr>
            <sz val="9"/>
            <color indexed="81"/>
            <rFont val="Segoe UI"/>
            <family val="2"/>
          </rPr>
          <t xml:space="preserve">O título do Projeto deverá indicar, de maneira sintética, o conteúdo do projeto (fornecer uma ideia inicial).
</t>
        </r>
      </text>
    </comment>
    <comment ref="K1" authorId="0" shapeId="0">
      <text>
        <r>
          <rPr>
            <sz val="9"/>
            <color indexed="81"/>
            <rFont val="Segoe UI"/>
            <family val="2"/>
          </rPr>
          <t xml:space="preserve">Apresenta a finalidade principal do projeto, com clareza e objetividade. 
</t>
        </r>
      </text>
    </comment>
    <comment ref="L1" authorId="0" shapeId="0">
      <text>
        <r>
          <rPr>
            <sz val="9"/>
            <color indexed="81"/>
            <rFont val="Segoe UI"/>
            <family val="2"/>
          </rPr>
          <t>Relacionar os riscos que a não execução do projeto implica.
(impacto nos Negócios, Legais, Regulatórios).</t>
        </r>
      </text>
    </comment>
    <comment ref="CI1" authorId="0" shapeId="0">
      <text>
        <r>
          <rPr>
            <sz val="9"/>
            <color indexed="81"/>
            <rFont val="Segoe UI"/>
            <family val="2"/>
          </rPr>
          <t>Métrica física para acompanhamento da execução do projeto.
Ex: Nº Equipamentos, Nº Mobiliário, m2 de obra civil</t>
        </r>
      </text>
    </comment>
    <comment ref="J4" authorId="1" shapeId="0">
      <text>
        <r>
          <rPr>
            <b/>
            <sz val="9"/>
            <color indexed="81"/>
            <rFont val="Segoe UI"/>
            <family val="2"/>
          </rPr>
          <t>31/08/2018 - AD00118 cedeu R$ 10 mil em 2018 para o EA00118.</t>
        </r>
      </text>
    </comment>
    <comment ref="J6" authorId="1" shapeId="0">
      <text>
        <r>
          <rPr>
            <b/>
            <sz val="9"/>
            <color indexed="81"/>
            <rFont val="Segoe UI"/>
            <family val="2"/>
          </rPr>
          <t xml:space="preserve">Recusros cedido pelo projeto MD00118 para cobrir a realização de R$12,70464 mil
</t>
        </r>
      </text>
    </comment>
    <comment ref="J8" authorId="1" shapeId="0">
      <text>
        <r>
          <rPr>
            <b/>
            <sz val="9"/>
            <color indexed="81"/>
            <rFont val="Segoe UI"/>
            <family val="2"/>
          </rPr>
          <t xml:space="preserve">12/09/18:  Projeto Sotware para GR (antigo saldo da DDC - meio ambiente) cedeu R$ 45 mil paara cobrir deficit do projeto EA00118 (do Afonso Vanderlei).
</t>
        </r>
      </text>
    </comment>
    <comment ref="J11" authorId="1" shapeId="0">
      <text>
        <r>
          <rPr>
            <sz val="9"/>
            <color indexed="81"/>
            <rFont val="Segoe UI"/>
            <family val="2"/>
          </rPr>
          <t xml:space="preserve">26/06/2018: Recurso (R$ 125 mil) cedido dos projetos de meio ambiente da CD que foram para o PDD.
</t>
        </r>
      </text>
    </comment>
    <comment ref="J30" authorId="1" shapeId="0">
      <text>
        <r>
          <rPr>
            <b/>
            <sz val="9"/>
            <color indexed="81"/>
            <rFont val="Segoe UI"/>
            <family val="2"/>
          </rPr>
          <t>11/09/18:
Recurso deR$ 127 em 2018 veio de projeto da SC que era despesa. Para o REP foram necessários R$ 40 mil. O restante (R$ 87 mil) foi transferido para o Saldo de NA de edificações da G em 2019.</t>
        </r>
      </text>
    </comment>
    <comment ref="J31" authorId="1" shapeId="0">
      <text>
        <r>
          <rPr>
            <b/>
            <sz val="9"/>
            <color indexed="81"/>
            <rFont val="Segoe UI"/>
            <family val="2"/>
          </rPr>
          <t xml:space="preserve">03/09/18 - R$ 4 mil veio do projeto PO00117.
</t>
        </r>
        <r>
          <rPr>
            <sz val="9"/>
            <color indexed="81"/>
            <rFont val="Segoe UI"/>
            <family val="2"/>
          </rPr>
          <t xml:space="preserve">
</t>
        </r>
      </text>
    </comment>
    <comment ref="J36" authorId="1" shapeId="0">
      <text>
        <r>
          <rPr>
            <b/>
            <sz val="9"/>
            <color indexed="81"/>
            <rFont val="Segoe UI"/>
            <family val="2"/>
          </rPr>
          <t xml:space="preserve">Projeto MD00118 cedeu R$ 12,704649 mil para cobrir o projeto CD00315.
10.07.2018: O projeto RH00118  cedeu R$ 24 mil em 2019 para devolver para o Projeto MD00118 que emprestou esse valor em 2018 para o projeto RH00218.
</t>
        </r>
      </text>
    </comment>
    <comment ref="J37" authorId="1" shapeId="0">
      <text>
        <r>
          <rPr>
            <b/>
            <sz val="9"/>
            <color indexed="81"/>
            <rFont val="Segoe UI"/>
            <family val="2"/>
          </rPr>
          <t xml:space="preserve">Projeto MD00118 cedeu R$ 12,704649 mil para cobrir o projeto CD00315.
10.07.2018: O projeto RH00118  cedeu R$ 24 mil em 2019 para devolver para o Projeto MD00118 que emprestou esse valor em 2018 para o projeto RH00218.
Projeto MD00118 cedeu 155 mil para o EM00118.
Transferido 240 mil de 2018 para 2019.
</t>
        </r>
      </text>
    </comment>
    <comment ref="J55" authorId="1" shapeId="0">
      <text>
        <r>
          <rPr>
            <b/>
            <sz val="9"/>
            <color indexed="81"/>
            <rFont val="Segoe UI"/>
            <family val="2"/>
          </rPr>
          <t xml:space="preserve">27/06/2018: Transferido 36 mil para Microinformática para aquisição de Notebooks.
</t>
        </r>
      </text>
    </comment>
    <comment ref="J63" authorId="1" shapeId="0">
      <text>
        <r>
          <rPr>
            <b/>
            <sz val="9"/>
            <color indexed="81"/>
            <rFont val="Segoe UI"/>
            <family val="2"/>
          </rPr>
          <t xml:space="preserve">08/05/2018
Retirado R$3,48 mil para cobrir realização do projeto MT00516 em 2018.
</t>
        </r>
      </text>
    </comment>
    <comment ref="J76" authorId="1" shapeId="0">
      <text>
        <r>
          <rPr>
            <b/>
            <sz val="9"/>
            <color indexed="81"/>
            <rFont val="Segoe UI"/>
            <family val="2"/>
          </rPr>
          <t xml:space="preserve">03/09 - valor original R$ 78 mil. Valor liberado SAP R$ 74 mil. Transferido R$ 4 mil para saldo de NA.
</t>
        </r>
      </text>
    </comment>
    <comment ref="J80" authorId="1" shapeId="0">
      <text>
        <r>
          <rPr>
            <b/>
            <sz val="9"/>
            <color indexed="81"/>
            <rFont val="Segoe UI"/>
            <family val="2"/>
          </rPr>
          <t xml:space="preserve">26/06/2018; Cedido R$200 mil desse projeto para o Macroprojeto sistemas da T.
 </t>
        </r>
        <r>
          <rPr>
            <sz val="9"/>
            <color indexed="81"/>
            <rFont val="Segoe UI"/>
            <family val="2"/>
          </rPr>
          <t xml:space="preserve">
</t>
        </r>
      </text>
    </comment>
    <comment ref="J81" authorId="1" shapeId="0">
      <text>
        <r>
          <rPr>
            <b/>
            <sz val="9"/>
            <color indexed="81"/>
            <rFont val="Segoe UI"/>
            <family val="2"/>
          </rPr>
          <t>11/09/18:
Recurso deR$ 127 em 2018 veio de projeto da SC que era despesa. Para o REP foram necessários R$ 40 mil. O restante (R$ 87 mil) foi transferido para o Saldo de NA de edificações da G em 2019.</t>
        </r>
      </text>
    </comment>
    <comment ref="J82" authorId="1" shapeId="0">
      <text>
        <r>
          <rPr>
            <b/>
            <sz val="9"/>
            <color indexed="81"/>
            <rFont val="Segoe UI"/>
            <family val="2"/>
          </rPr>
          <t xml:space="preserve">11/09/18: Projeto não pertencia à carteira de investimento. O recurso dele veio de projeto da SC que foi classificado como despesa.
Inicilmente o valor era de 16 mil e depois foi adicionado mais 160 mil.
</t>
        </r>
      </text>
    </comment>
    <comment ref="J85" authorId="1" shapeId="0">
      <text>
        <r>
          <rPr>
            <b/>
            <sz val="9"/>
            <color indexed="81"/>
            <rFont val="Segoe UI"/>
            <family val="2"/>
          </rPr>
          <t>10.07.2018: O projeto RH00118  cedeu R$ 24 mil em 2019 para devolver para o Projeto MD00118 que emprestou esse valor em 2018 para o projeto RH00218.</t>
        </r>
      </text>
    </comment>
    <comment ref="J86" authorId="1" shapeId="0">
      <text>
        <r>
          <rPr>
            <b/>
            <sz val="9"/>
            <color indexed="81"/>
            <rFont val="Segoe UI"/>
            <family val="2"/>
          </rPr>
          <t>10.07.2018: O projeto RH00118  cedeu R$ 24 mil em 2019 para devolver para o Projeto MD00118 que emprestou esse valor em 2018 para o projeto RH00218.</t>
        </r>
      </text>
    </comment>
    <comment ref="J90" authorId="1" shapeId="0">
      <text>
        <r>
          <rPr>
            <b/>
            <sz val="9"/>
            <color indexed="81"/>
            <rFont val="Segoe UI"/>
            <family val="2"/>
          </rPr>
          <t>10.07.2018: O projeto RH00118  cedeu R$ 24 mil em 2019 para devolver para o Projeto MD00118 que emprestou esse valor em 2018 para o projeto RH00218.</t>
        </r>
      </text>
    </comment>
    <comment ref="J93" authorId="1" shapeId="0">
      <text>
        <r>
          <rPr>
            <b/>
            <sz val="9"/>
            <color indexed="81"/>
            <rFont val="Segoe UI"/>
            <family val="2"/>
          </rPr>
          <t>Aquisição de 41 Equipamentos de Ar condicionado e 3 bebedouros</t>
        </r>
      </text>
    </comment>
    <comment ref="J94" authorId="1" shapeId="0">
      <text>
        <r>
          <rPr>
            <sz val="9"/>
            <color indexed="81"/>
            <rFont val="Segoe UI"/>
            <family val="2"/>
          </rPr>
          <t>Aquisição de 41 Equipamentos de Ar condicionado e 3 bebedouros.</t>
        </r>
        <r>
          <rPr>
            <b/>
            <sz val="9"/>
            <color indexed="81"/>
            <rFont val="Segoe UI"/>
            <family val="2"/>
          </rPr>
          <t xml:space="preserve">
26/06/2018 </t>
        </r>
        <r>
          <rPr>
            <sz val="9"/>
            <color indexed="81"/>
            <rFont val="Segoe UI"/>
            <family val="2"/>
          </rPr>
          <t>- Laudo do projeto 132 mil.
14/09/18: Projeto cedeu R$ 4.620,00 para o projeto SC01018 _ Aquisição de terminal de video conferencia.</t>
        </r>
      </text>
    </comment>
    <comment ref="J96" authorId="1" shapeId="0">
      <text>
        <r>
          <rPr>
            <b/>
            <sz val="9"/>
            <color indexed="81"/>
            <rFont val="Segoe UI"/>
            <family val="2"/>
          </rPr>
          <t xml:space="preserve">Aquisição de mobiliário para EEA – R$ 131 mil – desembolso 50% 2019 e 50% 2020 – Possibilita redução aproximadamente 50 m²
Aquisição de mobiliário para reposição – R$ 200 mil – desembolso 25% em 2019 – 2020 – 2021- 2022
</t>
        </r>
      </text>
    </comment>
    <comment ref="J98" authorId="1" shapeId="0">
      <text>
        <r>
          <rPr>
            <b/>
            <sz val="9"/>
            <color indexed="81"/>
            <rFont val="Segoe UI"/>
            <family val="2"/>
          </rPr>
          <t>14/09/18: projeto recebeu R$ 4.620,00 em 2018 do SC00318 para complementar requisição de compra.</t>
        </r>
      </text>
    </comment>
    <comment ref="J103" authorId="1" shapeId="0">
      <text>
        <r>
          <rPr>
            <b/>
            <sz val="9"/>
            <color indexed="81"/>
            <rFont val="Segoe UI"/>
            <family val="2"/>
          </rPr>
          <t>01/10/2018 - Projeto foi transferido para Distribuição devido à falta de recurso na Transmissão em 2019.</t>
        </r>
      </text>
    </comment>
    <comment ref="J106"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J107"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J112"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conzinha e passado para esse projeto (SC00418).
</t>
        </r>
      </text>
    </comment>
    <comment ref="J113"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cozinha e passado para esse projeto (SC00418).
</t>
        </r>
      </text>
    </comment>
    <comment ref="J117" authorId="1" shapeId="0">
      <text>
        <r>
          <rPr>
            <b/>
            <sz val="9"/>
            <color indexed="81"/>
            <rFont val="Segoe UI"/>
            <family val="2"/>
          </rPr>
          <t xml:space="preserve">08/06/18: 08/06/18: Esse projeto recebeu R$ 45 mil em 2018 do projeto Controle de Acesso do Interior.
</t>
        </r>
      </text>
    </comment>
    <comment ref="J121" authorId="1" shapeId="0">
      <text>
        <r>
          <rPr>
            <b/>
            <sz val="9"/>
            <color indexed="81"/>
            <rFont val="Segoe UI"/>
            <family val="2"/>
          </rPr>
          <t xml:space="preserve">16/11/2017: </t>
        </r>
        <r>
          <rPr>
            <sz val="9"/>
            <color indexed="81"/>
            <rFont val="Segoe UI"/>
            <family val="2"/>
          </rPr>
          <t xml:space="preserve">antecipado desembolso de R$220 mil previsto para 2019 para 2018 em função de urgência do projeto à pedido dos diretores da DGE e DDC (Lins e Ronaldo).
</t>
        </r>
        <r>
          <rPr>
            <b/>
            <sz val="9"/>
            <color indexed="81"/>
            <rFont val="Segoe UI"/>
            <family val="2"/>
          </rPr>
          <t xml:space="preserve">25/06/2018 - </t>
        </r>
        <r>
          <rPr>
            <sz val="9"/>
            <color indexed="81"/>
            <rFont val="Segoe UI"/>
            <family val="2"/>
          </rPr>
          <t xml:space="preserve">Laudo do projeto R$ 250 mil para 2018. Foi postergado R$ 198 para 2019 e deixado (SC) apenas R$ 52 mil para 2018.
</t>
        </r>
      </text>
    </comment>
    <comment ref="J122" authorId="1" shapeId="0">
      <text>
        <r>
          <rPr>
            <b/>
            <sz val="9"/>
            <color indexed="81"/>
            <rFont val="Segoe UI"/>
            <family val="2"/>
          </rPr>
          <t xml:space="preserve">13/06 - Projeto cedeu R$ 65 mil para o Sistema Multiponto.
</t>
        </r>
        <r>
          <rPr>
            <sz val="9"/>
            <color indexed="81"/>
            <rFont val="Segoe UI"/>
            <family val="2"/>
          </rPr>
          <t xml:space="preserve">
</t>
        </r>
      </text>
    </comment>
    <comment ref="J123" authorId="1" shapeId="0">
      <text>
        <r>
          <rPr>
            <b/>
            <sz val="9"/>
            <color indexed="81"/>
            <rFont val="Segoe UI"/>
            <family val="2"/>
          </rPr>
          <t xml:space="preserve">08/06/18: Esse projeto cedeu R$ 45 mil em 2018 para o projeto sistema Multiponto de videoconferência.
13/06- Cedeu mais 15 mil para o mesmo projeto.
</t>
        </r>
      </text>
    </comment>
    <comment ref="J124" authorId="1" shapeId="0">
      <text>
        <r>
          <rPr>
            <b/>
            <sz val="9"/>
            <color indexed="81"/>
            <rFont val="Segoe UI"/>
            <family val="2"/>
          </rPr>
          <t xml:space="preserve">02/05/2018 - Transferido R$ 12 mil deste projeto para o SC00418 (Aquisição de EG) para aquisição de 4 fornos microondas.
- Transferido R$6,5 mil deste projeto para o SC00818 (aquisição de carrinho cozinha Diretoria)
</t>
        </r>
      </text>
    </comment>
    <comment ref="J129" authorId="2" shapeId="0">
      <text>
        <r>
          <rPr>
            <b/>
            <sz val="9"/>
            <color indexed="81"/>
            <rFont val="Segoe UI"/>
            <family val="2"/>
          </rPr>
          <t>e217761:</t>
        </r>
        <r>
          <rPr>
            <sz val="9"/>
            <color indexed="81"/>
            <rFont val="Segoe UI"/>
            <family val="2"/>
          </rPr>
          <t xml:space="preserve">
Adelaide: 60% da área é utilizada pela Distribuição para guarda de mobiliário
12% é ocupada por benheiro e vestiário
28% é utilzada pela EP/EC - GerÇencia de Expansão da Geração.
</t>
        </r>
        <r>
          <rPr>
            <b/>
            <sz val="9"/>
            <color indexed="81"/>
            <rFont val="Segoe UI"/>
            <family val="2"/>
          </rPr>
          <t xml:space="preserve">24/05/2018: </t>
        </r>
        <r>
          <rPr>
            <sz val="9"/>
            <color indexed="81"/>
            <rFont val="Segoe UI"/>
            <family val="2"/>
          </rPr>
          <t xml:space="preserve">Projeto cedeu R$ 10,1 mil em 2018 para o projeto SC00418 para aquisiçõ e instalação de ar condicionado no escritório de Brasília.
</t>
        </r>
        <r>
          <rPr>
            <b/>
            <sz val="9"/>
            <color indexed="81"/>
            <rFont val="Segoe UI"/>
            <family val="2"/>
          </rPr>
          <t>25/05/2018:</t>
        </r>
        <r>
          <rPr>
            <sz val="9"/>
            <color indexed="81"/>
            <rFont val="Segoe UI"/>
            <family val="2"/>
          </rPr>
          <t xml:space="preserve">Projeto cedeu R$ 23,331 mil em 2018 para o projeto SC00518 - Extintores e R$ 60 mil para o projeto de aquisição de equipamentos de video/imagem para CE.
</t>
        </r>
      </text>
    </comment>
    <comment ref="J138" authorId="1" shapeId="0">
      <text>
        <r>
          <rPr>
            <b/>
            <sz val="9"/>
            <color indexed="81"/>
            <rFont val="Segoe UI"/>
            <family val="2"/>
          </rPr>
          <t>11/06/18:
Projeto MD00218 (R$ 720 mil) recebeu recurso de 2018 dos projetos: 
1) MD00318 -Aquisição cesto aéreo acoplado - R$ 500 mil;
2) 3240/12 - Substituição do King Air - R$ 346 mil;
3) Aquisição de caminhão para linha viva - R$ 180 mil.
Total do projeto: 720+500+346+180= 1746 que será transferido para 2019 devido a equipamento importado que não terá prazo hábil para pagamento em 2018.</t>
        </r>
        <r>
          <rPr>
            <sz val="9"/>
            <color indexed="81"/>
            <rFont val="Segoe UI"/>
            <family val="2"/>
          </rPr>
          <t xml:space="preserve">
</t>
        </r>
      </text>
    </comment>
    <comment ref="J194" authorId="3" shapeId="0">
      <text>
        <r>
          <rPr>
            <b/>
            <sz val="9"/>
            <color indexed="81"/>
            <rFont val="Segoe UI"/>
            <family val="2"/>
          </rPr>
          <t>c056525:</t>
        </r>
        <r>
          <rPr>
            <sz val="9"/>
            <color indexed="81"/>
            <rFont val="Segoe UI"/>
            <family val="2"/>
          </rPr>
          <t xml:space="preserve">
Antigo:
Projeto PMT</t>
        </r>
      </text>
    </comment>
    <comment ref="J241" authorId="3" shapeId="0">
      <text>
        <r>
          <rPr>
            <b/>
            <sz val="9"/>
            <color indexed="81"/>
            <rFont val="Segoe UI"/>
            <family val="2"/>
          </rPr>
          <t>c056525:</t>
        </r>
        <r>
          <rPr>
            <sz val="9"/>
            <color indexed="81"/>
            <rFont val="Segoe UI"/>
            <family val="2"/>
          </rPr>
          <t xml:space="preserve">
Antigo
Mobilidade - Desenvolvimento e integração com Atlantis (Projeto/As built)</t>
        </r>
      </text>
    </comment>
    <comment ref="J246" authorId="3" shapeId="0">
      <text>
        <r>
          <rPr>
            <b/>
            <sz val="9"/>
            <color indexed="81"/>
            <rFont val="Segoe UI"/>
            <family val="2"/>
          </rPr>
          <t>c056525:</t>
        </r>
        <r>
          <rPr>
            <sz val="9"/>
            <color indexed="81"/>
            <rFont val="Segoe UI"/>
            <family val="2"/>
          </rPr>
          <t xml:space="preserve">
Projeto: Uso Mútuo</t>
        </r>
      </text>
    </comment>
    <comment ref="J254" authorId="4" shapeId="0">
      <text>
        <r>
          <rPr>
            <sz val="9"/>
            <color indexed="81"/>
            <rFont val="Tahoma"/>
            <family val="2"/>
          </rPr>
          <t>Antes nomeado como "Versionamento GeoÁrvores - Adequação e Integração ao G-DIS MN, G-DIS GE e Atlântis" será captalizado como GDIS AR e integra o portfólio de soluções GDIS.</t>
        </r>
      </text>
    </comment>
    <comment ref="J265" authorId="3" shapeId="0">
      <text>
        <r>
          <rPr>
            <b/>
            <sz val="9"/>
            <color indexed="81"/>
            <rFont val="Segoe UI"/>
            <family val="2"/>
          </rPr>
          <t>c056525:</t>
        </r>
        <r>
          <rPr>
            <sz val="9"/>
            <color indexed="81"/>
            <rFont val="Segoe UI"/>
            <family val="2"/>
          </rPr>
          <t xml:space="preserve">
Software: Automatização de Processos de Suprimentos - BPMS</t>
        </r>
      </text>
    </comment>
    <comment ref="CO278" authorId="1" shapeId="0">
      <text>
        <r>
          <rPr>
            <b/>
            <sz val="9"/>
            <color indexed="81"/>
            <rFont val="Segoe UI"/>
            <family val="2"/>
          </rPr>
          <t xml:space="preserve">6 cadeiras
1 Geladeira
</t>
        </r>
      </text>
    </comment>
    <comment ref="J299" authorId="3" shapeId="0">
      <text>
        <r>
          <rPr>
            <b/>
            <sz val="9"/>
            <color indexed="81"/>
            <rFont val="Segoe UI"/>
            <family val="2"/>
          </rPr>
          <t>c056525:</t>
        </r>
        <r>
          <rPr>
            <sz val="9"/>
            <color indexed="81"/>
            <rFont val="Segoe UI"/>
            <family val="2"/>
          </rPr>
          <t xml:space="preserve">
Antigo: IE3000/ISE/AS Rede/Analise Vuln./Calculo Enlace</t>
        </r>
      </text>
    </comment>
    <comment ref="J309" authorId="3" shapeId="0">
      <text>
        <r>
          <rPr>
            <b/>
            <sz val="9"/>
            <color indexed="81"/>
            <rFont val="Segoe UI"/>
            <family val="2"/>
          </rPr>
          <t>c056525:</t>
        </r>
        <r>
          <rPr>
            <sz val="9"/>
            <color indexed="81"/>
            <rFont val="Segoe UI"/>
            <family val="2"/>
          </rPr>
          <t xml:space="preserve">
Substituição de Terminais Servers nas salas de telemática</t>
        </r>
      </text>
    </comment>
  </commentList>
</comments>
</file>

<file path=xl/comments2.xml><?xml version="1.0" encoding="utf-8"?>
<comments xmlns="http://schemas.openxmlformats.org/spreadsheetml/2006/main">
  <authors>
    <author>C056191</author>
    <author>c055300</author>
  </authors>
  <commentList>
    <comment ref="B3" authorId="0" shapeId="0">
      <text>
        <r>
          <rPr>
            <sz val="9"/>
            <color indexed="81"/>
            <rFont val="Segoe UI"/>
            <family val="2"/>
          </rPr>
          <t xml:space="preserve">Negócio ao qual o projeto proposto deverá ser vinculado
</t>
        </r>
      </text>
    </comment>
    <comment ref="C3" authorId="0" shapeId="0">
      <text>
        <r>
          <rPr>
            <sz val="9"/>
            <color indexed="81"/>
            <rFont val="Segoe UI"/>
            <family val="2"/>
          </rPr>
          <t>Agrupamento ao qual pertence o projeto proposto.</t>
        </r>
      </text>
    </comment>
    <comment ref="D3" authorId="0" shapeId="0">
      <text>
        <r>
          <rPr>
            <sz val="9"/>
            <color indexed="81"/>
            <rFont val="Segoe UI"/>
            <family val="2"/>
          </rPr>
          <t xml:space="preserve">Orgão responsável pela execução do projeto.
</t>
        </r>
      </text>
    </comment>
    <comment ref="E3" authorId="0" shapeId="0">
      <text>
        <r>
          <rPr>
            <sz val="9"/>
            <color indexed="81"/>
            <rFont val="Segoe UI"/>
            <family val="2"/>
          </rPr>
          <t xml:space="preserve">Diretoria ao qual o órgão responsável está subordinado.
</t>
        </r>
      </text>
    </comment>
    <comment ref="F3" authorId="0" shapeId="0">
      <text>
        <r>
          <rPr>
            <sz val="9"/>
            <color indexed="81"/>
            <rFont val="Segoe UI"/>
            <family val="2"/>
          </rPr>
          <t xml:space="preserve">Empregado que responde pelas informações e resultados do projeto.
</t>
        </r>
      </text>
    </comment>
    <comment ref="I3" authorId="0" shapeId="0">
      <text>
        <r>
          <rPr>
            <sz val="9"/>
            <color indexed="81"/>
            <rFont val="Segoe UI"/>
            <family val="2"/>
          </rPr>
          <t xml:space="preserve">O título do Projeto deverá indicar, de maneira sintética, o conteúdo do projeto (fornecer uma ideia inicial).
</t>
        </r>
      </text>
    </comment>
    <comment ref="J3" authorId="0" shapeId="0">
      <text>
        <r>
          <rPr>
            <sz val="9"/>
            <color indexed="81"/>
            <rFont val="Segoe UI"/>
            <family val="2"/>
          </rPr>
          <t xml:space="preserve">Apresenta a finalidade principal do projeto, com clareza e objetividade. 
</t>
        </r>
      </text>
    </comment>
    <comment ref="K3" authorId="0" shapeId="0">
      <text>
        <r>
          <rPr>
            <sz val="9"/>
            <color indexed="81"/>
            <rFont val="Segoe UI"/>
            <family val="2"/>
          </rPr>
          <t xml:space="preserve">Deve-se apresentar porque é importante realizar o Projeto. Por que ele deve ser aprovado e implementado? Qual a relevância desse problema/questão/oportunidade? Qual o alcance do projeto diante do problema/oportunidade que será /foi abordado? Quais os benefícios econômicos, sociais e ambientais a serem alcançados e os resultados esperados para a Empresa e para os acionistas? Informar também se há aspectos legais e regulatórios a serem considerados, citando a legislação relacionada.
</t>
        </r>
      </text>
    </comment>
    <comment ref="L3" authorId="0" shapeId="0">
      <text>
        <r>
          <rPr>
            <sz val="9"/>
            <color indexed="81"/>
            <rFont val="Segoe UI"/>
            <family val="2"/>
          </rPr>
          <t>Relacionar os riscos que a não execução do projeto implica.
(impacto nos Negócios, Legais, Regulatórios).</t>
        </r>
      </text>
    </comment>
    <comment ref="M3" authorId="0" shapeId="0">
      <text>
        <r>
          <rPr>
            <sz val="9"/>
            <color indexed="81"/>
            <rFont val="Segoe UI"/>
            <family val="2"/>
          </rPr>
          <t xml:space="preserve">Para os projetos de aquisição de Equipamento Geral ou  Veículos, o proponente deverá informar o código de material cadastrado na Cemig nas últimas compras realizadas, se houver. 
</t>
        </r>
      </text>
    </comment>
    <comment ref="N3" authorId="0" shapeId="0">
      <text>
        <r>
          <rPr>
            <sz val="9"/>
            <color indexed="81"/>
            <rFont val="Segoe UI"/>
            <family val="2"/>
          </rPr>
          <t xml:space="preserve">Edificação/Prédio/Cidade de implantação do empreendimento
</t>
        </r>
      </text>
    </comment>
    <comment ref="CF3" authorId="0" shapeId="0">
      <text>
        <r>
          <rPr>
            <sz val="9"/>
            <color indexed="81"/>
            <rFont val="Segoe UI"/>
            <family val="2"/>
          </rPr>
          <t>Métrica física para acompanhamento da execução do projeto.
Ex: Nº Equipamentos, Nº Mobiliário, m2 de obra civil</t>
        </r>
      </text>
    </comment>
    <comment ref="I6"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t>
        </r>
      </text>
    </comment>
    <comment ref="I38" authorId="1" shapeId="0">
      <text>
        <r>
          <rPr>
            <b/>
            <sz val="9"/>
            <color indexed="81"/>
            <rFont val="Segoe UI"/>
            <family val="2"/>
          </rPr>
          <t>Projeto Substituido por um Clorímetro - ver e-mail do Leonardo Victoretti em 24/04/2018.</t>
        </r>
      </text>
    </comment>
    <comment ref="I40" authorId="1" shapeId="0">
      <text>
        <r>
          <rPr>
            <b/>
            <sz val="9"/>
            <color indexed="81"/>
            <rFont val="Segoe UI"/>
            <family val="2"/>
          </rPr>
          <t xml:space="preserve">
</t>
        </r>
      </text>
    </comment>
    <comment ref="I41" authorId="1" shapeId="0">
      <text>
        <r>
          <rPr>
            <b/>
            <sz val="9"/>
            <color indexed="81"/>
            <rFont val="Segoe UI"/>
            <family val="2"/>
          </rPr>
          <t xml:space="preserve">30/05/2018 - Projeto cedeu o recuro para MG/CS adquirir projetores.
</t>
        </r>
      </text>
    </comment>
    <comment ref="I42" authorId="1" shapeId="0">
      <text>
        <r>
          <rPr>
            <b/>
            <sz val="9"/>
            <color indexed="81"/>
            <rFont val="Segoe UI"/>
            <family val="2"/>
          </rPr>
          <t xml:space="preserve">30/05/2018 - Projeto cedeu o recuro para MG/CS adquirir projetores.
</t>
        </r>
      </text>
    </comment>
  </commentList>
</comments>
</file>

<file path=xl/comments3.xml><?xml version="1.0" encoding="utf-8"?>
<comments xmlns="http://schemas.openxmlformats.org/spreadsheetml/2006/main">
  <authors>
    <author>e217761</author>
  </authors>
  <commentList>
    <comment ref="A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List>
</comments>
</file>

<file path=xl/sharedStrings.xml><?xml version="1.0" encoding="utf-8"?>
<sst xmlns="http://schemas.openxmlformats.org/spreadsheetml/2006/main" count="11425" uniqueCount="2242">
  <si>
    <t>Empresa</t>
  </si>
  <si>
    <t>Macroprojeto</t>
  </si>
  <si>
    <t>Descrição resumida do projeto</t>
  </si>
  <si>
    <t xml:space="preserve">Janeiro </t>
  </si>
  <si>
    <t>Fevereiro</t>
  </si>
  <si>
    <t>Março</t>
  </si>
  <si>
    <t>Abril</t>
  </si>
  <si>
    <t>Maio</t>
  </si>
  <si>
    <t>Junho</t>
  </si>
  <si>
    <t>Julho</t>
  </si>
  <si>
    <t>Agosto</t>
  </si>
  <si>
    <t>Setembro</t>
  </si>
  <si>
    <t>Outubro</t>
  </si>
  <si>
    <t>Novembro</t>
  </si>
  <si>
    <t>Total</t>
  </si>
  <si>
    <t>Total
2018/22</t>
  </si>
  <si>
    <t>Órgão</t>
  </si>
  <si>
    <t>Diretoria</t>
  </si>
  <si>
    <t>Local de Implantação</t>
  </si>
  <si>
    <t>Justificativa</t>
  </si>
  <si>
    <t>Título do projeto</t>
  </si>
  <si>
    <t>Dezembro</t>
  </si>
  <si>
    <t>Indicador (Unidade)</t>
  </si>
  <si>
    <t>Riscos de não execução</t>
  </si>
  <si>
    <t>Código de Material</t>
  </si>
  <si>
    <t>Processo</t>
  </si>
  <si>
    <t>1-1-4 Ferramentas e Equipamentos G</t>
  </si>
  <si>
    <t>1-3-1 Edificações e Complementos G</t>
  </si>
  <si>
    <t>1-3-2-1 TI - Telecomunicações (Ativo não elétrico) G</t>
  </si>
  <si>
    <t>1-3-3 TI - Microinformática G</t>
  </si>
  <si>
    <t>1-3-4 Sistema de Informática G</t>
  </si>
  <si>
    <t>1-3-5 Veículos G</t>
  </si>
  <si>
    <t>2-1-2 Ferramentas e Equipamentos T</t>
  </si>
  <si>
    <t>2-3-1 Edificações e Complementos T</t>
  </si>
  <si>
    <t>2-3-2 TI - Telecomunicações (Ativo não elétrico) T</t>
  </si>
  <si>
    <t>2-3-3 TI - Microinformática T</t>
  </si>
  <si>
    <t>2-3-4 Sistema de Informática T</t>
  </si>
  <si>
    <t>2-3-5 Veículos T</t>
  </si>
  <si>
    <t>3-4-1 Ferramentas D</t>
  </si>
  <si>
    <t>3-4-2 Edificações e Complementos D</t>
  </si>
  <si>
    <t>3-4-3-1 TI - Telecomunicações (Ativos não elétricos) D</t>
  </si>
  <si>
    <t>3-4-4 TI - Microinformática D</t>
  </si>
  <si>
    <t>3-4-5 Sistema de Informática D</t>
  </si>
  <si>
    <t>3-4-6 Veículos D</t>
  </si>
  <si>
    <t>4-1-2 TI - Microinformática H</t>
  </si>
  <si>
    <t>4-1-3 Sistema de Informática H</t>
  </si>
  <si>
    <t>Recorrente ou Não recorrente?</t>
  </si>
  <si>
    <t>Haverá ganhos financeiros?</t>
  </si>
  <si>
    <t>Haverá redução de despesas?</t>
  </si>
  <si>
    <t>Haverá despesas para implantação?</t>
  </si>
  <si>
    <t xml:space="preserve"> </t>
  </si>
  <si>
    <t>Responsável</t>
  </si>
  <si>
    <t>Geração</t>
  </si>
  <si>
    <t>GE/IM</t>
  </si>
  <si>
    <t>DGE</t>
  </si>
  <si>
    <t>Distribuição</t>
  </si>
  <si>
    <t>SC</t>
  </si>
  <si>
    <t>-</t>
  </si>
  <si>
    <t>Otimização dos Ativos de Divinópolis</t>
  </si>
  <si>
    <t>RH/EC</t>
  </si>
  <si>
    <t>DDC</t>
  </si>
  <si>
    <t>Transmissão</t>
  </si>
  <si>
    <t>MT/CT</t>
  </si>
  <si>
    <t>DGT</t>
  </si>
  <si>
    <t>Joel Máximo Reis</t>
  </si>
  <si>
    <t>Deficiência nos treinamentos da equipe e de terceiros
Demora na realização de reuniões que necessitam de projeção de imagem  e também dificuldade na apresentação do processo de primeiro acesso para atendimento ao sistema de gestão.
Manobras indevidas e falha na identificação dos alremes e eventos gerados pelo SSCD.</t>
  </si>
  <si>
    <t>MT/LE</t>
  </si>
  <si>
    <t>Substituição de aparelhos de ar condicionado</t>
  </si>
  <si>
    <t>Equipamentos e veículos para a MT</t>
  </si>
  <si>
    <t>MT</t>
  </si>
  <si>
    <t>Evolução do projeto (%)</t>
  </si>
  <si>
    <t>Nº de Equipamentos</t>
  </si>
  <si>
    <t>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t>
  </si>
  <si>
    <t>Otimização dos Ativos de Itajubá</t>
  </si>
  <si>
    <t>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t>
  </si>
  <si>
    <t>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t>
  </si>
  <si>
    <t>Obras para viabilização da transferência da equipe da MG/CS do imóvel locado da Cemig GT, situado na rua Comendador José Esteves, nº 40, para o imóvel próprio da Cemig D, situado na Rua Chagas Doria, nº 95, atualmente ocupado pela MD/VR, visando à
rescisão do contrato de locação do imóvel da MG/CS, que possui custo mensal de R$ 9 mil e à otimização da ocupação do imóvel da Cemig D. Serão executadas obras na edificação visando  o adequado funcionamento das atividades das gerências locais.</t>
  </si>
  <si>
    <t>Não cumprimento do Acordo de Metas da Iniciativa 9 do Programa de Adequação da Cemig D ao Regulatório, a qual prevê a obtenção de receita com a alienação de imóvel inservível, e à redução de despesas operacionais.</t>
  </si>
  <si>
    <t>Otimização dos Ativos de Barbacena</t>
  </si>
  <si>
    <t>Execução de adequações/reforma civil do imóvel da SE Barbacena 2.</t>
  </si>
  <si>
    <t>Execução de obra civil de nova instalação de escritório no imóvel da MT/LE para recebimento do pessoal da MG/LE.</t>
  </si>
  <si>
    <t>Otimização dos Ativos de Araxá</t>
  </si>
  <si>
    <t>Execução de obra civil de nova instalação de escritório no imóvel anexo à Subestação para recebimento do pessoal do imóvel do Centro.</t>
  </si>
  <si>
    <t>Otimização dos Ativos de Almenara</t>
  </si>
  <si>
    <t>Alienação do compartilhado e estacionamento transferência das atividades para o depósito de materiais e locação de imóvel para agência. Adequação do depósito de materiais para recebimento da equipe.</t>
  </si>
  <si>
    <t>Otimização dos Ativos de Governador Valadares</t>
  </si>
  <si>
    <t>Alienação do imóvel do centro, transferência para o imóvel da Vila Mariana, onde será construída edificação, e locação de imóvel para a Agência de Atendimento.</t>
  </si>
  <si>
    <t>Otimização dos Ativos de Passos</t>
  </si>
  <si>
    <t>Obra de adequação do imóvel compartilhado e alienação de parte do terreno do imóvel compartilhado.</t>
  </si>
  <si>
    <t>Otimização dos Ativos de Patrocínio</t>
  </si>
  <si>
    <t>Alienação do imóvel próprio, construção de edificação na SE e locação de agência de atendimento.</t>
  </si>
  <si>
    <t>Otimização dos Ativos de Três Corações</t>
  </si>
  <si>
    <t>Alienação do imóvel compartilhado, construção na SE e locação de imóvel para agência de atendimento.</t>
  </si>
  <si>
    <t>Otimização dos Ativos de Varginha</t>
  </si>
  <si>
    <t>Alienação do imóvel do centro, obras de adequação da SE e locação de imóvel para a agência de atendimento.</t>
  </si>
  <si>
    <t>Francely Duarte Sales Marques dos Santos 
Rodrigo Elias S.  Santos</t>
  </si>
  <si>
    <t>Casos Atípicos - Qualquer solicitação que fuja das atividades rotineiras. Ex.: Solicitação de indenização para empreendimento já construído, Averbação de Servidão existente, Solicitação de indenização por danos em imóveis de terceiros.</t>
  </si>
  <si>
    <t>Processos Judiciais, insatisfação do cliente, aumento de gastos para empresas.</t>
  </si>
  <si>
    <t>Nº de Regularizações imobiliárias</t>
  </si>
  <si>
    <t>MD/CS</t>
  </si>
  <si>
    <t>Programa de Substituição e Modernização de Ferramentas</t>
  </si>
  <si>
    <t>MG/CS</t>
  </si>
  <si>
    <t>Mateus Trevisani</t>
  </si>
  <si>
    <t>Termômetro de Infra Vermelho Visual</t>
  </si>
  <si>
    <t>Falhas em equipamentos, manutenção corretiva e descontinuidade de geração.</t>
  </si>
  <si>
    <t>Nenhum</t>
  </si>
  <si>
    <t>Nº de Ferramentas</t>
  </si>
  <si>
    <t>MG/LE</t>
  </si>
  <si>
    <t>Leonardo Victoretti  
SIT-944 351</t>
  </si>
  <si>
    <t>Descrição: MG/LE: Aquisição de (3) aparelhos de ar  condcionado, modelo split, piso/teto, 30.000 Btus</t>
  </si>
  <si>
    <t xml:space="preserve">Aumento do gasto em despesa com manutenção dos aparelhos de ar condicionado existentes.
Ficar com ambiente sem climatização em caso de falha que decrete o final da vida útil do equipamento.
</t>
  </si>
  <si>
    <t>Descrição: MG/LE: Aquisição de (2) aparelhos de ar  condcionado, modelo parede/janela, 10.000 Btus</t>
  </si>
  <si>
    <t xml:space="preserve">OBS: Já autorizado na CRCA 085/2016 - Revisão de macro projetos ciclo 2014/2018
Aumento do gasto em despesa com manutenção dos aparelhos de ar condicionado existentes.
Ficar com ambiente sem climatização em caso de falha que decrete o final da vida útil do equipamento.
</t>
  </si>
  <si>
    <t>Descrição: MG/LE: Aquisição de (1) aparelho de ar  condcionado, modelo split, piso/teto, 30.000 Btus</t>
  </si>
  <si>
    <t xml:space="preserve">OBS: Já autorizado na CRCA 085/2016 - Revisão de macro projetos ciclo 2014/2018
Aumento do gasto em despesa com manutenção do aparelho de ar condicionado existente.
Ficar com ambiente sem climatização em caso de falha que decrete o final da vida útil do equipamento.
</t>
  </si>
  <si>
    <t>Descrição: UHSU: Aquisição de (1) aparelho de ar  condcionado, modelo janela, 10.000 Btus</t>
  </si>
  <si>
    <t xml:space="preserve">Descrição: UHSU: Aquisição de (1) refrigerador vertical 280 litros. OBS: DEMANDA REPETITIVA
</t>
  </si>
  <si>
    <t xml:space="preserve">OBS: Já autorizado na CRCA 085/2016 - Revisão de macro projetos ciclo 2014/2018
Penalização por em fiscalização do MTb. 
Danos a saúde do empregado.
Dano intangível a imagem da CEMIG. </t>
  </si>
  <si>
    <t>Deficiência no atendimento à demandas de execução de manutenção dos ativos da geração. 
Elevação de índices de indisponibilidade operativa de usinas. 
Penalização por parte de orgão regulador.</t>
  </si>
  <si>
    <t>GLE-INV-PPE-Aq-Eqp-analis-enrolamentos</t>
  </si>
  <si>
    <t>Descrição: MG/LE: Aquisição de (1) analisador de enrolamentos - Surge Test
Referência: Baker</t>
  </si>
  <si>
    <t>GLE-INV-PPE-Aq-Eqp-calibr/gerador-sinais</t>
  </si>
  <si>
    <t>Descrição: MG/LE: Aquisição de (1) Calibrador / Gerador de Sinais.
Referência: Presys modelo Isocal mcs-xv</t>
  </si>
  <si>
    <t>GLE-INV-PPE-Aq-Eqp-osciloscópio-portátil</t>
  </si>
  <si>
    <t>Descrição: MG/LE: Aquisição de (1) Osciloscópio Portátil, 04 canais, isolados.
Referência: Tektronix</t>
  </si>
  <si>
    <t>GLE-INV-PPE-Aq-Eqp-termovisor-portátil</t>
  </si>
  <si>
    <t>Descrição: MG/LE: Aquisição de (1) Termovisor portátil
Referência: Flir</t>
  </si>
  <si>
    <t>GLE-INV-PPE-Aq-Eqp-Aquis-dado-multicanal</t>
  </si>
  <si>
    <t>Descrição: MG/LE: Aquisição de (1) Aquisitor de dados multicanal para análise de parâmetros dinâmicos de unidades geradoras.
Referência: Linx</t>
  </si>
  <si>
    <t>GLE-INV-PPE-Aq-Eqp-multímetro-profission</t>
  </si>
  <si>
    <t>Descrição: MG/LE: Aquisição de (5) Multímetros profissionais.
Referência: Fluke</t>
  </si>
  <si>
    <t xml:space="preserve">Deficiência no atendimento à demandas de execução de manutenção dos ativos da geração. 
</t>
  </si>
  <si>
    <t xml:space="preserve">Descrição: MG/LE: Aquisição de (1) software supervisório Elipse E3 Studio com chave de engenharia.
</t>
  </si>
  <si>
    <t>OBS: Já autorizado na CRCA 085/2016 - Revisão de macro projetos ciclo 2014/2018
Deficiência no atendimento à situações de falha em sistemas supervisórios de operação de usinas, com interferência negativa na comunicação de dados operativos relacionados à teleassistência de usinas pelo COS-CEMIG, e COR-ONS.
Penalização por parte de orgão regulador.</t>
  </si>
  <si>
    <t>GLE-INV-PPE-Aq-Eqp-analisador-isolação
SAP-IW33-CPDE-1600001869</t>
  </si>
  <si>
    <t>Descrição: MG/LE: Aquisição de (2) analisador de Isolação TeraOhm 5 kV, com grau  proteção contra interferência eletomagnética.
Referência: Metrel</t>
  </si>
  <si>
    <t xml:space="preserve">OBS: Já autorizado na CRCA 085/2016 - Revisão de macro projetos ciclo 2014/2018
Deficiência no atendimento à demandas de execução de manutenção dos ativos da geração. 
Elevação de índices de indisponibilidade operativa de usinas. 
Penalização por parte de orgão regulador.
</t>
  </si>
  <si>
    <t>OBS: Já autorizado na CRCA 085/2016 - Revisão de macro projetos ciclo 2014/2018
Deficiência no atendimento à demandas de execução de manutenção dos ativos da geração. 
Elevação de índices de indisponibilidade operativa de usinas. 
Penalização por parte de orgão regulador.</t>
  </si>
  <si>
    <t>OBS: Já autorizado na CRCA 085/2016 - Revisão de macro projetos ciclo 2014/2018
Deficiência no atendimento à demandas de execução de manutenção em equipamentos de usinas.
Elevação de índices de indisponibilidade operativa de usinas.
Não encontrar disponível, no momento da necessidade, o citado equipamento para locação.</t>
  </si>
  <si>
    <t>Descrição: MG/LE: Aquisição de (1) Conjunto bomba manual, acionamento macaco hidraulico.
Referência: Guimmy modelo  GP80C</t>
  </si>
  <si>
    <t>Descrição: MG/LE: Aquisição de (2) Macacos Hidráulicos, simples ação, 10 ton. 
Referência: Guimmy modelo GRC 102.</t>
  </si>
  <si>
    <t>Descrição: MG/LE: Aquisição de (2) Macacos hidráulicos de simples ação, vazado, 20 TON. 
Referência: Guimmy modelo GRCH 202.</t>
  </si>
  <si>
    <t>Descrição: MG/LE: Aquisição de Projetor, multimídia, 3200lúmens, contraste 400:1,resolução 1024x768(xga) relação 4:3, painel lcd, matriz ativa, alimentação 127/220v,60hz,c/controle remoto,equipado c/suporte universal fixação ao teto,c/cabeamento interligação.</t>
  </si>
  <si>
    <t xml:space="preserve">Limitação da eficiência das reuniões.
Limitação dissiminação da estratégia coorporativa.
Limitação na eexcução de treinamentos nas sede do MG/LE.
</t>
  </si>
  <si>
    <t>Descrição: MG/LE: Aquisição de (1) Medidor de relação de transformação Trifásico
Referência: AEMC. Megger TTR 330.</t>
  </si>
  <si>
    <t>Descrição: MG/LE: Aquisição de (1) Medidor de resistencia ohmica 
Referência: Criem IRO 103</t>
  </si>
  <si>
    <t>Rangel Araújo F Martins</t>
  </si>
  <si>
    <t>Aquisição de 01 Calibrador de Processo. Ref.: FLUKE</t>
  </si>
  <si>
    <t>Falhas nos processos de manutenção e operação que necessitam de equipamentos corretamente calibrados/parametrizados para seu funcionamento.</t>
  </si>
  <si>
    <t>Impossibilidade de diagnósticos corretos e de ajustes/parametrização de equipamentos eletromecânicos das Usinas.</t>
  </si>
  <si>
    <t>Aquisição de 02 Aparelhos de ar condicionado tipo casete 48000 BTU para sala de reuniões da Usina - UHNP</t>
  </si>
  <si>
    <t>Degradação das condições ergonômicas das áreas das Usinas que concentram um maior números de pessoas por longos períodos de tempo.</t>
  </si>
  <si>
    <t>Dificuldade de acompanhamento e confirmação das condições operacionais dos equipamentos eletromecânicos da Usina.</t>
  </si>
  <si>
    <t>Instalação de 01 sistema de vigilancia patrimonial - UHNP</t>
  </si>
  <si>
    <t>Aquisição dos serviços de Instalação de sistema de vigilancia patrimonial para a Usina - UHNP</t>
  </si>
  <si>
    <t>MG/UT</t>
  </si>
  <si>
    <t>Diego Thadeu 31-3535-7617</t>
  </si>
  <si>
    <t>Modernização de notebooks já existentes</t>
  </si>
  <si>
    <t>Maior tempo para retorno das unidades geradoras que depende de equipamentos eletronicos que necessitam de notebooks para diagnosticos e manutenção</t>
  </si>
  <si>
    <t>Substituição de Ar Condiconado</t>
  </si>
  <si>
    <t xml:space="preserve">Não atendimento a requistos de conforto termico e ruidos para trabalhadores </t>
  </si>
  <si>
    <t>Marcos Augusto - 34-3088-4901</t>
  </si>
  <si>
    <t xml:space="preserve">Aquisição de ferramentas e equipamentos </t>
  </si>
  <si>
    <t>Aquisição de ferramentas e equipamentos para atendimento a manutenção das usinas da MG/TA.</t>
  </si>
  <si>
    <t>Indisponibilidade de unidades geradoras devido a não termos ferramentas e equipamentos adequados para testes e reparo. Ademais podem ocorrer falhas provenientes de intervenções realizadas de forma equivocada devido a ferramentas e equipamentos com defeito ou desajustado.</t>
  </si>
  <si>
    <t>MG/SB</t>
  </si>
  <si>
    <t xml:space="preserve">Ausencia de manutenção dos instrumentos de barragem afeta diretamente a segurança das barragens </t>
  </si>
  <si>
    <t xml:space="preserve">A ausência de inspeção visual afeta diretamente a segurança das barragens </t>
  </si>
  <si>
    <t>Rodrigo Marques</t>
  </si>
  <si>
    <t>Aquisição de Equipamentos e instrumentos para laboratório MS/QL</t>
  </si>
  <si>
    <t>Aquisição de Equipamentos e instrumentos para laboratório MS/QL, para realização de ensaios e adequação às necessidades atuais.</t>
  </si>
  <si>
    <t>A não execução pode levar ao risco de baixar a qualidade dos materiais adquiridos pela CEMIG e até mesMO de paralizar a realização de ensaios dos laboratórios da MS/QL.</t>
  </si>
  <si>
    <t>MS/QL</t>
  </si>
  <si>
    <t>PO/MG</t>
  </si>
  <si>
    <t>Jeferson</t>
  </si>
  <si>
    <t>Usinas - Aquisição de Instrumentação para análise preditiva nas usinas do grupo CEMIG, composta por sensores de proximidade, sensor de pressão, acelerômetros, base magnética e cabos, conforme conjuntos ou kits específicos que serão cadastrados na MS.</t>
  </si>
  <si>
    <t>Kit de diagnostico de analise preditiva</t>
  </si>
  <si>
    <t>Falha no diagnostico de equipamentos podendo levar a indisponibilidade operativa e consequente perda de receita da geração</t>
  </si>
  <si>
    <t>Usinas - Aquisitor de dados multicanal para análise de parâmetros dinâmicos de unidades geradoras</t>
  </si>
  <si>
    <t>Aquisitor de dados multicanal</t>
  </si>
  <si>
    <t>Coletor e analisador de dados portatil</t>
  </si>
  <si>
    <t>Sensor de rotação</t>
  </si>
  <si>
    <t>LVDT</t>
  </si>
  <si>
    <t>Aquisição software de Confiabilidade (RENO, Lambdapredict, DOE e RGA)</t>
  </si>
  <si>
    <t>Software de Confiabilidade</t>
  </si>
  <si>
    <t>Falha no diagnostico e priorização de investimentos em equipamentos da geração, podendo levar a indisponibilidade operativa e consequente perda de receita da geração</t>
  </si>
  <si>
    <t>Falha no processo de execução da manutenção por falta de dispositivos e ferramentas, podendo levar a indisponibilidade operativa e consequente perda de receita da geração</t>
  </si>
  <si>
    <t>Upgrade/atualização do software Geo-slope 2012</t>
  </si>
  <si>
    <t>Upgrade Software Geo-slope</t>
  </si>
  <si>
    <t>Falha grave no software que pode acarretar a perda de controle do monitoramento da Segurança em Barragens das usinas da Cemig</t>
  </si>
  <si>
    <t>Gustavo Soares/Leandro Veloso Cunha/Joel Máximo</t>
  </si>
  <si>
    <t>PO/MT</t>
  </si>
  <si>
    <t>Gustavo Soares/Eduardo Martins/Adriana de Castro</t>
  </si>
  <si>
    <t>Ferramentas para o Centro de Monitoramento Preditivo e para o Laboratório de integração de novos ativos de Proteção, Controle, Supervisão e Automação da PO/MT</t>
  </si>
  <si>
    <t>Ferramentas PO/MT_CMP e PCSA</t>
  </si>
  <si>
    <t xml:space="preserve">Produtividade; atraso na realização e análises de testes de integração/monitoramento de ativos; segurança de pessoal; </t>
  </si>
  <si>
    <t>Gustavo Soares/Joel Máximo</t>
  </si>
  <si>
    <t>Ferramentas de manutenção MT</t>
  </si>
  <si>
    <t>Produtividade das rotinas de manutenção, mantendo-se as condições de segurança para os empregados, e cumprimento dos requisitos da ReN Aneel nº 669/2015 - Requisitos Mínimos de Manutenção</t>
  </si>
  <si>
    <t>Construção de Laboratório de Ensaios de Materiais da MS/QL em novo CDM-Centro de Distribuiçaõ de Materiais da CEMIG, tendo em vista a vendo dos sites atuais (quarteirões 1 e 2 do Jatobá).</t>
  </si>
  <si>
    <t>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
Além disso, irá inviabilizar a desocupação do Q1, onde estão montados os laboratórios atuais, para alienação e consequentemente a apuração de receita para a companhia.</t>
  </si>
  <si>
    <t>Imprementar a Assinatura Digital para o processo de Suprimentos</t>
  </si>
  <si>
    <t>Continuar com os processos de contratação morosos, com assinatura física de documentos, impressão e altos custos com os Correios.</t>
  </si>
  <si>
    <t>Desenvolvimento de um sistema que faça o controle das cláusulas editalícias e contratuais, permitindo ao usuário montar os editais e contratos de forma automatizada e padronizada.</t>
  </si>
  <si>
    <t>Morosidade na confecção de editais e contratos, falta de padronização e controle das cláusulas utilizadas.</t>
  </si>
  <si>
    <t>DRH</t>
  </si>
  <si>
    <t>Denis</t>
  </si>
  <si>
    <t>Oscilógrafo digital de 12 canais para curso de Ensaios Eléricos.</t>
  </si>
  <si>
    <t xml:space="preserve">Equipamento atual de treinamento da escola é muito antigo e não reflete a realidade dos equipamentos das equipes de campo. </t>
  </si>
  <si>
    <t>A falta de treinamento das equipes impossibilitará as manutenções preventivas e corretivas dos disjuntores, ocasionando altos índices de defeitos e indisponibilidade do sistema elétrico.</t>
  </si>
  <si>
    <t>UniverCemig - Prédio 09</t>
  </si>
  <si>
    <t>Marcela</t>
  </si>
  <si>
    <t>Romeraldo</t>
  </si>
  <si>
    <t>Calibrador tipo Corpo Negro (Fonte de Calor)</t>
  </si>
  <si>
    <t>Equipamento para o curso de Termografia aplicada ao Sistema Elétrico.</t>
  </si>
  <si>
    <t>A falta de treinamento das equipes impossibilitará as manutenções preventivas dos equipamentos de subestações, ocasionando altos índices de defeitos e indisponibilidade do sistema elétrico.</t>
  </si>
  <si>
    <t>Medidor de Relação de transformação digital</t>
  </si>
  <si>
    <t>Equipamento para o curso de Ensaios Elétricos.</t>
  </si>
  <si>
    <t>Equipamento essencial para o curso de Ensaios elétricos, o que temos atualmente é muito antigo (mais de 20 anos) e não reflete a realidade dos equipamentos que as equipes tem  em campo.</t>
  </si>
  <si>
    <t>Testador de rigidez dielétrica de óleo isolante.</t>
  </si>
  <si>
    <t>Jose Cesar</t>
  </si>
  <si>
    <t xml:space="preserve">Projetores para treinamentos e apresentações em geral </t>
  </si>
  <si>
    <t>Substituir  equipamento  antigo e deixar um de reserva.</t>
  </si>
  <si>
    <t>Impossibilitará ministração das aulas teóricas.</t>
  </si>
  <si>
    <t>UniverCemig</t>
  </si>
  <si>
    <t xml:space="preserve">UniverCemig </t>
  </si>
  <si>
    <t>Televisão de 55"</t>
  </si>
  <si>
    <t>Televisão para a sala de videoconferência</t>
  </si>
  <si>
    <t>Televisão da sala de videoconferência queimou, não compensa consertar.</t>
  </si>
  <si>
    <t>Equipamento essencial para acompanhamento das videoconferências em Sete Lagoas.</t>
  </si>
  <si>
    <t>UniverCemig - Prédio Y</t>
  </si>
  <si>
    <t>2 Alicates Terrômetros</t>
  </si>
  <si>
    <t>Equipamento para o curso de Resistividade e Resistência de Aterramento e Técnicas de Medição.</t>
  </si>
  <si>
    <t>Equipamento essencial para os cursos sobre medição de aterramento, o que temos atualmente está absoleto e fora da especificação técnica 02.111-PO/MT-1260a e não reflete a realidade dos equipamentos que as equipes tem  em campo.</t>
  </si>
  <si>
    <t>Equipamento essencial para os cursos sobre medição de aterramento e para os curso sobre Termografia, o que temos atualmente está absoleto e não atende à normas Abendi/ABNT e instruções internas.</t>
  </si>
  <si>
    <t>2 Anemômetros eletrônicos, modelo tecnologia com wi-fi.</t>
  </si>
  <si>
    <t>2 Medidores eletrônicos de temperatura e umidade relativa do ar, modelo com tecnologia wi-fi.</t>
  </si>
  <si>
    <t>2 Alicates amperímetros digital com tecnologia wi-fi.</t>
  </si>
  <si>
    <t>Uaded</t>
  </si>
  <si>
    <t>Lavadoura de pratos industrial</t>
  </si>
  <si>
    <t>Lavadora de pratos para o refeitorio da Univercemig</t>
  </si>
  <si>
    <t>Máquina é essencial para economia de mão de obra e tempo.</t>
  </si>
  <si>
    <t>Januario</t>
  </si>
  <si>
    <t>2 HI-POTT CA até 60 kV</t>
  </si>
  <si>
    <t>Equipamento para o treinamento de rede aerea isolada.</t>
  </si>
  <si>
    <t>UniverCemig - Prédio 11</t>
  </si>
  <si>
    <t>Francisco Fernando</t>
  </si>
  <si>
    <t xml:space="preserve">Lousa eletronica para sala 115 </t>
  </si>
  <si>
    <t>Equipamento moderno e com alta praticidade para ministração de cursos.</t>
  </si>
  <si>
    <t>Não há riscos.</t>
  </si>
  <si>
    <t>Marlon</t>
  </si>
  <si>
    <t>Motopoda Gasolina Cabo 5 Mt Stihl Ht131 - 36.3cc 1.4/1.9 Cv para curso de poda</t>
  </si>
  <si>
    <t>Equipamento essencial para o treinamento de poda, atualmente tem-se soliciado emprestimo em outras áreas para realização dos treinamentos.</t>
  </si>
  <si>
    <t>Sergio Rocha</t>
  </si>
  <si>
    <t>Tensionador Leve</t>
  </si>
  <si>
    <t>Equipamento para treinamento das equipes de Linha Viva.</t>
  </si>
  <si>
    <t>Equipamento essencial para treinamentos em Linha Viva em Linhas de Distribuição e Transmissão.
Esse equipamento tem sido emprestado pelas gerências durante os treinamentos.</t>
  </si>
  <si>
    <t>A falta de treinamento das equipes impossibilitará as manutenções preventivas dos equipamentos de Linha Viva, ocasionando altos índices de defeitos e indisponibilidade do sistema elétrico.</t>
  </si>
  <si>
    <t>UniverCemig - Prédio 08</t>
  </si>
  <si>
    <t xml:space="preserve">Substituição de Mobiliário </t>
  </si>
  <si>
    <t xml:space="preserve">Substituição de mesas e cadeiras antigas ou danificadas </t>
  </si>
  <si>
    <t>Reposição necessária devido utilização diária, necessidade de manutenção ou reposição constante.</t>
  </si>
  <si>
    <t>Impossibilitará atividades rotineiras.</t>
  </si>
  <si>
    <t>Pista de Direção Defensiva</t>
  </si>
  <si>
    <t>Construção da pista para o curso de direção defensiva</t>
  </si>
  <si>
    <t>Necessário construção de pista off-road para o curso de direção defensiva. Atualmente as aulas práticas não tem sido realizadas por falta de espaço adequado.</t>
  </si>
  <si>
    <t>A falta de treinamento das equipes impossibilitará as manutenções preventivas dos equipamentos de Linha de Transmissão e subestações, ocasionando altos índices de defeitos e indisponibilidade do sistema elétrico.</t>
  </si>
  <si>
    <t>Modernização de Recursos Pedagógicos</t>
  </si>
  <si>
    <t>Modernização de salas de aula, paineis, equipamentos didáticos em geral.</t>
  </si>
  <si>
    <t>Impossibilitará reposição de materiais e equipamentos desgastados, impossibilitando os treinamentos.</t>
  </si>
  <si>
    <t>Nº de Mobiliário</t>
  </si>
  <si>
    <t>Flávio Henrique Silva Rosário</t>
  </si>
  <si>
    <t>Aquisição de Bebedouros para várias unidades da Cemig.</t>
  </si>
  <si>
    <t>A Cemig possui várias unidades antigas, com bebedouros também muito antigos, que precisam ser substituídos.</t>
  </si>
  <si>
    <t>Dificuldade no fornecimento de bebedouros para as instalações da Cemig e consequentemente, no fornecimento de água para os funcionários conforme normas regulamentadores.</t>
  </si>
  <si>
    <t>Todo Estado</t>
  </si>
  <si>
    <t>Aquisição de Equipamentos de Ar Condicionado para todo o Estado.</t>
  </si>
  <si>
    <t>O projeto objetiva a aquisição e instalação de equipamentos em unidades que não possuem o sistema de ar condicionado, para atender a nova demanda dos usuários, ou substituição do sistema de ar existente, por obsolescência dos equipamentos nas instalações gerenciadas pelo SC em todo estado.
Trata-se de exigência da Portaria 3523, de 28/08/1998 do Ministério da Saúde, que aprovou procedimentos para minimizar o risco potencial à saúde dos ocupantes em ambientes climatizados por tempo prolongado.</t>
  </si>
  <si>
    <t>Dificuldade no fornecimento de aparelhos de ar condicionado para as instalações da Cemig e consequentemente, na garantia da climatização de ambientes conforme a Portaria 3523, de 28/08/1998 do Ministério da Saúde.</t>
  </si>
  <si>
    <t>Aquisição de terminal de videoconferência de alta definição</t>
  </si>
  <si>
    <t>Aquisição de baterias para os Nobreaks dos Edifícios Júlio Soares e Aureliano Chaves</t>
  </si>
  <si>
    <t>Aquisição de baterias para os Nobreaks, que possuem vida útil média de 5 anos e precisam ser substituídas de periodicamente.</t>
  </si>
  <si>
    <t>Falha completa dos nobreaks, o que pode provocar interrupção no fornecimento de energia para áreas críticas da empresa, como COS, COD e TI, e consequentemente, diversos prejuízos em falhas operacionais e multas no Sistema Elétrica da Cemig.</t>
  </si>
  <si>
    <t>Aquisição de Sistema de Proteção contra Descargas Atmosféricas (SPDA)</t>
  </si>
  <si>
    <t>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t>
  </si>
  <si>
    <t>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t>
  </si>
  <si>
    <t>Aquisição de Subestação Predial para o Quarteirão 14</t>
  </si>
  <si>
    <t>Aquisição de equipamentos para as subestações dos prédios do Quarteirão 14.</t>
  </si>
  <si>
    <t>Caso os equipamentos entrem em falha, há risco de interrupção no fornecimento de energia, acidentes e incêndio nas edificações envolvidas. Há também riscos de multas por parte da Aneel pelas irregularidades nas medições de energia.</t>
  </si>
  <si>
    <t xml:space="preserve">Kit para teste de detecção de fumaça </t>
  </si>
  <si>
    <t>Aquisição de equipamentos para testes dos sistemas de alarme e combate a incêndio das edificações.</t>
  </si>
  <si>
    <t>Dificuldade na realização das manutenções preventivas nos detectores de fumaça, e aumento na chance de falha desses detectores.</t>
  </si>
  <si>
    <t>Nº de Sistema de Segurança</t>
  </si>
  <si>
    <t>Controle de Acesso - AR</t>
  </si>
  <si>
    <t>Implantação de Cancelas com acesso eletrônico e registro de veículos no edif. Julio Soares</t>
  </si>
  <si>
    <t>Automatizar controle de entrada e saida de veículos da sede</t>
  </si>
  <si>
    <t>Permanencia de controles manuais não precisos. Histórico comprometido.</t>
  </si>
  <si>
    <t>TI/TC</t>
  </si>
  <si>
    <t>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t>
  </si>
  <si>
    <t>Belo Horizonte</t>
  </si>
  <si>
    <t>Projeto de Atualização da Versão do SAP CRM</t>
  </si>
  <si>
    <t>Prospecção Tecnológica, Desenvolvimento, Sustentação e Documentação de Sistemas de Engenharia que atendem os processos da empresa Cemig D</t>
  </si>
  <si>
    <t>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t>
  </si>
  <si>
    <t>Impacto em diversas iniciativas, paralisando as adequações de processo, desenvolvimento de novos sistemas ou módulos, implementação de automações, entre outros, impedindo a evolução das ferramentas e operações de rotina das áreas da Cemig D.</t>
  </si>
  <si>
    <t>Sustentação e Evolução G-DIS</t>
  </si>
  <si>
    <t>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t>
  </si>
  <si>
    <t>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t>
  </si>
  <si>
    <t>Sustentação e Evolução PEC</t>
  </si>
  <si>
    <t xml:space="preserve">A finalidade do projeto diz respeito ao desenvolvimento de novas funcionalidades no Portal Eletrônico de Compras – PEC, além de promover a incorporação dos módulos legados GALO e PGP ao novo portal. </t>
  </si>
  <si>
    <t>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t>
  </si>
  <si>
    <t>Barramento de Serviços G-DIS</t>
  </si>
  <si>
    <t>O projeto refere-se à criação de um barramento de serviços para o Sistema G-DIS como SOA - Service Oriented Achitecture, conforme necessidade apontada pelo Programa Conexão - Implantação de sistemas em sinergia com outras empresas do Grupo Cemig.</t>
  </si>
  <si>
    <t>Perda de sinergia no compartilhamento de serviços; despadronização de fornecedores e tecnologias; piora no tempo de resposta e no processamento das requisições; perda na distribuição de carga de solicitações em outro ambiente computacional.</t>
  </si>
  <si>
    <t>Expansão e Sustentação da AGV</t>
  </si>
  <si>
    <t>Aumentar os serviços disponíveis na Agência Virtual da Cemig</t>
  </si>
  <si>
    <t>Migração dos consumidores para canais de atendimento de maior custo para a Cemig D</t>
  </si>
  <si>
    <t>Construção de Framework de Desenvolvimento</t>
  </si>
  <si>
    <t>Elaborar e Construir um Framework de Desenvolvimento de Sistemas</t>
  </si>
  <si>
    <t>Variedade de modelos e estruturas para os novos sistemas</t>
  </si>
  <si>
    <t>Desenvolvimento do sistema PIC-Portal da Imagem Cemig</t>
  </si>
  <si>
    <t>Prover o desenvolvimento do sistema PIC - Portal da Imagem Cemig</t>
  </si>
  <si>
    <t>Gastos sem controle nos anúncios e comunicados da Empresa</t>
  </si>
  <si>
    <t>Portal Geográfico de Meteorologia</t>
  </si>
  <si>
    <t>Construção do portal com feição geográfica para visão dos eventos meteorológicos no sistema elétrico.</t>
  </si>
  <si>
    <t>Falta de funcionalidades para gestão; Ausência de informações importantes para a tomada de decisão.</t>
  </si>
  <si>
    <t>Aquisição Storage (armazenamento)</t>
  </si>
  <si>
    <t>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t>
  </si>
  <si>
    <t xml:space="preserve">Limitação da capacidade de processamento de dados das soluções da empresa. Como ressaltado, trata-se de aplicações de desempenho crítico e que, por essa razão, requerem alto nível de performance. </t>
  </si>
  <si>
    <t xml:space="preserve">Aquisição de Servidores x86 </t>
  </si>
  <si>
    <t>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t>
  </si>
  <si>
    <t>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t>
  </si>
  <si>
    <t xml:space="preserve">Aquisição/Upgrade do ambiente de backup </t>
  </si>
  <si>
    <t>Melhoria no ambiente de backup (hardware e software) para atendimento ao crescimento vegetativo e novas aplicações</t>
  </si>
  <si>
    <t>Crescimento da base de consumidores no CCS</t>
  </si>
  <si>
    <t>Crescimento vegetativo ambiente SAP</t>
  </si>
  <si>
    <t>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t>
  </si>
  <si>
    <t>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t>
  </si>
  <si>
    <t>xOmini</t>
  </si>
  <si>
    <t>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t>
  </si>
  <si>
    <t>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t>
  </si>
  <si>
    <t xml:space="preserve">Aquisição do SIEM </t>
  </si>
  <si>
    <t>Solução de Gerenciamento e Correlação de Eventos de Segurança</t>
  </si>
  <si>
    <t>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t>
  </si>
  <si>
    <t>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t>
  </si>
  <si>
    <t>NetAdmin Gerenciamento das estações de trabalho</t>
  </si>
  <si>
    <t>O projeto refere-se à contratação do licenciamento do software NetAdmin para a gestão e inventário lógico de estações de trabalho e demais ativos utilizados na rede de dados da Cemig.</t>
  </si>
  <si>
    <t>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t>
  </si>
  <si>
    <t>Licenciamento Microsoft (TrueUp Microsoft 2013)</t>
  </si>
  <si>
    <t>Renovação do contrato de licenciamento de software que contempla Windows Server, Office, etc (2015). Para os demais anos, atendimento às demandas de novos projetos</t>
  </si>
  <si>
    <t>ATLÂNTIS - Aquisição de uma plataforma GIS (Geographic Information System) para suporte aos processos da Cemig Distribuição, em substituição ao atual sistema GEMINI e aquisição da infraestrutura necessária para suportar a nova solução.</t>
  </si>
  <si>
    <t>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t>
  </si>
  <si>
    <t xml:space="preserve">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
perda da melhoria do processo de capitalização e gestão de ativos da Cemig Distribuidora.
</t>
  </si>
  <si>
    <t>Aquisição da plataforma de geoprocessamento da ESRI na modalidade ELA</t>
  </si>
  <si>
    <t>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t>
  </si>
  <si>
    <t>Projeto Implantação do e-Social</t>
  </si>
  <si>
    <t>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t>
  </si>
  <si>
    <t>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t>
  </si>
  <si>
    <t>Licenciamento de Softwares (Oracle)</t>
  </si>
  <si>
    <t>O projeto decorre da atualização de versão e licenciamento da plataforma de software de gerenciamento de banco de dados da ORACLE.</t>
  </si>
  <si>
    <t>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t>
  </si>
  <si>
    <t>Atualização da plataforma de software da Hexagon, que atende os projetos e sistemas de geoprocessamento e de gerenciamento eletrônico de documentos.</t>
  </si>
  <si>
    <t>Envelhecimento do parque de software existente na empresa; Falta de suporte para o uso dos produtos e a resolução de problemas; Degradação do ambiente e limitação da performance.</t>
  </si>
  <si>
    <t>Desenvolvimento de Sistemas Corporativos em BPMS</t>
  </si>
  <si>
    <t>Licenciamento BENTLEY</t>
  </si>
  <si>
    <t>Atualização da plataforma de software BENTLEY, ferramentas para elaboração de projetos em desenho auxiliado por computador - CAD</t>
  </si>
  <si>
    <t>Limitação da quantidade de licenças para os usuários na Cemig; Falta de suporte para o uso dos produtos e a resolução de problemas; Obsolescência dos produtos usados pela Empresa.</t>
  </si>
  <si>
    <t>Crescimento do Hardware G-DIS</t>
  </si>
  <si>
    <t>Aquisição de novos servidores  visando adequar a infraestrutura a especificação dos projetos G-DIS 2.0 e Atlantis; Permitir o crescimento vegetativo do sistema; Atendimento ao órgão regulador permitindo melhorias no batimento físico-contábil dos ativos da Cemig Distribuição.</t>
  </si>
  <si>
    <t>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t>
  </si>
  <si>
    <t xml:space="preserve">Modernização do Sistema de Aquisição de Dados e Monitoramento do COD e aquisição de EMS </t>
  </si>
  <si>
    <t>Aquisição e implantação de Sistema de Aquisição de Dados e Monitoramento com funcionalidades de EMS, OTS dentre outras definidas na Especificação Técnica, e aquisição de Sistema de Controle Backup, a ser implementado como serviço de Colocation.</t>
  </si>
  <si>
    <t>Aquisição de equipamento móvel (tablets) para inspeção, desenho de projetos e recebimento de obras de rede distribuição em campo.</t>
  </si>
  <si>
    <t>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t>
  </si>
  <si>
    <t>Integração Atlantis x GDIS</t>
  </si>
  <si>
    <t>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t>
  </si>
  <si>
    <t>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t>
  </si>
  <si>
    <t>Licenciamento Microsoft visando manter atualizada todas as versões de software Microsoft instalados na Empresa de forma a garantir a disponibilidade e a segurança das informações.</t>
  </si>
  <si>
    <t>Renovação do licenciamento Oracle UDD, que foi celebrado em 2012 e vence em 2015, quando necessita ser renovado.</t>
  </si>
  <si>
    <t>Upgrade do Software Inspetor</t>
  </si>
  <si>
    <t>Upgrade em software de Sistema de Segurança de Barragens e Manutenção Civil</t>
  </si>
  <si>
    <t>Se o sistema não for atualizado, podemos não ter equipe técnica qualificada para corrigir futuros problemas, devido à arquitetura de software e hardware antiga usada pelo mesmo.</t>
  </si>
  <si>
    <t>Holding</t>
  </si>
  <si>
    <t>Upgrade do SAP GRC Access Control</t>
  </si>
  <si>
    <t>Canais de Atendimento Cemig - AGV/AGB/AGA</t>
  </si>
  <si>
    <t>Upgrade SAP GRC Risk Management</t>
  </si>
  <si>
    <t>Aquisição de Licenças QlikView</t>
  </si>
  <si>
    <t>Migração para TAXBRA</t>
  </si>
  <si>
    <t>Migração para NFE de Entrada</t>
  </si>
  <si>
    <t>Licenciamento GE - Eletric Office</t>
  </si>
  <si>
    <t>Upgrade do Sistema FROTA</t>
  </si>
  <si>
    <t>Aquisição Solução SAP Mobile</t>
  </si>
  <si>
    <t>Aquisição do SAP TDF</t>
  </si>
  <si>
    <t>Revisão simplificada do SGO</t>
  </si>
  <si>
    <t>Este projeto atende a demanda para a revisão do Sistema de Gestão de Obras – SGO, que requer melhorias evolutivas desde sua implantação.</t>
  </si>
  <si>
    <t xml:space="preserve">Dificuldade para a gestão das obras e empreendimentos da Distribuidora; em ausência de uma revisão na modelagem de dados do sistema atual; e em baixa performance da customização, com geração de relatórios de análise inadequados. </t>
  </si>
  <si>
    <t>O projeto refere-se à prospecção, ao desenvolvimento e à implantação de soluções baseadas nas tecnologias GED, Geoprocessamento e BPM.</t>
  </si>
  <si>
    <t>O projeto atende à necessidade de evolução e desenvolvimento de softwares disponibilizados no ambiente da Intranet da Cemig.</t>
  </si>
  <si>
    <t>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t>
  </si>
  <si>
    <t>MG/NT</t>
  </si>
  <si>
    <t>Fúlvio Queiroz Barbosa</t>
  </si>
  <si>
    <t>Atualização do sistema de mídia do Auditório do Centro de Referência.</t>
  </si>
  <si>
    <t xml:space="preserve">Substituição da TV utilizada no Auditório do Centro de Referência da UHE Irapé. </t>
  </si>
  <si>
    <t>Falha e consequente ausencia de equipamento de mídia para apresentação da Usina durante Visitas da Comunidade, Prestadores de Serviço, autoridades, etc.</t>
  </si>
  <si>
    <t>Aquisição de Projetor Multimidia</t>
  </si>
  <si>
    <t>Falha e consequente falta de equipamento para execução de reuniões da equipe local.</t>
  </si>
  <si>
    <t>Daniel Bretas (31-35062945)</t>
  </si>
  <si>
    <t>Necessidade substituição de equipamentos obsoletos, visando garantir a saúde e segurança dos empregados usuários das instalações</t>
  </si>
  <si>
    <t>VÁRIAS INSTALAÇÕES DA CEMIG D</t>
  </si>
  <si>
    <t>AQUISIÇÃO DE 19 BEBEDOURO PARA REGIONAIS DA DGE - INSTALAÇÕES DA CEMIG D</t>
  </si>
  <si>
    <t>• Aumento nos custos de manutenção (despesa operacional), uma vez que os atuais equipamentos obsoletos são submetidos e reiterados consertos
• impacto direto no clima organizacional com a insatisfação e reclamação dos empregados por trabalharem em um ambiente sem o adequado fornecimento de água potável.</t>
  </si>
  <si>
    <t>AQUISIÇÃO DE 23 PROJETORES PARA REGIONAIS DA DGE - INSTALAÇÕES DA CEMIG D</t>
  </si>
  <si>
    <t>Necessidade substituição de equipamentos obsoletos, visando garantir a eficácia da comunicação quando da realização de reuniões com as equipes de trabalho</t>
  </si>
  <si>
    <t>• Aumento nos custos de manutenção (despesa operacional), uma vez que os atuais equipamentos obsoletos são submetidos e reiterados consertos
• Comprometimento de realização de reuniões de trabalho por falta de equipamento.</t>
  </si>
  <si>
    <t>AQUISIÇÃO DE ELETRODOMÉSTICOS</t>
  </si>
  <si>
    <t>AQUISIÇÃO DE 18 ELETRODOMÉSTICOS (REFRIGERADORES E FOGÕES) PARA REGIONAIS DA DGE - INSTALAÇÕES DA CEMIG D</t>
  </si>
  <si>
    <t>• Aumento nos custos de manutenção (despesa operacional), uma vez que os atuais equipamentos obsoletos são submetidos e reiterados consertos</t>
  </si>
  <si>
    <t>JUIZ DE FORA - DRENAGEM DE SOLO E ASFALTAMENTO NA ÁREA DO SERVIÇO DE CAMPO</t>
  </si>
  <si>
    <t>OBRA DE DRENAGEM, SUBSTITUIÇÃO DO ASFALTO EXISTENTE E IMPLANTAÇÃO DE ASFALTO ONDE NÃO HÁ</t>
  </si>
  <si>
    <t>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t>
  </si>
  <si>
    <t>ALMENARA E OURO PRETO - CENTRAL TELEFÔNICA PARA INSTALAÇAO DDR</t>
  </si>
  <si>
    <t xml:space="preserve">AQUISIÇÃO E INSTALAÇAO DE DDR NA CENTRAL TELEFÔNICA </t>
  </si>
  <si>
    <t>Continuidade de gastos em despesa operacional com custo mensal de Recepcionista para atendimento telefônico</t>
  </si>
  <si>
    <t xml:space="preserve">- Aumento de móveis sucateados;
- Atraso na execução dos serviços de montagem e desmontagem de mobiliário, comprometendo o planejamento ocupacional;
- Aumento de reclamações dos clientes;
-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t>
  </si>
  <si>
    <t>Total 2018</t>
  </si>
  <si>
    <t>Total 2019</t>
  </si>
  <si>
    <t>Total 2020</t>
  </si>
  <si>
    <t>Total 2021</t>
  </si>
  <si>
    <t>Total 2022</t>
  </si>
  <si>
    <t>Total Geral</t>
  </si>
  <si>
    <t>Distribuição Total</t>
  </si>
  <si>
    <t>2018</t>
  </si>
  <si>
    <t>2019</t>
  </si>
  <si>
    <t>2020</t>
  </si>
  <si>
    <t>2021</t>
  </si>
  <si>
    <t>2022</t>
  </si>
  <si>
    <t xml:space="preserve"> Total
2018/22</t>
  </si>
  <si>
    <t>AR - Construção de muro de arrimo, passeio e sistema de drenagem</t>
  </si>
  <si>
    <t>Contratação de projetos executivos e construção de muro de arrimo, sistema de drenagem e passeio externo no estacionamento adjascente ao P21 no AR</t>
  </si>
  <si>
    <t>Tombamento do muro de toras de madeira, podendo ocasionar danos materiais e acidentes de trabalho.</t>
  </si>
  <si>
    <t>Equipamentos para cozinhas, refeitórios e restaurantes</t>
  </si>
  <si>
    <t>Aquisição de equipamentos para cozinhas, refeitórios e restaurantes das unidades prediais administrativas da região metropolitana de Belo Horizonte sob gestão da Infraestrutura - SC</t>
  </si>
  <si>
    <t xml:space="preserve">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t>
  </si>
  <si>
    <t>Tombamento do muro; acidente com empregados e terceiros; danificar ativos da Cemig; deslizamento de solo</t>
  </si>
  <si>
    <t>CDI - Sete Lagoas - Execução de reforço do talude e obra de drenagem</t>
  </si>
  <si>
    <t>Reforço do talude, demolição da escada externa e reforma do sistema de drenagem no CDI-Sete Lagoas</t>
  </si>
  <si>
    <t>Queda da caixa de escada; desmoronamento do talude em que os caminhões de linha viva estacionam; transbordamento do sistema de drenagem pluvial e alagamento do pátio de estacionamento externo; enxurradas em épocas de chuva</t>
  </si>
  <si>
    <t>CDI - Sete Lagoas - Execução de bacia de contenção coberta</t>
  </si>
  <si>
    <t>Obra de bacia de contenção em concreto armado impermeabilizada com cobertura e fechamento lateral metálicos</t>
  </si>
  <si>
    <t>Contaminação do solo por óleo; passivo ambiental</t>
  </si>
  <si>
    <t>Rompimento de tubulações; interrupção de abastecimento em local de trabalho; contaminação em água potável; atendimentos emergenciais aos vazamentos; dificuldade para manutenção; impacto em outros sistemas construtivos, aumentando custo de manutenção</t>
  </si>
  <si>
    <t>M² de obra</t>
  </si>
  <si>
    <t>Ormindo Coutinho Filho</t>
  </si>
  <si>
    <t>Aquisição de Guindaste Hidráulico Veicular e Carroceria modular metálica p/ RDS</t>
  </si>
  <si>
    <t>Aquisição de tanques para combustível</t>
  </si>
  <si>
    <t>Atualização tecnológica do tanque de combustível, já que o atual está validade ultrapassada e requer inspeções trimestrais (despesa operacional)</t>
  </si>
  <si>
    <t>EA/EP</t>
  </si>
  <si>
    <t>Afonso Vanderlei Nunes Barbosa</t>
  </si>
  <si>
    <t xml:space="preserve">Modernização do parque tecnológio da EA/EP para serviços topográficos </t>
  </si>
  <si>
    <t>Modernização do parque tecnológio da EA/EP para serviços geodésicos.</t>
  </si>
  <si>
    <t>EA/EL</t>
  </si>
  <si>
    <t>José William Campomizzi</t>
  </si>
  <si>
    <t>EA/EO</t>
  </si>
  <si>
    <t>Beline Q. A. Fonseca</t>
  </si>
  <si>
    <t>Thais Freire</t>
  </si>
  <si>
    <t>Aquisição de medidores de qualidade de energia classe A para atendimento aos requisitos dos Procedimentos de Rede e da revisão 8 do Módulo 8 do PRODIST.</t>
  </si>
  <si>
    <t>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t>
  </si>
  <si>
    <t>Flavio Henrique M. Vieira</t>
  </si>
  <si>
    <t xml:space="preserve">Equipamento analisador de nível de sinal celular - AQS </t>
  </si>
  <si>
    <t>Ferramentas e equipamentos para Laboratório de testes de equipamentos  em Uberlândia</t>
  </si>
  <si>
    <t xml:space="preserve">Laboratório para homologação de equipamentos de automação </t>
  </si>
  <si>
    <t>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t>
  </si>
  <si>
    <t>EM/CE</t>
  </si>
  <si>
    <t>Compra de ferramentas para as equipes de projetos e obras de resdes BT/MT(recomposição, prospecção)</t>
  </si>
  <si>
    <t>Equipes produzindo menos</t>
  </si>
  <si>
    <t>GR/PC</t>
  </si>
  <si>
    <t>Ronaldo Oliveira</t>
  </si>
  <si>
    <t>Aquisição Microcoletores</t>
  </si>
  <si>
    <t>Equipamento para leitura de consumo dos cosumidores do mercado cativo</t>
  </si>
  <si>
    <t>Não faturamento, afetando diretamente o caixa da empresa
Descomprimento da regulação - Multa</t>
  </si>
  <si>
    <t>Aquisição Berço</t>
  </si>
  <si>
    <t>Aquisição Impressora</t>
  </si>
  <si>
    <t xml:space="preserve">Sistema de Inteligência de Negócios de Distribuição </t>
  </si>
  <si>
    <t>Criação de  ferramentas analíticas para disponibilização de informações gerenciais e estrategicas as áreas de Negocio da Distribuição</t>
  </si>
  <si>
    <t>Incapacidade de análise de dados estratégicos da distribuição reduzindo as informações para decisões importantes para os ganhos de negócio da empresa.</t>
  </si>
  <si>
    <t>Aquisição de 2 computadores do tipo Notebook.</t>
  </si>
  <si>
    <t xml:space="preserve">Aquisição de 2 licenças de  Software analisador de protocolos Industriais e redes Ethernet industriais
</t>
  </si>
  <si>
    <t>Contribui para a morosidade na identificação de problemas de integração de equipamentos e conexão via redes de automação das novas SEs.</t>
  </si>
  <si>
    <t>Aquisição de 4 computadores  Notebook.</t>
  </si>
  <si>
    <t>SADNET</t>
  </si>
  <si>
    <t>Aquisição e implantação de Sistema de coleta, tratamento de registros oscilográficos e localização de faltas em subestações, linhas e redes de distribuição</t>
  </si>
  <si>
    <t>Não redução do custos de Opex com serviço de campo para  análise e localização de faltas e ocorrências no SEP. Degradação dos indicadores de qualidade, dentre eles o DEC</t>
  </si>
  <si>
    <t>Sistema Nix</t>
  </si>
  <si>
    <t>Aquisição e implantação de sistema Solução Inteligente para Estudos de Proteção de Sistemas de Distribuição de Energia Elétrica</t>
  </si>
  <si>
    <t>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t>
  </si>
  <si>
    <t>Sistema de selfhealing descentralizado</t>
  </si>
  <si>
    <t xml:space="preserve">Aquisição e implantação de sistema de selfhealing descentralizado para 800 equipamentos telecontrolados da rede de Média Tensão </t>
  </si>
  <si>
    <t>Não redução do custos de Opex com serviço de campo nas ocorrências no SEP. Não será capturado melhoria dos indicadores de qualidade, dentre eles o DEC</t>
  </si>
  <si>
    <t xml:space="preserve">Integração da rede de oscilografia das subestações </t>
  </si>
  <si>
    <t xml:space="preserve"> Aquisição de infraestrutura de conectividade para permitir acesso remoto aos dados dos IEDS visando oscilografia das subestações</t>
  </si>
  <si>
    <t>Elevação de custos de OPEX com serviço de campo para  análise e  localização de faltas e ocorrências no SEP. Não será capturado melhoria dos indicadores de qualidade, dentre eles o DEC</t>
  </si>
  <si>
    <t>Sistema de gestão e monitoramento  da integração de comunicação do sistema SCADA</t>
  </si>
  <si>
    <t>Aquisição de sistema de gestão e monitoramento  da integração de comunicação do sistema SCADA</t>
  </si>
  <si>
    <t xml:space="preserve"> Elevação da indisponibilidade do telecontrole das SEs com forte impacto na operação do sistema elétrico e  degradação dos indicadores de qualidade, dentre eles o DEC. </t>
  </si>
  <si>
    <t>Integração CIM - COD para falta de energia</t>
  </si>
  <si>
    <t xml:space="preserve"> A integração do CIM com GDIS visa o registro e a criação notas para o restabelecimento da falta de energia na unidade consumidora</t>
  </si>
  <si>
    <t>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t>
  </si>
  <si>
    <t xml:space="preserve">Integração em ambiente de produção do sistema Landis+GYr do projeto  Cidades do Futuro (P&amp;D 423) visando disponibilizar funções de leitura e corte/religa automatizados </t>
  </si>
  <si>
    <t>Existe necessidade de investimento para desenvolvimento de integrações com o sistema MECE e SAP/CCS para   automatização da leitura dos medidores e de corte/religa</t>
  </si>
  <si>
    <t>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t>
  </si>
  <si>
    <t>Aquisição do Sistema Cyme</t>
  </si>
  <si>
    <t>O projeto consiste na contratação do fornecimento, manutenção e suporte de aplicativos especializados para cálculos e análise de sistemas de distribuição de energia elétrica a serem disponibilizados em rede.</t>
  </si>
  <si>
    <t>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
Descontinuidade dos Dados históricos de demanda, existentes desde 1984, comprometendo a projeção da distribuição espacial da carga e consequente a otimização dos investimentos.
Não otimização da rede implicando em aumento de Perdas Técnicas, investimentos adicionais, violação de Requisitos Regulatórios como DEC, DIC/FIC/DMIC, DRC/DRP, perda de Flexibilidade Operativa.
A atual quantidade de licenças Cyme é insuficiente para permitir a produção adequada das equipes de Planejamento, Operação e Engenharia, ocasionando descumprimento dos prazos regulatórios.
Continuidade do dispêndio de Hh com o processo de obtenção e validação de dados, já que os casos ajustados ficam disponíveis apenas nas estações de trabalho.</t>
  </si>
  <si>
    <t>Regularização de Pendência com Imóveis - Distribuição</t>
  </si>
  <si>
    <t>x</t>
  </si>
  <si>
    <t>Lousa eletronica CM 907914</t>
  </si>
  <si>
    <t>2 Motoserras -Motopoda  TUC 230 (Equipamento de Oficina)</t>
  </si>
  <si>
    <t>Oscilógrafo TDR900 DOBLE TUC 230 (Equipamentos de Laboratórios)</t>
  </si>
  <si>
    <t>CPO</t>
  </si>
  <si>
    <t>TI02115</t>
  </si>
  <si>
    <t>TI01016</t>
  </si>
  <si>
    <t>NA</t>
  </si>
  <si>
    <t>TI02516</t>
  </si>
  <si>
    <t>Sistema de Gestão de Serviços Corporativos em BPMS</t>
  </si>
  <si>
    <t>TI02616</t>
  </si>
  <si>
    <t>Em R$mil - Moeda constante de Junho/17</t>
  </si>
  <si>
    <t>Demora no restabelecimento de linhas de transmissão, onde não é possivel comunicar com a equipe, Risco de não execução de serviços e permanência da equipe na instalação sem poder executar manutenções em linhas de transmissão.</t>
  </si>
  <si>
    <t>Construção de ferramentaria para EMLT Ituiutaba</t>
  </si>
  <si>
    <t>Danos ao ferramental da equipe devido ao mal acondicionamento e riscos de lesões devido à posturas inadequadas</t>
  </si>
  <si>
    <t>Risco de acidentes com a população, vandalismo, invasões e roubos na instalação</t>
  </si>
  <si>
    <t>Perfuração de um novo Poço artesiano</t>
  </si>
  <si>
    <t>Faltar água na SE São Gotardo 2.</t>
  </si>
  <si>
    <t>Aquisição de sistema de monitormamento por câmeras, video porteiro com vigilancia eletronica, sistema de intrusão e sensores</t>
  </si>
  <si>
    <t>Furtos, roubos, perdas materiais e risco à integridade das pessoas da instalação</t>
  </si>
  <si>
    <t>Substituição de toda a malha hidráulica dos prédios dentro das unidades AR, CI, IT e SE-NA dentro dos novos padrões de mercado e de produto</t>
  </si>
  <si>
    <t>Substituição do sistema de abastecimento de água das unidades AR, CI, IT e SE-NA</t>
  </si>
  <si>
    <t>Atendimento de Telecom da Base Operativa do São Gabriel</t>
  </si>
  <si>
    <t>Perda do Sistema de Telefonia para os usuários do São Gabriel e/ou multa contratual</t>
  </si>
  <si>
    <t>Substituição de Veículos da Diretoria Executiva - Distribuição</t>
  </si>
  <si>
    <t>Substituição de Veículos da Diretoria Executiva - Geração</t>
  </si>
  <si>
    <t>Substituição de Veículos da Diretoria Executiva - Transmissão</t>
  </si>
  <si>
    <t>Nº Veículos</t>
  </si>
  <si>
    <t>MS/LA</t>
  </si>
  <si>
    <t>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t>
  </si>
  <si>
    <t>Transferência de Base Operativa da MD/MM do Itambé para o Anel Rodoviário e Barro Preto (Projeto de Centralização Administrativa)</t>
  </si>
  <si>
    <t>Otimização dos Ativos de Montes Claros</t>
  </si>
  <si>
    <t>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t>
  </si>
  <si>
    <t xml:space="preserve">Não cumprimento de meta estabelecida no Projeto de Centralização Administrativa da Cemig no Edifício Aureliano Chaves, relativa à obtenção de receita com a alienação do prédio Itambé. </t>
  </si>
  <si>
    <t>Alienação do compartilhado e transferência das atividades para o imóvel situado no bairro Vila Mauricéia e locação de imóvel para agência. Adequação do imóvel para recebimento da equipe.</t>
  </si>
  <si>
    <t>Construção de Laboratório de Ensaios de Materiais da MS/QL em novo CDM.</t>
  </si>
  <si>
    <t>Q14/P2 e 3 e P2/Adelaide - Obra de recuperação estrutural e instalações</t>
  </si>
  <si>
    <t>Ruído elevado, calor excessivo no ambiente de trabalho, prejudicando o desempenho dos empregados.
Risco de falha e danos nos equipamentos digitais por alta temperatura e condiçoes ergonômicas desfavoráveis, baixa qualidade do ar, desconforto térmico.</t>
  </si>
  <si>
    <t>Aquisição de 4 Bebedouro industrial inox reservatório 50 litros</t>
  </si>
  <si>
    <t>Não atender as normas de saúde e segurança.
Indisponibilidade de água filtrada e refrigerada para equipes de manutenção de campo. Necessidade de comprar grande volume de água mineral refrigerada para equipes durante serviços em campo.</t>
  </si>
  <si>
    <t>Construção de ferramentaria</t>
  </si>
  <si>
    <t>Aquisição e instalação de Sistema de vigilância</t>
  </si>
  <si>
    <t xml:space="preserve">Comprometimento da produtividade, segurança e condições ergonômicas para a realização das atividades de manutenção do sistema elétrico;
Falta de ferramentas de trabalho para as equipes de manutenção, e a não adequação legal, comprometendo a segurança de empregados e a produtividade das equipes;
Manter na frota veículos obsoletos, com alto índice de indisponibilidade, podendo até mesmo comprometer a segurança dos empregados e sua produtividade.
</t>
  </si>
  <si>
    <t>Aquisição de 04 Cestas aérea para trabalho em Linha viva 345/500 kV até 18m em substituição as extensões isolantes para grua.</t>
  </si>
  <si>
    <t>Aquisição de 04 cestas aéreas</t>
  </si>
  <si>
    <t>Multas do MTE; Restrição de ferramentas para execução de serviços em linha viva; elevação dos custos de Parcela Variável.</t>
  </si>
  <si>
    <t>José Flávio/Amaro Freitas</t>
  </si>
  <si>
    <t xml:space="preserve">SEMIRREBOQUE MODULAR, ARTICULADO, DE 6 LINHAS DE EIXO,  SUSPENSÃO HIDRÁULICA DIRECIIONAL, PERCOÇO ARTICULADO, PARA TRANSPORTE DE CARGAS INDIVISÍVEIS E EXCEDENTES DE PESO E/OU DIMENSÕES PARA ATENDIMENTO AO SISTEMA ELÉTRICO DE POTÊNCIA; </t>
  </si>
  <si>
    <t>CONJUNTO COM INTENSIFICADOR DE PRESSÃO HIDRAULICO COMPOSTO DE MANÔMETRO, SISTEMA DE DUPLA AÇÃO, COM VALVULA REGULADORA DE PRESSÃO DE 4 VIAS, 3 POSICOES /FUNÇOES DA VALVULA: AVANÇO / RETENÇÃO/ RETORNO, DE VAZÃO  44 pol³ / min, PESO: 7,26 Kg;</t>
  </si>
  <si>
    <t>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Aplicação de multas expressivas à Cemig, por interrupção do fornecimento de energia a consumidores em limites exorbitantes, fora dos previstos em lei, com impactos diretos no DEC, FEC, DIC e DMIC.</t>
  </si>
  <si>
    <t>Otimização dos Ativos de Lavras para atendimento da Cemig GT</t>
  </si>
  <si>
    <t>Samuel Matos</t>
  </si>
  <si>
    <t>Não redução de despesa operacional, relativa à locação de imóvel para a Cemig GT, no município de Lavras.</t>
  </si>
  <si>
    <t>Evandro Jardim</t>
  </si>
  <si>
    <t>Otimização dos Ativos de Ipatinga para atendimento da Cemig GT</t>
  </si>
  <si>
    <t>Não redução de despesa operacional, relativa à locação de imóvel para a Cemig GT, no município de Ipatinga.</t>
  </si>
  <si>
    <t>Loan Lauar</t>
  </si>
  <si>
    <t>Adequação do Q14 - Cidade Industrial</t>
  </si>
  <si>
    <t xml:space="preserve">Adequação do Anel Rodoviário </t>
  </si>
  <si>
    <t>Adequação do Patio de Trafos e cumprimento do condicionante - CDA Igarapé</t>
  </si>
  <si>
    <t xml:space="preserve">Instalação de catracas na entrada principal e P21 do AR (depende do projeto de Infra.
Infraestrutura para implantação de controle de acesso - AR
Instalação de infraestrutura para recebimento de controle de acesso no AR - Projeto elaborado
</t>
  </si>
  <si>
    <t>Perda do controle da pontualidade dos empregados. Dificuldade no controle do fluxo de pessoas na unidade.
Impossibilidade de implantação  do sistema eletrônico de controle de acesso. Dificuldade no controle do fluxo de pessoas na unidade.</t>
  </si>
  <si>
    <t>Aquisição de 2 lavadoras</t>
  </si>
  <si>
    <t>Aquisição de uma lavadora de alta pressão e uma jateadora</t>
  </si>
  <si>
    <t>Aumento com despesas com água.
Acúmulo de óleo no chão, apresentando risco de queda de pessoas.</t>
  </si>
  <si>
    <t>MT/CN MT/LE</t>
  </si>
  <si>
    <t>MT/CN MT/SE MT/LE MT/TA</t>
  </si>
  <si>
    <t>MT/LE MT/SE</t>
  </si>
  <si>
    <t>MT/TA</t>
  </si>
  <si>
    <t>MT/CN MT/TA</t>
  </si>
  <si>
    <t>MT/CN MT/SE</t>
  </si>
  <si>
    <t>MT/TA MT/SE</t>
  </si>
  <si>
    <t>SUBSTITUIÇÃO DO TELHADO EXISTENTE, QUE ESTÁ MUITO DANIFICADO - BLOCO B, COMPREENDIDO PELA OFICINA, EQUIPES DA MD/UL, SA/SE E TI/TC</t>
  </si>
  <si>
    <t>Aumento nos custos de manutenção (despesa operacional), danos a bens da Companhia quando de chuvas e vazamento dentro da instalação, impacto direto no clima organizacional com a insatisfação e reclamação dos empregados</t>
  </si>
  <si>
    <t xml:space="preserve">SUBSTITUIÇÃO COMPLETA DE TELHADO  </t>
  </si>
  <si>
    <t>SUBSTITUIÇÃO DO TELHADO E MADEIRAMENTO DO PRÉDIO</t>
  </si>
  <si>
    <t>UBERLÂNDIA - SUBSTITUIÇÃO TELHADO NO CRIU</t>
  </si>
  <si>
    <t xml:space="preserve">SÃO JOÃO DEL REI - SUBSTITUIÇÃO DE TELHADO  </t>
  </si>
  <si>
    <t>ITAJUBÁ - SUBSTITUIÇÃO DO TELHADO E MADEIRAMENTO DO PRÉDIO</t>
  </si>
  <si>
    <t>1-3-1-1 Edificações e Complementos G - Irapé</t>
  </si>
  <si>
    <t>Aquisição de 5 TV LED</t>
  </si>
  <si>
    <t>Aquisição de 5 TV LED 40' com entrada HDMI</t>
  </si>
  <si>
    <t>Precarização da segurança da instalação, dificuldade de ministrar treinamentos, não conformidade em auditorias do SIG devido à qualidade/entendimento dos treinamentos e apresentações para visitantes.</t>
  </si>
  <si>
    <t>Obra de instalação do sistema de combate a incêndio, Sistema de Proteção conta Descargas Atmosféricas - SPDA e substituição de telhado.</t>
  </si>
  <si>
    <t>Infiltração do telhado podendo avariar equipamentos e materiais; segurança em relação a combate a incêndio, SPDA e instalações elétricas</t>
  </si>
  <si>
    <t>Aquisição de sistemas de vídeoconferência para localidades que ainda não o possuem.</t>
  </si>
  <si>
    <t>Impossibilidade de conectividade de todas as unidades ao sistema de videoconferência que já dispõem do serviço.                        Impossibilidade para implantação de VC em novas localidades.                               Dificuldade na reposição de equipamentos defeituosos.</t>
  </si>
  <si>
    <t xml:space="preserve">Aquisição de Sistema multiponto RPCS VE  Equipado para 40 conexões HD ou 80 conexões SD </t>
  </si>
  <si>
    <t>Aquisição de um sistema conexão multiponto para modernização e ampliação e substituição da unidade MCU - MGC 10,0 em utilização atualmente no sistema de videoconferência da Cemig.</t>
  </si>
  <si>
    <t>Impossibilidade de conexão entre todos os terminais de sistema de videoconferência. Negativa do fafricante Polycom, em prestar manutenção corretiva na MGC 100, por se tratar de equipamento ultrapassado e sem peças de reposição.</t>
  </si>
  <si>
    <t>2 Medidores de distância a laser, modelo com tecnologia wi-fi.</t>
  </si>
  <si>
    <t>Aquisição de equipamentos para montagem do laboratório de homologação de equipamentos de automação na cidade industrial Q14</t>
  </si>
  <si>
    <t>Instrumentação Elétrica - Termômetro</t>
  </si>
  <si>
    <t>GLE-INV-PPE- Aquisição de equipamento bomba manual</t>
  </si>
  <si>
    <t>GLE-INV-PPE- Aquisição de equipamento macaco hidraúlico 10T</t>
  </si>
  <si>
    <t>GLE-INV-PPE- Aquisição de equipamento macaco hidraúlico 20T</t>
  </si>
  <si>
    <t>GLE-INV-PPE Aquisição de equipamento medidor relação transformador
SAP-IW33-CPDE-1600001866</t>
  </si>
  <si>
    <t>GLE-INV-PPE- Aquisição de equipamento medidor resistência ohmica
SAP-IW33-CPDE-1600001867</t>
  </si>
  <si>
    <t>Aquisição de 01 Calibrador de Processo FLUKE - MG/OE</t>
  </si>
  <si>
    <t xml:space="preserve">Aquisição de 01 Drone + baterias </t>
  </si>
  <si>
    <t xml:space="preserve">1 Drone + baterias </t>
  </si>
  <si>
    <t>Usinas - Aquisição de Transdutor de deslocamento diferencial variável linear (LVDT's de comprimentos diversos)</t>
  </si>
  <si>
    <t>Usinas - Aquisição de Sensor de rotação</t>
  </si>
  <si>
    <t>Usinas - Aquisição de Coletor analisador portátil de dados de vibração para a PO/MG</t>
  </si>
  <si>
    <t>Aquisição de 04 Notebooks UTIG</t>
  </si>
  <si>
    <t>Aquisição de Projetor Multimídia</t>
  </si>
  <si>
    <t>HSU-INV-PPE- Aquisição de refrigerador vertical 280L</t>
  </si>
  <si>
    <t>HSU-INV-PPE- Aquisição de ar condicionado</t>
  </si>
  <si>
    <t>GLE-INV-PPE- Aquisição de Equipamento projetor multimídia</t>
  </si>
  <si>
    <t>Aquisição de Ar Condicionado UTIG</t>
  </si>
  <si>
    <t>Aquisição de 02 Aparelhos de ar condicionado cassete 48000 BTU - UHNP</t>
  </si>
  <si>
    <t>Aquisição de Equipamentos para cozinhas, refeitórios e restaurantes</t>
  </si>
  <si>
    <t>Renovação da frota de veículos da Diretoria Executiva - Geração</t>
  </si>
  <si>
    <t>Renovação da frota de veículos da Diretoria Executiva - Transmissão</t>
  </si>
  <si>
    <t>Renovação da frota de veículos da Diretoria Executiva - Distribuição</t>
  </si>
  <si>
    <t>Aumento de despesas com manutenção, indisponibilidade dos veículos.</t>
  </si>
  <si>
    <t>Instalar nos caminhões equipamentos hidraulicos para movimentação, içamento e remoção, que permite carregar, transportar e descarregar equipamentos</t>
  </si>
  <si>
    <t>Comprometer a qualidade dos serviços prestados e  a produtividade das equipes de Rede de Distribuição Subterrânea</t>
  </si>
  <si>
    <t>Aquisição de Caminhão para instalação da cesta aérea isolada para 138KV</t>
  </si>
  <si>
    <t>Aquisição de caminhão para instalação da cesta aérea isolada para 138 kV</t>
  </si>
  <si>
    <t>Disponibilizar ferramentas de trabalho para as equipes de manutenção, com intuito de substituir equipamento obsoleto e  aumentar a produtividade das equipes.</t>
  </si>
  <si>
    <t>Comprometer a produtividade das equipes e atendimento aos indices de qualidade de fornecimento da Alta Tensão.</t>
  </si>
  <si>
    <t>Nº de Caminhões</t>
  </si>
  <si>
    <t>Aquisição de carroceria para caminhão com cesta aérea 138KV e montagem de carroceria</t>
  </si>
  <si>
    <t>Aquisição de carroceria para caminhão com cesta aérea 138 kV e Montagem da carroceria</t>
  </si>
  <si>
    <t>Aquisição de cesta aérea 138KV</t>
  </si>
  <si>
    <t>Aquisição de cesta Aérea para Trabalhos em Linha Viva 138KV</t>
  </si>
  <si>
    <t>Aquisição de Retroescavadeira compacta</t>
  </si>
  <si>
    <t>Aquisição de Retroescavadeira compacta para manutenção da via de acesso para trabalho das equipes de Linhas de Distribuição</t>
  </si>
  <si>
    <t>Comprometer a produtividade das equipes, atendimentos emergenciais e aumentar a utilização de recursos de despesas.</t>
  </si>
  <si>
    <t>Comprometer a produtividade das equipes da rede de distribuição subterrânea</t>
  </si>
  <si>
    <t>Aquisição de cesto aéreo acoplado com braço suplementar isolado 138kV</t>
  </si>
  <si>
    <t>Aumento da despesa operacional.</t>
  </si>
  <si>
    <t>Aquisição de ferramentas para as equipes das gerências de manutenção e serviços de campo da MD</t>
  </si>
  <si>
    <t>Comprometer a produtividade das equipes, a qualidade dos serviços prestados  e atendimento aos indices de qualidade de fornecimento da Distribuição.</t>
  </si>
  <si>
    <t xml:space="preserve">Aquisição de equipamentos como plataformas aérea articuladas e guindastes para o processo de manutenção da Transmissão.
Aquisição (físico):
- 5 (cinco) Guindastes até 14 toneladas para instalação em caminhão existente;
- 1 (um) Guindaste até 23 toneladas para instalação no caminhão existente com opcionais de guincho e controle remoto. (preço Hyva);
- 5 (cinco) Guindastes até 23 toneladas para instalação no caminhão existente com opcionais de guincho e controle remoto;
- 2 (duas) Plataformas aéreas articuladas  20 metros;
- 3 (três) Plataformas aéreas articuladas, máxima altura (Acima de 14m);
- 2 (dois) Veículos para instalação da plataforma.
Necessidade de substituição dos atuais equipamentos pelos seguintes problemas:
-Cesto simples, apenas um executante, aumento no tempo de execução das tarefas.
-Dificuldade de entrar ao cesto, risco de queda. Foto 1.
-Limite de altura do Cesto simples de 10 metros, insuficiente para acesso aos equipamentos acima de 345kV e alguns equipamentos de 230kV.
-Cesto simples sem acesso ao piso. Caso ocorra queda de alguma ferramenta ou material no piso do cesto é necessário baixar a lança até o solo. Foto 1.
-Movimentos bruscos da lança, não linear, principalmente no início do movimento tem provocado aumento no tempo de posicionamento dos equipamentos içados e consequentemente possibilidade de danos aos equipamentos e risco para pessoas. 
-Falta de articulações na lança, dificultando o acesso nos equipamentos e nas manobras nos pátios de 138 kV, aumentando o tempo de execução com perda de produtividade. Cestas Masal possui apenas uma articulação, foto 2.
-Acidente com a equipe da CEMIG-D na cidade de Lafaiete, provocou recall, falha de projeto, em todas as cestas aéreas, provocando transtorno nas equipes e reprogramação de diversos serviços.
</t>
  </si>
  <si>
    <t>Aquisição de uma máquina fotográfica Semi profissional</t>
  </si>
  <si>
    <t>Modernização do Parque Microinformática D</t>
  </si>
  <si>
    <t xml:space="preserve">Licenciamento IBM Sterling
</t>
  </si>
  <si>
    <t>Renovação das licenças do software HP SERVICE MANAGER.</t>
  </si>
  <si>
    <t>Construção de um sistema para a área de serviços corporativos compartilhados, baseado na modelagem de processo de negócio; Padronização e Unificação de ferramentas usadas nos processos assumidos pela superintendência SC.</t>
  </si>
  <si>
    <t>Baixa produtividade das equipes centralizadas; Falta de padronização das ferramentas utilizadas; Demora no atendimento aos serviços corporativos compartilhados.</t>
  </si>
  <si>
    <t>TI01816</t>
  </si>
  <si>
    <t>Aquisição de Equipamento Móvel para Inspeção de Rede</t>
  </si>
  <si>
    <t>Sistema de Gestão de Árvores - GDIS AR</t>
  </si>
  <si>
    <t>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t>
  </si>
  <si>
    <t>Não efetuar gestão e priorização de podas e limpezas de faixa de maneira eficiente incorrendo em riscos de utilização de orçamento disponível de forma empírica e pouco eficaz.</t>
  </si>
  <si>
    <t xml:space="preserve">                         -  </t>
  </si>
  <si>
    <t>Aquisição de uma central telefônica para migração do Sistema de Telecomunicações da Sala de Telecomunicações para a Sala de Telefonia.</t>
  </si>
  <si>
    <t>Sistemas de Ar Condicionado da Distribuidora</t>
  </si>
  <si>
    <t>Aquisição de Sistemas de Ar Condicionado da Distribuidora para estações de comunicação</t>
  </si>
  <si>
    <t>Queima dos equipametos de comunicaçõ por temperatura alta nas estações de comunicação</t>
  </si>
  <si>
    <t>Sistemas de Balisamento Noturno da Distribuidora</t>
  </si>
  <si>
    <t>Aquisição de Sistemas de Balisamento Noturno da Distribuidora para estações de comunicação</t>
  </si>
  <si>
    <t>Colisão de aeronaves, multas pelos órgãos competentes</t>
  </si>
  <si>
    <t>Bancos de Baterias da Distribuidora</t>
  </si>
  <si>
    <t>Aquisição de conjuntos de Bancos de Baterias da Distribuidora para estações de comunicação</t>
  </si>
  <si>
    <t>Perda de comunicação por falta de alimentação comercial, penalidades previstas em copntrato</t>
  </si>
  <si>
    <t>Centrais Telefônicas da Distribuidora</t>
  </si>
  <si>
    <t>Aquisição de Centrais Telefônicas da Distribuidora</t>
  </si>
  <si>
    <t>Falha de comunicação com as equipes regionais, aumento do custo de O&amp;M</t>
  </si>
  <si>
    <t>Equipamentos de Linha Óptica da Distribuidora</t>
  </si>
  <si>
    <t>Aquisição de Equipamentos de Linha Óptica da Distribuidora para estações de comunicação</t>
  </si>
  <si>
    <t>Ferramentas manual da Distribuidora</t>
  </si>
  <si>
    <t>Aquisição Ferramentas manual da Distribuidora para suporte e manutenação em estações de comunicação</t>
  </si>
  <si>
    <t>Aumento de tempo de reparo, riscos ergométricos</t>
  </si>
  <si>
    <t>Fontes de Alimentação da Distribuidora</t>
  </si>
  <si>
    <t>Instrumentos da Distribuidora</t>
  </si>
  <si>
    <t>Aquisição de Instrumentos da Distribuidora  para suporte e manutenção em estações de comunicação</t>
  </si>
  <si>
    <t>Auemento do tempo de reparo, risco de queima de equipamentos por uso de instrumentos inadequados</t>
  </si>
  <si>
    <t>Multiplexadores da Distribuidora</t>
  </si>
  <si>
    <t>Aquisição de Multiplexadores da Distribuidora para estações de comunicação</t>
  </si>
  <si>
    <t>Sistemas Rádios da Distribuidora</t>
  </si>
  <si>
    <t>Aquisição de Sistemas Rádios da Distribuidora para estações de comunicação</t>
  </si>
  <si>
    <t>Remotas de Telecontrole da Distribuidora</t>
  </si>
  <si>
    <t>Aquisição de Remotas de Telecontrole da Distribuidora para estações de comunicação</t>
  </si>
  <si>
    <t>Redes Ópticas da Distribuidora</t>
  </si>
  <si>
    <t>Construção de Redes Ópticas da Distribuidora para interligação ao backbone de comunicação e redução de alugueis de links</t>
  </si>
  <si>
    <t>Redes Ópticas da Transmissora</t>
  </si>
  <si>
    <t>Construção de Redes Ópticas da Geradora para interligação ao backbone de comunicação</t>
  </si>
  <si>
    <t>Perda de comunicação por falta de alimentação comercial, penalidades previstas em contrato</t>
  </si>
  <si>
    <t>Redes Ópticas da Geradora</t>
  </si>
  <si>
    <t>Impacto no atendimento aos clientes; Defasagem tecnológica;</t>
  </si>
  <si>
    <t>TI01715</t>
  </si>
  <si>
    <t>TI02515</t>
  </si>
  <si>
    <t>TI02316</t>
  </si>
  <si>
    <t>TI00617</t>
  </si>
  <si>
    <t>Desenvolvimento de um barramento de serviços comerciais usando a Arquitetura Orientada a Serviços - SOA</t>
  </si>
  <si>
    <t>TI00517</t>
  </si>
  <si>
    <t>TI00417</t>
  </si>
  <si>
    <t>TI01317</t>
  </si>
  <si>
    <t>Descumprimento contratual perante a SAP</t>
  </si>
  <si>
    <t>Uso de software não adequado para a geração de informaçãoes ao órgão regulador</t>
  </si>
  <si>
    <t>Término de suporte prestado pelo fabricante</t>
  </si>
  <si>
    <t>TI01813</t>
  </si>
  <si>
    <t>Licenciamento SAS</t>
  </si>
  <si>
    <t>Atualização da plataforma de software do instituto SAS em uso da empresa, para atendimento aos requisitos regulatórios.</t>
  </si>
  <si>
    <t>Defasagem tecnológica perante o software usado no setor de energia para atendimento regulatório.</t>
  </si>
  <si>
    <t>TI02217</t>
  </si>
  <si>
    <t>Desenvolvimento GEDEX</t>
  </si>
  <si>
    <t>Desenvolvimento da solução GEDEX</t>
  </si>
  <si>
    <t>Indisponibilidade das soluções tecnológicas para todos os usuários; Atrasos nos procedimentos e processos das equipes nas áreas de negócio; Ociosidade dos usuários que ficam aguardando a liberação das licenças em uso (fila de espera).</t>
  </si>
  <si>
    <t>Aquisição Solução REINF</t>
  </si>
  <si>
    <t>Aquisição da solução para atendimento à obrigação junto à RFB, relativa a Escrituração Fiscal Digital - REINF</t>
  </si>
  <si>
    <t>Descumprimento de obrigações perante órgão federais.</t>
  </si>
  <si>
    <t>Criação de soluções baseadas nos fluxos criados pela notação de modelagem de processo de negócios - BPM</t>
  </si>
  <si>
    <t>Falta de otimização e evolução para os processos empresariais</t>
  </si>
  <si>
    <t>Atualização da versão do software de gerenciamento de acessos da SAP - Access Control</t>
  </si>
  <si>
    <t>Falha de controles SOX</t>
  </si>
  <si>
    <t>Barramentos de Integração de Sistemas</t>
  </si>
  <si>
    <t>Construção de barramentos de serviço para a integração e padronização de acessos às informações corporativas mais consumidas, usando o conceito SOA - Arquitetura Orientada a Serviços</t>
  </si>
  <si>
    <t>Multiplicação de interfaces e duplicidade ou desencontro de informações</t>
  </si>
  <si>
    <t>Desenvolvimento web de novos serviços comerciais nos canais de atendimento oficiais da Cemig</t>
  </si>
  <si>
    <t>Falta de canais de atendimento disponíveis, aumento de clientes nas agências de atendimento presencial da Cemig.</t>
  </si>
  <si>
    <t>Atualização da versão do software de gerenciamento de riscos da SAP - Risk Management</t>
  </si>
  <si>
    <t>Aquisição de novas licenças do softare de painéis de informação - QlikView</t>
  </si>
  <si>
    <t>Falta de licenças para atendimento das áreas solicitantes de painéis de informação.</t>
  </si>
  <si>
    <t>Migração do modelo de tarifas usado na Cemig para o modelo TAXBRA</t>
  </si>
  <si>
    <t>Continuidade de uso de um modelo de tarifas inadequado na Companhia.</t>
  </si>
  <si>
    <t>Adequação do SAP para emissão de NFE de Entrada</t>
  </si>
  <si>
    <t>Falha nas retenções de impostos e tarifas.</t>
  </si>
  <si>
    <t>Atualização do site da Cemig na internet e do site da intranet corporativa (Cemignet 2.0).</t>
  </si>
  <si>
    <t>Imagem da Empresa prejudicada e associada ao antigo e desatualizado.</t>
  </si>
  <si>
    <t>Desenvolvimento de funcionalidades inerentes aos processos da DDC dentro do sistema Atlantis</t>
  </si>
  <si>
    <t>Inconformidade do sistema com o processo da distribuição</t>
  </si>
  <si>
    <t xml:space="preserve">Atualização tecnológica do sistema de gestão de Frota da Cemig, que está em uso desde 2004, muito obsoleto e defasado em relação ao processo de negócio. </t>
  </si>
  <si>
    <t>Paralisação das funcionalidades do sistema, em função do longo tempo de sua existência.</t>
  </si>
  <si>
    <t>Aquisição de solução SAP para o uso e aprovações em dispositivos móveis</t>
  </si>
  <si>
    <t>Falta de usa solução mais moderna para as aprovações gerenciais relativas ao sistema SAP na Cemig.</t>
  </si>
  <si>
    <t>Incapacidade de atendimento de solicitações das áreas de negócio da Cemig, relativas aos sistemas.</t>
  </si>
  <si>
    <t>Falta de suporte e incompatibilidade do produtos com o sistema operacional nos servidores de produção da Cemig.</t>
  </si>
  <si>
    <t>TI02216</t>
  </si>
  <si>
    <t>TI01114</t>
  </si>
  <si>
    <t>SISJUR - Novo Sistema Jurídico</t>
  </si>
  <si>
    <t>Construção do novo sistema jurídico, em curso desde 2013.</t>
  </si>
  <si>
    <t>Obsolescência do sistema antigo; falta de interface com os sistemas legados;</t>
  </si>
  <si>
    <t>Programa de cálculo de janela de travessia e balanço de cabos</t>
  </si>
  <si>
    <t>Cálculo de janelas de travessias de MD sob LD e de balanço de cabos.
8 licenças.</t>
  </si>
  <si>
    <t xml:space="preserve">Atendimento à demanda continuará com a EA/EP, consumindo recurso humano de um profissional em tempo integral e comprometendo seu desempenho e o atendimento às demandas de expansão. </t>
  </si>
  <si>
    <t>Programa para substituição do Sistproj</t>
  </si>
  <si>
    <t>Programa para cálculo de rotinas de projetos de LD.
2 licenças</t>
  </si>
  <si>
    <t>Paralização de atividades de projetos executivos de LD com comprometimento de prazos e custos dos planos de expansão.
Impossibilidade de realizar a elaboração e a conferência de projetos contratados que utilizem resultados destas rotinas, que são comuns.</t>
  </si>
  <si>
    <t>PLS-CADD</t>
  </si>
  <si>
    <t>Aquisição de 2 licenças do software PLS-CADD</t>
  </si>
  <si>
    <t>Comprometimento ao atendimento dos projetos de expansão do ciclo tarifário (2018/2022).
Comprometimento da produtividade da equipe devido à indisponibilidade de licenças suficientes para trabalhar com o SPELT.</t>
  </si>
  <si>
    <t>Aquisição de licenças de Sharepoint EPM</t>
  </si>
  <si>
    <t>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t>
  </si>
  <si>
    <t xml:space="preserve">Sobre recurso é preciso saber se isso é colocado na conta da casa ou se é algo que devemos aumentar e já inserir no rateio percentual, visto que o SharePoint, assim como EPM, estão com versão 2010 que já não mais recebe atualização. </t>
  </si>
  <si>
    <t>Construção de sistema para dispositivo móvel integrado ao Atlantis/GDIS para projeto de rede em campo e recebimento de obras.</t>
  </si>
  <si>
    <t>Perda de oportunidade de ganho de produtividade no processo de elaboração e execução de projetos de expansão da rede de distribuição; Perda de oportunidade de visibilidade e controle de obras e previsibilidade de realização.</t>
  </si>
  <si>
    <t>Mobilidade - Aquisição de Equipamento Móvel para Projeto e Recebimento de Obras</t>
  </si>
  <si>
    <t>Aquisição de equipamento móvel (tablets) para desenho de projetos e recebimento de obras de rede distribuição em campo.</t>
  </si>
  <si>
    <t>Solução de Monitoramento de Rede  para  prover visibilidade em tempo real e histórica de soluções Operativas. Objetiva garantir os níveis adequados de disponibilidade dos serviços.</t>
  </si>
  <si>
    <t>Indisponibilidade e baixo desempenho de aplicações críticas por falta de visibilidade e Gerenciamento.</t>
  </si>
  <si>
    <t>Gateway de Acesso à Internet e Acesso a Email</t>
  </si>
  <si>
    <t>Solução de Proxys de acesso à
 Internet e gateway de correio eletrônico, que visa proteger a rede interna da Cemig contra acessos Indevidos à Internet.</t>
  </si>
  <si>
    <t>Impossibilidade de controle no acesso à Internet e risco de Invasões decorrentes de acessos a sites e páginas com virus e conteúdos maliciosos.</t>
  </si>
  <si>
    <t>Solução para proteção da rede Cemig contra ataques provenientes da Internet</t>
  </si>
  <si>
    <t>Invasões a aplicações e ambientes críticos, com indisponibilidade de ambientes Operativos e Corporativos.</t>
  </si>
  <si>
    <t>Solução de APT - Proteção contra ataques avançados e direcionados a estruturas de rede e sistemas da Cemig.</t>
  </si>
  <si>
    <t>Esta solução protege a rede Cemig contra ataques do tipo APT, que são ataques avançados e direcionados a um alvo específico. Estes ataques visam retirar de operação sistemas críticos.</t>
  </si>
  <si>
    <t>Indisponibilidade e baixo desempenho  de ambientes e aplicações operativas e corporativas críticas, roubos bem sucedidos de Informações.</t>
  </si>
  <si>
    <t>Firewall Corporativo</t>
  </si>
  <si>
    <t>Solução de Rede Baseada em Firewall para proteção de Rede Corporativa</t>
  </si>
  <si>
    <t>Computadores infectados ou usuários não autorizados podem ter acesso à rede, provocando infecções, roubo de informações, indisponibilidade de serviços etc...</t>
  </si>
  <si>
    <t>Firewall para implantação de Internet Descentralizada</t>
  </si>
  <si>
    <t>Solução de Rede Baseada em Firewall para implantação de acesso descentralizado à Internet</t>
  </si>
  <si>
    <t>Necessidades constantes de aumento de links, sem opção de trafegar dados menos prioritários por canais de mais baixo custo.</t>
  </si>
  <si>
    <t>Solução de Rede Baseada em Firewall paragarantir segurança de borda para Ses</t>
  </si>
  <si>
    <t>Riscos de Invasão a redes de Ses provocando indisponibilidade e perda de Operação por parte dos Centros de Gerência</t>
  </si>
  <si>
    <t>Troca de equipamentos de rede LAN de sites do interior de Minas, em função de obsolescência do parque</t>
  </si>
  <si>
    <t>Alto índice de defeitos e falhas nestes equipamentos provocando indisponibilidades de rede das localidades onde eles estão instalados.</t>
  </si>
  <si>
    <t xml:space="preserve">Aquisição de licenciamento de 
software Antivirus </t>
  </si>
  <si>
    <t>Infecção de microcomputadores da Cemig, provocando indisponibiloidade e roubo de informações</t>
  </si>
  <si>
    <t>Merit Conectividade - Triângulo  e Metropolitano</t>
  </si>
  <si>
    <t>Aquisição de software específicos para estudos de enlace e cobertura</t>
  </si>
  <si>
    <t>Aquisição de Produtos OSISoft (PI System)</t>
  </si>
  <si>
    <t>Controle de acesso Interior</t>
  </si>
  <si>
    <t>Instalar catracas e controle de acesso nos prédios da Cemig localizados no interior do Estado</t>
  </si>
  <si>
    <t>Dificuldade no controle e identificação de pessoas e, circulação no interior das unidades do interior.</t>
  </si>
  <si>
    <t>Unidade monitorada</t>
  </si>
  <si>
    <t>Video Monitoramento Analítico em 12 usinas</t>
  </si>
  <si>
    <t>Instalação de Câmeras  para monitoramento de eventos e ocorrencias no interior das Usinas</t>
  </si>
  <si>
    <t>Inibir invasões, furtos e monitorar o acesso de pessoas na uisnas</t>
  </si>
  <si>
    <t>Perda do AVCB, multas ambientais, contaminação de solo</t>
  </si>
  <si>
    <t>Licença do programa TF_SE</t>
  </si>
  <si>
    <t>Programa para calculo das trações e flechas em barramentos flexíveis em subestações</t>
  </si>
  <si>
    <t>Comprometimento de atendimento aos projetos de expansão no prazo desejado dentro do ciclo tarifário.</t>
  </si>
  <si>
    <t>Aquisição camara climática</t>
  </si>
  <si>
    <t>Equipamento de testes de materiais e componentes eletricos e eletronicos em laboratorio, com temperatura e umidade programaveis</t>
  </si>
  <si>
    <t xml:space="preserve">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t>
  </si>
  <si>
    <t>Aquisição de Caminhão e Guindaste Hidráulico 25 toneladas para RDS</t>
  </si>
  <si>
    <t>Aquisição de caminhão e equipamento hidraulico para movimentação, içamento e remoção, que permite carregar, transportar e descarregar equipamentos de até 25 toneladas</t>
  </si>
  <si>
    <t>Sistema de Controle e Suporte</t>
  </si>
  <si>
    <t>Desenvolvimento de software para atividades voltadas para Contratos de Suporte.</t>
  </si>
  <si>
    <t>Acompanhamento manual das atividades, aumentando o risco de remuneração indevida por produtividade.</t>
  </si>
  <si>
    <t>Geração Total</t>
  </si>
  <si>
    <t>Transmissão Total</t>
  </si>
  <si>
    <t>Holding Total</t>
  </si>
  <si>
    <t xml:space="preserve">GLE-INV-PPE- Aquisição de equipamento endoscópio sonda 3m </t>
  </si>
  <si>
    <t>Descrição: MG/LE: Aquisição de (1) equipamento endoscópio sonda 3m</t>
  </si>
  <si>
    <t>Aquisição de espião rede elétrica COS/SEs</t>
  </si>
  <si>
    <t>Impossibilidade de diagnósticos corretos e de ajustes/parametrização das Usinas.</t>
  </si>
  <si>
    <t xml:space="preserve">Aquisição de 01 Compressores de Ar </t>
  </si>
  <si>
    <t xml:space="preserve">1 Compressores de Ar </t>
  </si>
  <si>
    <t>CARRETA TANQUE CAP. 25.000LT TRANSP. OLEO ISOLANTE</t>
  </si>
  <si>
    <t xml:space="preserve">Paralisação das atividades de manutenção alta tensão </t>
  </si>
  <si>
    <t>Aquisição de 5 projetores multimídia</t>
  </si>
  <si>
    <t>Construção de 2 muros</t>
  </si>
  <si>
    <t>Construção de 2 muros: SE Mesquita e Taquaril</t>
  </si>
  <si>
    <t>Construção de 2 abrigos para resíduos perigosos e inflamáveis</t>
  </si>
  <si>
    <t>Construção de 2 abrigos para resíduos perigosos e inflamáveis na SE Emborcação</t>
  </si>
  <si>
    <t>Esse projeto é uma fusão das demandas da RMBH, demais Regionais do Estado e Univercemig.
O projeto objetiva a aquisição e instalação de equipamentos em unidades que não possuem o sistema de ar condicionado, para atender a nova demanda dos usuários, ou substituição do sistema de ar existente, por obsolescência dos equipamentos nas instalações em todo estado.
Trata-se de exigência da Portaria 3523, de 28/08/1998 do Ministério da Saúde, que aprovou procedimentos para minimizar o risco potencial à saúde dos ocupantes em ambientes climatizados por tempo prolongado.</t>
  </si>
  <si>
    <t>Aquisição de mobiliário para atender a demandas de reposição por obsolescência ao longo dos 5 anos</t>
  </si>
  <si>
    <t>Aquisição de mobiliário para atender cidades do interior do estado para otimização da ocupação predial, dando suporte ao Estudo Estratégico de Ativos</t>
  </si>
  <si>
    <t>Aumento da área construída para viabilizar a liberação de um imóvel.</t>
  </si>
  <si>
    <t>Aquisição de mobiliário para atender ao Estudo Estratégico de Ativos (EEA)</t>
  </si>
  <si>
    <t>R$ mil</t>
  </si>
  <si>
    <t>Principais projetos</t>
  </si>
  <si>
    <t>Riscos de Não Execução</t>
  </si>
  <si>
    <t>TOTAL FERRAMENTAS</t>
  </si>
  <si>
    <t>SUB TOTAL</t>
  </si>
  <si>
    <t>MACROPROJETO FERRAMENTAS</t>
  </si>
  <si>
    <t>MACROPROJETO EDIFICAÇÕES E COMPLEMENTOS</t>
  </si>
  <si>
    <t>Otimização dos ativos</t>
  </si>
  <si>
    <t>MACROPROJETO VEÍCULOS</t>
  </si>
  <si>
    <t>TOTAL EDIFICAÇÕES E COMPLEMENTOS</t>
  </si>
  <si>
    <t>TOTAL VEÍCULOS</t>
  </si>
  <si>
    <t xml:space="preserve">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Aplicação de multas expressivas à cemig, por interrupção do fornecimento de energia a consumidores em limites exorbitantes, fora dos previstos em lei, com impactos diretos no DEC, FEC, DIC e DMIC.
</t>
  </si>
  <si>
    <t>Semirreboque modular articulado tipo linha de eixo (06 linhas) para transporte especial de cargas indivisíveis e excedentes de peso e/ou dimensões, para atender ao sistema elétrico de potência -SEP</t>
  </si>
  <si>
    <t>MACROPROJETO TELECOMUNICAÇÕES</t>
  </si>
  <si>
    <t>TOTAL TELECOMUNICAÇÕES</t>
  </si>
  <si>
    <t>MACROPROJETO MICROINFORMÁTICA</t>
  </si>
  <si>
    <t>TOTAL MICROINFORMÁTICA</t>
  </si>
  <si>
    <t>MACROPROJETO SISTEMAS DE INFORMÁTICA</t>
  </si>
  <si>
    <t>Migração do SAP ECC para S4 (HANNA) D</t>
  </si>
  <si>
    <t>Sistemas WEB e SharePoint D</t>
  </si>
  <si>
    <t>Licenciamento Microsoft D</t>
  </si>
  <si>
    <t>Licenciamento HEXAGON D</t>
  </si>
  <si>
    <t>TOTAL SISTEMAS DE INFORMÁTICA</t>
  </si>
  <si>
    <t>Licença do software Logic Linx Hardkey</t>
  </si>
  <si>
    <t>Infraestrutura de Comunicação para o Plano de Ações Emergências - PAE em Usinas da Geração Cemig GT</t>
  </si>
  <si>
    <t>Software a ser desenvolvido por empresa de TI e tem como produto um aplicativo para Celular que relacione com os COMPDECs( Defesa Civil dos municípios) e Comunidades do entorno dos empreendimentos( barragens).</t>
  </si>
  <si>
    <t>Aquisição de 02 Notebooks - MG/OE</t>
  </si>
  <si>
    <t>Aquisição de 02 Aparelhos Notebooks - MG/OE</t>
  </si>
  <si>
    <t>Comprometimento da produtividade das equipes, da qualidade dos serviços prestados  e do atendimento aos índices de qualidade de fornecimento da Distribuição.</t>
  </si>
  <si>
    <t>Risco de penalidades por descumprimento da legislação ANEEL e ONS.</t>
  </si>
  <si>
    <t>- Não obtenção da redução de custos operacionais e de agregação de receita;
- Performance negativa dos indicadores de qualidade, dentre eles o DEC.</t>
  </si>
  <si>
    <t>- Restrição à renovação da licença de operação do CDA Igarapé;
- Suspensão das atividades e multas, possível contaminação do solo e lençóis freáticos;
- Geração de passivos ambientais para a Cemig.</t>
  </si>
  <si>
    <t>- Restrição à obtenção de licença de operação do Anel Rodoviário;
- Suspensão das atividades e multas, possível contaminação do solo e lençóis freaticos;
- Geração de passivos ambientais para a Cemig.</t>
  </si>
  <si>
    <t>- Multa, suspensão da Licença de Operação do Q14 e/ou fechamento do Q14;
- Possível contaminação dos solos e lençóis freaticos;
- Geração de passivos ambientais para a Cemig.</t>
  </si>
  <si>
    <t>- Impossibilidade de conexão entre todos os terminais de sistema de videoconferência;
- Negativa do fafricante Polycom, em prestar manutenção corretiva na MGC 100.</t>
  </si>
  <si>
    <t>- Rompimento de tubulações, interrupção de abastecimento em local de trabalho;
- Contaminação em água potável, atendimentos emergenciais aos vazamentos;
- Dificuldade para manutenção; impacto em outros sistemas construtivos.</t>
  </si>
  <si>
    <t>- Comprometimento nos ensaios de qualidade dos materiais aplicados no sistema elétrico;
- Não alcance de apoio aos fornecedores no desenvolvimento tecnológico do parque industrial;
- inviabilizará a desocupação do Q1, para alienação.</t>
  </si>
  <si>
    <t>- Comprometimento da produtividade das equipes;
- Comprometimento ao atendimento aos índices de qualidade de fornecimento da Alta Tensão.</t>
  </si>
  <si>
    <t>- Aumento de despesas com manutenção, indisponibilidade dos veículos.</t>
  </si>
  <si>
    <t>- Comprometimento da qualidade dos serviços prestados;
- Comprometimento da produtividade das equipes de Rede de Distribuição Subterrânea</t>
  </si>
  <si>
    <t>- Perda de comunicação por falta de alimentação comercial, penalidades previstas em contrato</t>
  </si>
  <si>
    <t>- Falha de comunicação com as equipes regionais, aumento do custo de O&amp;M</t>
  </si>
  <si>
    <t>- Aumento da taxa de obsolescência do parque de microinformática;
- Aumento da indisponibilidade de equipamentos para manutenção ou reposição;
- Restrições na instalação e execução de novos programas ou versões;
- Aumento da exposição de riscos de segurança da informação;
- Perda do suporte especializado do fornecedor;
- Degradação do desempenho e produtividade da força de trabalho.</t>
  </si>
  <si>
    <t>- Não faturamento, afetando diretamente o caixa da empresa
- Descumprimento da regulação - Multa</t>
  </si>
  <si>
    <t>- Paralisação de todos os serviços de manutenção evolutiva dos módulos de Operação e Despacho - OP, Georreferenciamento - GE, Manutenção - MN, Serviço de Campo - SC, e Gestão da Qualidade - IQ do Sistema G-DIS.
- Limitação no atendimento das demandas da DDC relativas ao sistema G-DIS, conduzidas atualmente dentro do Programa Conexão.</t>
  </si>
  <si>
    <t>- Falha no controle de ativos da DDC.</t>
  </si>
  <si>
    <t>- Impossibilidade de adequação dos sistemas legados às novas regras e estruturas da Empresa;
- Perda da eficiência operacional dos processos informatizados;
- Incapacidade de implantação de novas funcionalidades na Cemignet20;
- Não atendimento a determinações regulatórias.</t>
  </si>
  <si>
    <t>- Obsolescência do ambiente de gerenciamento de banco de dados; 
- Perda da garantia de suporte e da disponibilidade de evoluções de funções e de ferramentas;
- Degradação de performance do ambiente SAP.</t>
  </si>
  <si>
    <t>- Envelhecimento do parque de software existente na empresa;
- Falta de suporte para o uso dos produtos e a resolução de problemas;
- Degradação do ambiente e limitação da performance.</t>
  </si>
  <si>
    <t>- Defasagem tecnológica perante o software usado no setor de energia para atendimento regulatório.</t>
  </si>
  <si>
    <t>- Inconformidade do sistema com o processo da distribuição</t>
  </si>
  <si>
    <t>- Solução não aderente ao sistema SAP</t>
  </si>
  <si>
    <t>- Duplicidade de equipe para cadastramento em paralelo em sistemas distintos;
- Riscos operacionais por divergência na rede cadastrada e rede operada.</t>
  </si>
  <si>
    <t>- Perda do direito de renovação do contrato;
- Limitação das funcionalidades das licenças;
- Exposição a falhas de segurança.</t>
  </si>
  <si>
    <t>Evolução e Sustentação GE</t>
  </si>
  <si>
    <t xml:space="preserve">- Dificuldade da realização do planejamento de expansão do sistema elétrico e análises de atendimento de carga da Malha Centro (2.034 MVA);
- Descontinuidade dos dados históricos de demanda, existentes desde 1984;
- Não otimização da rede implicando em aumento de Perdas Técnicas, investimentos adicionais, violação de Requisitos Regulatórios como DEC, DIC/FIC/DMIC, DRC/DRP, perda de Flexibilidade Operativa;
- Descumprimento dos prazos regulatórios.
</t>
  </si>
  <si>
    <t xml:space="preserve">- Perda de sincronismo de processos entre Cemig e Light;
- Limitação e desempenho degradado da solução atual;
- Baixa produtividade para provimento de novas soluções para gestão dos ativos da rede de distribuição;
- Limitação da quantidade de usuários com acesso à aplicação; obsolescência da ferramenta atual;
- Incapacidade de atendimento a algumas demandas do órgão regulador (Aneel/Prodist);
- Perda da melhoria do processo de capitalização e gestão de ativos da Cemig Distribuidora.
</t>
  </si>
  <si>
    <t>- Incapacidade de processar servidores para absorção das demandas vegetativas, regulatórias e fiscais; 
- Comprometimento do dimensionamento adequado do parque de servidores;
- Incapacidade de processar dados requisitada pelos diversos sistemas operacionais da Cemig D.</t>
  </si>
  <si>
    <t>- Sucateamento do ferramental das equipes de transporte e movimentação de cargas;
- Indisponibilidades por falta de peças de reposição;
- Não atendimento dos prazos pactuados de manutenção do SEP;
- Restrições na infraestrutura viária, ambiental, mobilidade, acessibilidade às instalações; 
- Aplicação de multas à Cemig, por interrupção do fornecimento de energia a consumidores.</t>
  </si>
  <si>
    <t xml:space="preserve">- Não cumprimento de meta estabelecida no Acordo de Metas da Iniciativa 9 - Otimização do Portfólio de Imóveis da Cemig D, a qual prevê a obtenção de receita com a alienação de imóvel inservível, da ordem de R$58,7 milhões e à redução de despesas operacionais da ordem de R$4,3 milhões.
</t>
  </si>
  <si>
    <t xml:space="preserve">Resumo captação de infraestrutura ciclo 2018/2022 </t>
  </si>
  <si>
    <t>Orçamento Aprovado</t>
  </si>
  <si>
    <t>Realizado Acumulado</t>
  </si>
  <si>
    <t>Distribuição 2018 - Tendência</t>
  </si>
  <si>
    <t>Distribuição 2018 - Ferramentas - Tendência</t>
  </si>
  <si>
    <t>Distribuição 2018 - Veículos - Tendência</t>
  </si>
  <si>
    <t>Distribuição 2018 - Edificações e Complementos - Tendência</t>
  </si>
  <si>
    <t>Distribuição 2018 - Telecomunicações - Tendência</t>
  </si>
  <si>
    <t>Distribuição 2018 - Sistemas de Informática - Tendência</t>
  </si>
  <si>
    <t>Distribuição 2018 - Microinformática - Tendência</t>
  </si>
  <si>
    <t>Geração 2018 - Tendência</t>
  </si>
  <si>
    <t>Geração 2018 - Ferramentas - Tendência</t>
  </si>
  <si>
    <t>Geração 2018 - Veículos - Tendência</t>
  </si>
  <si>
    <t>Geração 2018 - Edificações e Complementos - Tendência</t>
  </si>
  <si>
    <t>Geração 2018 - Telecomunicações - Tendência</t>
  </si>
  <si>
    <t>Geração 2018 - Sistemas de Informática - Tendência</t>
  </si>
  <si>
    <t>Geração 2018 - Microinformática - Tendência</t>
  </si>
  <si>
    <t>Transmissão 2018 - Tendência</t>
  </si>
  <si>
    <t>Transmissão 2018 - Ferramentas - Tendência</t>
  </si>
  <si>
    <t>Transmissão 2018 - Veículos - Tendência</t>
  </si>
  <si>
    <t>Transmissão 2018 - Edificações e Complementos - Tendência</t>
  </si>
  <si>
    <t>Transmissão 2018 - Telecomunicações - Tendência</t>
  </si>
  <si>
    <t>Transmissão 2018 - Sistemas de Informática - Tendência</t>
  </si>
  <si>
    <t>Transmissão 2018 - Microinformática - Tendência</t>
  </si>
  <si>
    <t>Holding 2018 - Tendência</t>
  </si>
  <si>
    <t>Holding 2018 - Sistemas de Informática - Tendência</t>
  </si>
  <si>
    <t>Holding 2018 - Microinformática - Tendência</t>
  </si>
  <si>
    <t>Geração 2018 - Edificações e Complementos - Irapé - Tendência</t>
  </si>
  <si>
    <t>Em R$mil - Moeda Junho/17</t>
  </si>
  <si>
    <t>Realizado/Planejado mensal</t>
  </si>
  <si>
    <t>Planejado mensal</t>
  </si>
  <si>
    <t>Planejado Acumulado</t>
  </si>
  <si>
    <t>Real Jan 2018</t>
  </si>
  <si>
    <t>Real Fev 2018</t>
  </si>
  <si>
    <t>Real Mai 2018</t>
  </si>
  <si>
    <t>Real Jun 2018</t>
  </si>
  <si>
    <t>Real Jul 2018</t>
  </si>
  <si>
    <t>Real Ago 2018</t>
  </si>
  <si>
    <t>Real Set 2018</t>
  </si>
  <si>
    <t>Real Out 2018</t>
  </si>
  <si>
    <t>Real Nov 2018</t>
  </si>
  <si>
    <t>Real Dez 2018</t>
  </si>
  <si>
    <t>Real Total 2018</t>
  </si>
  <si>
    <t>Compromissado</t>
  </si>
  <si>
    <t>Disposto</t>
  </si>
  <si>
    <t>Saldo a realizar</t>
  </si>
  <si>
    <t>Realizado acum gráfico</t>
  </si>
  <si>
    <t>Planejado acum gráfico</t>
  </si>
  <si>
    <t>Obra de estabilização de 02 taludes ao lado das escadas entre o prédio 20 e 21 do Anel Rodoviário</t>
  </si>
  <si>
    <t>AR - P21 - Execução de 2 Muros de Arrimo</t>
  </si>
  <si>
    <t>Reforma total e impermeabilização do telhado do imóvel Q3 - Bloco A e B - Agência de Atendimento</t>
  </si>
  <si>
    <t>Desintalação e remoção do telhado existente e troca total por telhado metálico novo e impermeabilização de áreas abertas.</t>
  </si>
  <si>
    <t>Aquisição Impressora LES</t>
  </si>
  <si>
    <t>Solução de IPSs (Sistema de Proteção contra ataques provenientes da Internet) - Equipamentos SEDE e Aureliano Chaves</t>
  </si>
  <si>
    <t>Sistema Video Wall</t>
  </si>
  <si>
    <t>Descumprimento de controles de Auditoria e riscos de ataques em função de não correlação de logs de segurança</t>
  </si>
  <si>
    <t>Proteção Gateway Exchange</t>
  </si>
  <si>
    <t>Antivirus para verificação de ameaças em caixas particulares de emails</t>
  </si>
  <si>
    <t>Contaminação com virus e outros Malwares de arquivos contidos em pastas particulares do exchange</t>
  </si>
  <si>
    <t>Renovação softwares de gerência de rede Cisco</t>
  </si>
  <si>
    <t>Softwares de Gerência de Rede Prime, ISE, DHCP, IPAM, MSE, Provision, APIC-EM, Call manager Cisco</t>
  </si>
  <si>
    <t>Riscos de indisponibilidade de Rede por falta de gerência das soluções adotadas.</t>
  </si>
  <si>
    <t>Sistema SAM</t>
  </si>
  <si>
    <t>TI02817</t>
  </si>
  <si>
    <t>Análise e Desenvolvimento Sistema Retrocálculo</t>
  </si>
  <si>
    <t>Contratação dos serviços de desenvolvimento nos ambientes SAP ECC e SAP CCS.</t>
  </si>
  <si>
    <t xml:space="preserve"> Atrasos nos procedimentos e processos das equipes nas áreas de negócio (engenharia e recursos humanos); Multas pelo não atendimento dos compromissos obrigatórios dentro do prazo esperado pelos agentes governamentais.</t>
  </si>
  <si>
    <t>Antivirus para 9500 estações de trabalho e servidores</t>
  </si>
  <si>
    <t>Sistema de Gestão de Leituras - SGL</t>
  </si>
  <si>
    <t>Construção do módulo SGL-WEB</t>
  </si>
  <si>
    <t xml:space="preserve"> NA</t>
  </si>
  <si>
    <t>Reimplantação do HR (Back to Standard)</t>
  </si>
  <si>
    <t>Migração Ponto Negativo para Positivo (SAP HR)</t>
  </si>
  <si>
    <t>Upgrade do ION ENTERPRISE</t>
  </si>
  <si>
    <t>Atualização de versão do sistema de gestão de medição de fronteira.</t>
  </si>
  <si>
    <t>Desenvolvimento do Sistema de Recuperação de Perdas Comerciais</t>
  </si>
  <si>
    <t>Evolução do Sistema de Gestão - Cemig Fácil</t>
  </si>
  <si>
    <t>Novo Sistema de Controle de Documentos Regulatórios</t>
  </si>
  <si>
    <t>Front End - Saúde e Segurança do Trabalho (EH&amp;S)</t>
  </si>
  <si>
    <t>Descontinuidade de serviços informatizados
Roubo de informações confidenciais e invasão de redes corporativas</t>
  </si>
  <si>
    <t xml:space="preserve">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t>
  </si>
  <si>
    <t xml:space="preserve">Aquisição/atualização de Servidores x86 </t>
  </si>
  <si>
    <t>Aquisição SIGGA Brizzo</t>
  </si>
  <si>
    <t>Além da não conformidade legal, envolve riscos de falha de comunicação para a comunidade e Defesa Civil.</t>
  </si>
  <si>
    <t>Corporativo?</t>
  </si>
  <si>
    <t>Rogério Elias</t>
  </si>
  <si>
    <t>Sebastião Jacinto</t>
  </si>
  <si>
    <t>Aquisição de equipamentos e mobiliário para o CGR</t>
  </si>
  <si>
    <t>Risco de afastamento de funcionário.
Risco de processos contra a Cemig.
Aumento do horário de intervalo de descanso do operador.
Não atendimento as normas de operação.</t>
  </si>
  <si>
    <t>Nº de mobiliário</t>
  </si>
  <si>
    <t>Aquisição de 6 cadeiras e 1 geladeira para atender  aos operadores de Telecom durante a escala 24/7.</t>
  </si>
  <si>
    <t>Ian Garcia</t>
  </si>
  <si>
    <t>R$MM</t>
  </si>
  <si>
    <t>Programa de investimento 2018-2022</t>
  </si>
  <si>
    <t>Limite indicativo para investimento</t>
  </si>
  <si>
    <t>Programa de investimento 2018-2022 (acumulado)</t>
  </si>
  <si>
    <t>Programa de investimento 2018-2022 (anual)</t>
  </si>
  <si>
    <t>Limite indicativo para investimento (anual)</t>
  </si>
  <si>
    <t xml:space="preserve">Limite indicativo para investimento </t>
  </si>
  <si>
    <t>Kit movimentação circuito / sistema pneumático para movimentação mecânica de cargas de peso e dimensão elevado a ser instalado em caminhão truck para equipe de movimentação de cargas especiais</t>
  </si>
  <si>
    <t>TI03217</t>
  </si>
  <si>
    <t>TI03617</t>
  </si>
  <si>
    <t>TI03317</t>
  </si>
  <si>
    <t>AquisIção de Smartfone para os fiscais de obra, com recurso de internet e boa resolução para registro fotográfico, acesso em campo aos sistemas GESET e GEDEX.</t>
  </si>
  <si>
    <t>Construção de um sistema para a prevenção e recuperação de perdas comerciais.</t>
  </si>
  <si>
    <t>Crescimento das perdas comerciais que impactam a receita; Diminuição da arrecadação.</t>
  </si>
  <si>
    <t>Substituição do sistema Condor - Controle de Documentos Regulatórios.</t>
  </si>
  <si>
    <t>Ocorrência de falhas na operação e na gestão do sistema; Impacto no processo de envio e recepção de documentos.</t>
  </si>
  <si>
    <t>Ocorrência de falhas na operação e na gestão do sistema; Impacto no fluxo de arrecadação da empresa.</t>
  </si>
  <si>
    <t>TI/IO</t>
  </si>
  <si>
    <t>TI/SI</t>
  </si>
  <si>
    <t>TI/RT</t>
  </si>
  <si>
    <t>Francisco Elson</t>
  </si>
  <si>
    <t>Carlos Araújo</t>
  </si>
  <si>
    <t>Álisson Costa</t>
  </si>
  <si>
    <t>Heberte Faria</t>
  </si>
  <si>
    <t>Roberto Proença</t>
  </si>
  <si>
    <t>Roberto Sebastião</t>
  </si>
  <si>
    <t>Sérgio Mourthé</t>
  </si>
  <si>
    <t>Aquisição de Projetor Multimídia MG/CS</t>
  </si>
  <si>
    <t>Aquisição de Projetor Multimidia MG/NT</t>
  </si>
  <si>
    <t>Aquisição de Projetor Multimidia MG/NT-1</t>
  </si>
  <si>
    <t>AQUISIÇÃO DE PROJETORES SC</t>
  </si>
  <si>
    <t>Projetores multimídia RH/EC</t>
  </si>
  <si>
    <t>Aquisição de Equipamentos de Ar Condicionado G</t>
  </si>
  <si>
    <t>Aquisição de Equipamentos de Ar Condicionado D</t>
  </si>
  <si>
    <t>Programa de Substituição e Modernização de Ferramentas MD/CS</t>
  </si>
  <si>
    <t>Programa de Substituição e Modernização de Ferramentas EM/CE</t>
  </si>
  <si>
    <t>Aquisição de Bebedouros G</t>
  </si>
  <si>
    <t>Aquisição de 4 Bebedouro industrial T</t>
  </si>
  <si>
    <t>AQUISIÇÃO DE BEBEDOUROS DGE</t>
  </si>
  <si>
    <t>Aquisição de Bebedouros CEMIG</t>
  </si>
  <si>
    <t>Aquisição de mobiliário para atendimento cliente interno G</t>
  </si>
  <si>
    <t>Aquisição de mobiliário para atendimento cliente interno T</t>
  </si>
  <si>
    <t>Aquisição de mobiliário para atendimento cliente interno D</t>
  </si>
  <si>
    <t xml:space="preserve">GLE-INV-PPE- Aquisição de 3 ar condicionado </t>
  </si>
  <si>
    <t>GLE-INV-PPE- Aquisição de 1 ar condicionado</t>
  </si>
  <si>
    <t>GLE-INV-PPE- Aquisição de 2 ar condicionado</t>
  </si>
  <si>
    <t>Desenvolvimento de software de diagnóstico e planejamento de investimento de Geração</t>
  </si>
  <si>
    <t>Data</t>
  </si>
  <si>
    <t>Evento</t>
  </si>
  <si>
    <t>Início da captação orçamentária do investimento em infraestrutura para o ciclo 2018/2022</t>
  </si>
  <si>
    <t>A GE/PC consolidou as demandas de investimentos de todas as áreas</t>
  </si>
  <si>
    <t>25, 27 e 29/09/2017</t>
  </si>
  <si>
    <t>Seminário de Anuidades de Infraestrutura da Geração, Distribuição e Transmissão</t>
  </si>
  <si>
    <t>Entrega da peça orçamentária 2018-2022 para a PP/AP</t>
  </si>
  <si>
    <t>- Os gestores priorizaram os projetos considerando o limite indicativo para investimento de cada negócio.
- Destaque para a inclusão do macroprojeto Ferramentas e Equipamentos no planejamento de investimento em infraestrutura da G e T.
- Retirada do Projeto Irapé da carteira. Foi autorizada a extensão do prazo de conclusão para 2022 por meio do CPO virtual nº 45 de 09/11/2017</t>
  </si>
  <si>
    <t>18ª Reunião do CPO</t>
  </si>
  <si>
    <t>19ª Reunião do CPO</t>
  </si>
  <si>
    <t>22/12/2017 a 08/01/2018</t>
  </si>
  <si>
    <t>Revisão da carteira sob responsabilidade de cada gestor, visando adequar ao teto global e aos desembolsos anuais da G e T, conforme recomendado pelo CPO</t>
  </si>
  <si>
    <t>A G efetuou as adequações necessárias
A T conseguiu adequar apenas ao teto global</t>
  </si>
  <si>
    <t>A T contribuiu, mas não foi suficiente para adequar aos desembolsos anuais.
A CG/OE sugeriu encaminhar essa proposta à PP/AP para novo cálculo do VPL</t>
  </si>
  <si>
    <t>Encaminhamento à PP/AP da nova proposta de desembolso anual da T.</t>
  </si>
  <si>
    <t>Recomendações:
- Calcular o VPL por negócio
- Redução do programa de investimentos da G em 49,7% e na T em 17,7%
- Caso ocorra redução de despesas com anuidades em G, realocar os recursos para investimento, respeitando-se o teto.</t>
  </si>
  <si>
    <t>Recomendações:
- Poderá haver migração de recursos entre despesas com anuidades e seus respectivos investimentos para valores até 5% do valor do macroprojeto no âmbito da PP e acima de 5% no âmbito do CPO.
- Ajuste da carteira de G e T até 08/01/2018. Sem esse ajuste, a peça não seguirá para aprovação pela Diretoria.
- Reequilíbrios entre macroprojetos de até 5% do recurso aprovado poderão ser tratados no âmbito da PP.
- Demandas de projetos que surgirem durante o ciclo motivadas por evolução tecnológica e necessidades de adequação regulatória e legal poderão ser incluídos no programa de investimentos, desde que submetido à análise econômico-financeira global, respeitando toda a governança de aprovação.</t>
  </si>
  <si>
    <t>Reunião com PO/MT (Gustavo), CG/OE (Juliana), PP/AP (Samy) e GE/PC (Renata)</t>
  </si>
  <si>
    <t>Informações</t>
  </si>
  <si>
    <t>Novo SIGO (Escopo reduzido)</t>
  </si>
  <si>
    <t>Upgrade SIGO - Sistema de Informação da Operação</t>
  </si>
  <si>
    <t>Falha grave no software que pode acarretar a perda de controle da operação e histórico de intervenções das unidades geradoras da Cemig</t>
  </si>
  <si>
    <t>Upgrade do Sistema SMO - Laboratório de Óleos</t>
  </si>
  <si>
    <t>Atualização do sistema de análises físico químicas da Cemig - SMO usado no laboratório de óleos</t>
  </si>
  <si>
    <t xml:space="preserve">Aumento da obsolescência do sistema </t>
  </si>
  <si>
    <t>A PP/AP refez os cálculos de VPL, entretanto descobriu erros no cálculo anterior e terá que refazer a análise econômico financeira da G e T.
A GE/PC solicitou formalmente à SG, conforme orientado pela PP/AP, a retirada do assunto da pauta da reunião de Diretoria do dia 15/01/2018, pois, segundo essa superintendência, entraria extra pauta se fosse necessário.</t>
  </si>
  <si>
    <t>VPL das empresas: Em R$mil
D: 526.728
G: 1.799 
T: 2.157
H: -3.766</t>
  </si>
  <si>
    <t>Análise econômico financeira refeita pela PP/AP considerando novos parâmetros</t>
  </si>
  <si>
    <t>Negócio</t>
  </si>
  <si>
    <t>TI00218</t>
  </si>
  <si>
    <t>Despesas com anuidade (b)</t>
  </si>
  <si>
    <t xml:space="preserve">Planejamento investimento (c) </t>
  </si>
  <si>
    <t>Entrega para o Programa de Adequação da D ao Regulatório (e)=(a-d)</t>
  </si>
  <si>
    <t xml:space="preserve">Ciclo 2018/2022 </t>
  </si>
  <si>
    <t>Gastos em anuidade (d)=(b+c)</t>
  </si>
  <si>
    <t>Gastos em anuidade ciclo 2018/2022 (b)</t>
  </si>
  <si>
    <t>Base de Anuidade Regulatória - BAR (a)</t>
  </si>
  <si>
    <t>Base de Anuidade Regulatória 2013/2017 - BAR (a)</t>
  </si>
  <si>
    <t>Gastos em anuidade no ciclo 2018/2022 em relação à BAR 2013/2017
(c) = (b/a)%</t>
  </si>
  <si>
    <t xml:space="preserve">Nº de Equipamentos </t>
  </si>
  <si>
    <t xml:space="preserve">CICLO 2018-2022 - DIRETRIZ CEMIG D </t>
  </si>
  <si>
    <t>R$ mil -  junho/17</t>
  </si>
  <si>
    <t>Cobertura regulatória 2013/2017</t>
  </si>
  <si>
    <t>Limite de Gastos em anuidade - ciclo 2018/2022 (CEMIG D)</t>
  </si>
  <si>
    <t>% em relação à cobertura do ciclo anterior</t>
  </si>
  <si>
    <t>Sistemas WEB e SharePoint</t>
  </si>
  <si>
    <t>Marcus Souto</t>
  </si>
  <si>
    <t>Márcio Rosa</t>
  </si>
  <si>
    <t>TI00118</t>
  </si>
  <si>
    <t>Sistemas Especialistas - GEO e GED</t>
  </si>
  <si>
    <t>Atualização da Cemignet/Portal Cemig</t>
  </si>
  <si>
    <t>TI03417</t>
  </si>
  <si>
    <t>Construção e desenvolvimento do sistema SAM no ambiente SAP ECC.</t>
  </si>
  <si>
    <t>Atrasos nos procedimentos e processos das equipes nas áreas de negócio (engenharia); Multas pelo não atendimento dos compromissos obrigatórios dentro do prazo esperado pelos agentes governamentais.</t>
  </si>
  <si>
    <t>TI04117</t>
  </si>
  <si>
    <t>TI03117</t>
  </si>
  <si>
    <t>Barramento Comercial (Canais de Atendimento Virtuais e Comunicação Bancária)</t>
  </si>
  <si>
    <t>Respostas divergentes considerando um mesmo tipo de solicitação; Impacto no atendimento comercial da Cemig, pelo aumento do uso dos canais virtuais; Alto custo para manter interfaces replicadas e despadronizadas.</t>
  </si>
  <si>
    <t>TI03517</t>
  </si>
  <si>
    <t xml:space="preserve"> Implementação de melhorias no sistema Cemig Fácil.</t>
  </si>
  <si>
    <t xml:space="preserve">Aquisição do Software analisador de protocolo. Ex.: ASE2000.
NOTA - Este software pode ser adquirido dentro do contrato das SECIs. Para isso, há necessidade da solicitação através do gerente para a EA/EP.
</t>
  </si>
  <si>
    <t>Nº de Veículos</t>
  </si>
  <si>
    <t>Veículo cargas especiais</t>
  </si>
  <si>
    <t>SC00118</t>
  </si>
  <si>
    <t>SC00117</t>
  </si>
  <si>
    <t>Rafael Braga</t>
  </si>
  <si>
    <t>COLETOR</t>
  </si>
  <si>
    <t>CD00215</t>
  </si>
  <si>
    <t>PIGD.15.687.O1.GE</t>
  </si>
  <si>
    <t>2017 - Prestobat - Itens 1 e 3 do Pedido de compras 4500029427 – 27 aparelhos de ar condicionado</t>
  </si>
  <si>
    <t>2017 - Aquisição de Bebedouro e Itens 10 e 13 do PC 4500029072 Seal Telecom</t>
  </si>
  <si>
    <t>GE00214</t>
  </si>
  <si>
    <t>Emerson de Sales Cruz</t>
  </si>
  <si>
    <t>TI03015</t>
  </si>
  <si>
    <t>TI02618</t>
  </si>
  <si>
    <t>TINV.18.D.054.RD</t>
  </si>
  <si>
    <t>Equipamentos e Softwares da Rede de Dados</t>
  </si>
  <si>
    <t>TI01118</t>
  </si>
  <si>
    <t>TINV.18.D.054.SO</t>
  </si>
  <si>
    <t>Aquisição de Produtos e Serviços de Segurança da Informação.</t>
  </si>
  <si>
    <t>Renovação dos produtos que garantem a segurança da Informação na Cemig; Renovação do Serviço de Operação da Infraestrutura de Segurança de Informação da Cemig; Renovação do serviço de análise de Vulnerabilidade dos sistemas da rede Cemig.</t>
  </si>
  <si>
    <t>TI02418</t>
  </si>
  <si>
    <t>TINV.18.D.042.SA</t>
  </si>
  <si>
    <t>Portal Geográfico Cemig - GeoPortal</t>
  </si>
  <si>
    <t>Construção de um portal unificado com diversas feições geográficas de interesse corporativo da Cemig; Utilização de uma IDE geográfica e padronização das funcionalidades espaciais; Concentração dos produtos de geoprocessamento para maior visibilidade dos usuários.</t>
  </si>
  <si>
    <t>TI02318</t>
  </si>
  <si>
    <t>TINV.18.D.042.GP</t>
  </si>
  <si>
    <t>TI00216</t>
  </si>
  <si>
    <t>TINV.15.D.042.NE</t>
  </si>
  <si>
    <t>Desenvolvimento do Módulo Gestão da Inadimplência</t>
  </si>
  <si>
    <t>Faturamento Residual Ciclo 2013-2017</t>
  </si>
  <si>
    <t>TI00416</t>
  </si>
  <si>
    <t>TINV.15.D.042.PT</t>
  </si>
  <si>
    <t>Desenvolvimento de Melhorias do Sistema Part-APR</t>
  </si>
  <si>
    <t>Faturamento Residual Ciclo 2013-2019</t>
  </si>
  <si>
    <t>TI00316</t>
  </si>
  <si>
    <t>TINV.15.D.042.NC</t>
  </si>
  <si>
    <t>Desenvolvimento do Módulo Negociação da Inadimplência</t>
  </si>
  <si>
    <t>Faturamento Residual Ciclo 2013-2020</t>
  </si>
  <si>
    <t>TI00914</t>
  </si>
  <si>
    <t>TINV.14.D.042.ES</t>
  </si>
  <si>
    <t>Faturamento Residual Ciclo 2013-2018</t>
  </si>
  <si>
    <t>TI02918</t>
  </si>
  <si>
    <t>TINV.18.D.054.SG</t>
  </si>
  <si>
    <t>AM</t>
  </si>
  <si>
    <t xml:space="preserve">Atual. Moeda - Edificações e complementos </t>
  </si>
  <si>
    <t>CI</t>
  </si>
  <si>
    <t>Captura de Investimentos</t>
  </si>
  <si>
    <t>Laudos a Serem Apresentados</t>
  </si>
  <si>
    <t>SR</t>
  </si>
  <si>
    <t>Saldo Residual</t>
  </si>
  <si>
    <t xml:space="preserve">Atual. Moeda - Telecomunicações </t>
  </si>
  <si>
    <t>TI03418</t>
  </si>
  <si>
    <t>Planejamento Macroprojeto 1-3-2</t>
  </si>
  <si>
    <t>TINV.18.G.054.PP</t>
  </si>
  <si>
    <t xml:space="preserve">Atual. de Moeda - Microinformática </t>
  </si>
  <si>
    <t>TI03518</t>
  </si>
  <si>
    <t>Planejamento Macroprojeto 1-3-3</t>
  </si>
  <si>
    <t>TINV.18.G.045.PP</t>
  </si>
  <si>
    <t>Atual. Moeda - Sistema de Informática</t>
  </si>
  <si>
    <t>Licenciamento Oracle</t>
  </si>
  <si>
    <t>TINV.18.G.042.OR</t>
  </si>
  <si>
    <t>TINV.16.G.042.IP</t>
  </si>
  <si>
    <t>TI03018</t>
  </si>
  <si>
    <t>TINV.18.G.042.PA</t>
  </si>
  <si>
    <t>TI03618</t>
  </si>
  <si>
    <t>Planejamento Macroprojeto 1-3-4</t>
  </si>
  <si>
    <t>TINV.18.G.042.PP</t>
  </si>
  <si>
    <t>Atual. Moeda - Veículos</t>
  </si>
  <si>
    <t>Atual. Moeda - Ferramentas e Equipamentos - Ciclo (2014/2018)</t>
  </si>
  <si>
    <t>MG00317</t>
  </si>
  <si>
    <t>Ferramentas e Equipamentos - MG/TA</t>
  </si>
  <si>
    <t>INGC/17/MGTA/FERR</t>
  </si>
  <si>
    <t>MG00318</t>
  </si>
  <si>
    <t>Ferramentas Cemig GT MG 2018</t>
  </si>
  <si>
    <t>INGC/18/FERR/MGCT</t>
  </si>
  <si>
    <t>MG01217</t>
  </si>
  <si>
    <t>Microhmimetro e Equipamentos - MG/CS</t>
  </si>
  <si>
    <t>INGC/17/MGCS/FERR</t>
  </si>
  <si>
    <t>Ferramentas e Equipamentos - G</t>
  </si>
  <si>
    <t>PO00117</t>
  </si>
  <si>
    <t>Aquisição de Ferramentas - PO/MG</t>
  </si>
  <si>
    <t>INGT/17/781/POMG</t>
  </si>
  <si>
    <t>PO00118</t>
  </si>
  <si>
    <t>Equipamentos para monitoramento de vibração</t>
  </si>
  <si>
    <t>INGT/18/FER/POMG</t>
  </si>
  <si>
    <t>2264/09</t>
  </si>
  <si>
    <t>Reformas e Melhorias em EC - T - 2009</t>
  </si>
  <si>
    <t>2CPO2264</t>
  </si>
  <si>
    <t>3088/12</t>
  </si>
  <si>
    <t>Reformas e Melhorias Estação de Telecomunicações da Transmissão</t>
  </si>
  <si>
    <t>INTC.12.T.054.RM</t>
  </si>
  <si>
    <t>TI03718</t>
  </si>
  <si>
    <t>Planejamento Macroprojeto 2-3-2</t>
  </si>
  <si>
    <t>TINV.18.T.054.PP</t>
  </si>
  <si>
    <t>Atual. Moeda - Microinformática</t>
  </si>
  <si>
    <t>TI03818</t>
  </si>
  <si>
    <t>Planejamento Macroprojeto 2-3-3</t>
  </si>
  <si>
    <t>TINV.18.T.045.PP</t>
  </si>
  <si>
    <t>TI03918</t>
  </si>
  <si>
    <t>Planejamento Macroprojeto 2-3-4</t>
  </si>
  <si>
    <t>TINV.18.T.042.PP</t>
  </si>
  <si>
    <t xml:space="preserve">Atual. Moeda - Ferramentas e Equipamentos </t>
  </si>
  <si>
    <t>MT00516</t>
  </si>
  <si>
    <t>Ferramentas 2016 - MT</t>
  </si>
  <si>
    <t>INAT/16/FE</t>
  </si>
  <si>
    <t>MT01017</t>
  </si>
  <si>
    <t>Ferramentas de Manutenção (Ciclo 2017-2025) - MT</t>
  </si>
  <si>
    <t>INAT/18/FE</t>
  </si>
  <si>
    <t>Ferramentas e Equipamentos - T (Ciclo 2017 - 2025)</t>
  </si>
  <si>
    <t>PO00417</t>
  </si>
  <si>
    <t>Aquisição de Diversos Equipamentos</t>
  </si>
  <si>
    <t>INGT/18/783/FERR</t>
  </si>
  <si>
    <t>2509/10</t>
  </si>
  <si>
    <t>Programa de Substituição e Modernização de Ferramentas p/ DDC</t>
  </si>
  <si>
    <t>PIGD.10.905.O1.GF</t>
  </si>
  <si>
    <t>2556/10</t>
  </si>
  <si>
    <t>Ferramentas e Equipamentos para PE</t>
  </si>
  <si>
    <t>PIGD.10.178.O1.GF</t>
  </si>
  <si>
    <t>2710/11</t>
  </si>
  <si>
    <t>Ferramentas p/ Equipes de Inspeções em LT</t>
  </si>
  <si>
    <t>PIGD.11.856.O1.GF</t>
  </si>
  <si>
    <t>2716/11</t>
  </si>
  <si>
    <t>Ferramentas p/ MD, PE, PR</t>
  </si>
  <si>
    <t>PIGD.11.896.O1.GF</t>
  </si>
  <si>
    <t>2717/11</t>
  </si>
  <si>
    <t>Ferramentas Operacionais SD/LS</t>
  </si>
  <si>
    <t>PIGD.11.896.O2.GF</t>
  </si>
  <si>
    <t>2854/11</t>
  </si>
  <si>
    <t>Termovisor para Inspeções em LT</t>
  </si>
  <si>
    <t>PIGD.11.856.O2.GF</t>
  </si>
  <si>
    <t>2896/11</t>
  </si>
  <si>
    <t>Ferramentas Operacionais para CD/DDC</t>
  </si>
  <si>
    <t>PIGD.11.896.O3.GF</t>
  </si>
  <si>
    <t>2922/11</t>
  </si>
  <si>
    <t>Ferramentas DDC 2012</t>
  </si>
  <si>
    <t>PIGD.11.896.O4.GF</t>
  </si>
  <si>
    <t xml:space="preserve">Atual. Moeda - Ferramentas </t>
  </si>
  <si>
    <t>CD00116</t>
  </si>
  <si>
    <t>Notebooks para Manutenção de Rede</t>
  </si>
  <si>
    <t>PIGD.16.687.O1.GF</t>
  </si>
  <si>
    <t>CD00315</t>
  </si>
  <si>
    <t>Ferramentas DDC 2015</t>
  </si>
  <si>
    <t>3CPOCD00315</t>
  </si>
  <si>
    <t>GE00118</t>
  </si>
  <si>
    <t>Planejamento Macroprojeto 3-4-1</t>
  </si>
  <si>
    <t>INFR.341.00118</t>
  </si>
  <si>
    <t>CD00115</t>
  </si>
  <si>
    <t>Sistema Videowall do COD</t>
  </si>
  <si>
    <t>PIGD.15.170.O1.GE</t>
  </si>
  <si>
    <t>Equipamentos de Infraestrutura para DDC 2015</t>
  </si>
  <si>
    <t>Projeto de CFTV e Conectividade do Edifício Julio Soares</t>
  </si>
  <si>
    <t>INFR.342.00414</t>
  </si>
  <si>
    <t>GE00218</t>
  </si>
  <si>
    <t>Planejamento Macroprojeto 3-4-2</t>
  </si>
  <si>
    <t>INFR.341.00218</t>
  </si>
  <si>
    <t>INFR.342.00117</t>
  </si>
  <si>
    <t xml:space="preserve">Atual. Moeda - Telecomunicações (Aureliano Chaves) </t>
  </si>
  <si>
    <t>TI01518</t>
  </si>
  <si>
    <t>Planejamento Macroprojeto 3-4-3-1</t>
  </si>
  <si>
    <t>TINV.18.D.054.PP</t>
  </si>
  <si>
    <t>Plano de Atendimento de Telecom da Base Operativa de São Gabriel</t>
  </si>
  <si>
    <t>TI03118</t>
  </si>
  <si>
    <t>Projeto Sigma - Substituição dos Gateways Mediant 1000</t>
  </si>
  <si>
    <t>TINV.18.D.054.PS</t>
  </si>
  <si>
    <t xml:space="preserve">Atual. Moeda - Microinformática </t>
  </si>
  <si>
    <t>Modernização do Parque de Microinformática - D</t>
  </si>
  <si>
    <t>TI01318</t>
  </si>
  <si>
    <t>Planejamento Macroprojeto 3-4-4</t>
  </si>
  <si>
    <t>TINV.18.D.045.PP</t>
  </si>
  <si>
    <t>Aquisição Equipamentos Móvel em Campo</t>
  </si>
  <si>
    <t>TINV.16.D.045.TB</t>
  </si>
  <si>
    <t>Sistema de Informática - Atualização Moeda</t>
  </si>
  <si>
    <t>Atualização Tecnológica p/ Modern. da Infraestrutura da Rede Corporativa</t>
  </si>
  <si>
    <t>TINV.18.D.042.OR</t>
  </si>
  <si>
    <t>Desenvolvimento do Sistema PIC</t>
  </si>
  <si>
    <t>TINV.17.D.042.PI</t>
  </si>
  <si>
    <t>TI00516</t>
  </si>
  <si>
    <t>Desenvolvimento de Portais e Mapas Geográficos</t>
  </si>
  <si>
    <t>TINV.16.D.042.MG</t>
  </si>
  <si>
    <t>TINV.17.D.042.FR</t>
  </si>
  <si>
    <t>Expansão AGV</t>
  </si>
  <si>
    <t>TINV.17.D.042.AG</t>
  </si>
  <si>
    <t>TI00716</t>
  </si>
  <si>
    <t>Licenciamento Antivirus</t>
  </si>
  <si>
    <t>TINV.16.D.045.SY</t>
  </si>
  <si>
    <t>TI00818</t>
  </si>
  <si>
    <t>TINV.18.D.054.GW</t>
  </si>
  <si>
    <t>Evolução e Sustentação Sap</t>
  </si>
  <si>
    <t>TI00918</t>
  </si>
  <si>
    <t>TINV.18.D.054.EX</t>
  </si>
  <si>
    <t>Modernização do Sistema de Aquisição de Dados e Monitoramento do COD e aquisição de EMS</t>
  </si>
  <si>
    <t>TINV.16.D.042.SC</t>
  </si>
  <si>
    <t>TI01018</t>
  </si>
  <si>
    <t>Solução de APT</t>
  </si>
  <si>
    <t>TINV.18.D.054.AP</t>
  </si>
  <si>
    <t>Aquisição de Produtos e Serviços de Segurança da Informação</t>
  </si>
  <si>
    <t>TI01213</t>
  </si>
  <si>
    <t xml:space="preserve">Edifício Aureliano Chaves - Infraestrutura de Conectividade de Rede, Wireless e Segurança </t>
  </si>
  <si>
    <t>TINV.13.D.045.AC</t>
  </si>
  <si>
    <t>TI01218</t>
  </si>
  <si>
    <t>Softwares de gerência de rede Cisco</t>
  </si>
  <si>
    <t>TINV.18.D.054.GR</t>
  </si>
  <si>
    <t>TINV.17.D.042.PG</t>
  </si>
  <si>
    <t>TI01418</t>
  </si>
  <si>
    <t>Planejamento Macroprojeto 3-4-5</t>
  </si>
  <si>
    <t>TINV.18.D.042.PP</t>
  </si>
  <si>
    <t>TI01616</t>
  </si>
  <si>
    <t>Desenvolvimento Sistema Volt</t>
  </si>
  <si>
    <t>TINV.16.D.042.VL</t>
  </si>
  <si>
    <t>TINV.15.D.042.GS</t>
  </si>
  <si>
    <t>Projeto de implantação do e-social # SIS</t>
  </si>
  <si>
    <t>TINV.14.D.042.SO</t>
  </si>
  <si>
    <t>Projeto Atlantis - Nova versão dos módulos GDIS CP</t>
  </si>
  <si>
    <t>TINV.15.D.042.AT</t>
  </si>
  <si>
    <t>TINV.17.D.042.GX</t>
  </si>
  <si>
    <t xml:space="preserve">Desenvolvimento do Sistema de Gestão de Fornecedores (SGF) </t>
  </si>
  <si>
    <t>TINV.16.D.042.SG</t>
  </si>
  <si>
    <t>TI02416</t>
  </si>
  <si>
    <t>Sistema de Inteligência de Negócios da Engenharia de Operação - SINEOP</t>
  </si>
  <si>
    <t>TINV.16.D.042.SI</t>
  </si>
  <si>
    <t>Evolução PEC</t>
  </si>
  <si>
    <t>TINV.15.D.042.PE</t>
  </si>
  <si>
    <t>Versionamento GeoÁrvores - Adequação e Integração ao G-DIS MN e Atlântis</t>
  </si>
  <si>
    <t>TINV.16.D.042.GA</t>
  </si>
  <si>
    <t>TINV.16.D.042.CS</t>
  </si>
  <si>
    <t>Equipamentos e Softwares da Rede de Dados Cisco IE-3000-8TC-E</t>
  </si>
  <si>
    <t>TI02718</t>
  </si>
  <si>
    <t>Solução para proteção da rede Cemig contra ataques pela internet.</t>
  </si>
  <si>
    <t>TINV.18.D.054.IP</t>
  </si>
  <si>
    <t>TINV.17.D.042.RT</t>
  </si>
  <si>
    <t>TINV.15.D.042.BR</t>
  </si>
  <si>
    <t>Desenvolvimento do Barramento Comercial</t>
  </si>
  <si>
    <t>TINV.17.D.042.BC</t>
  </si>
  <si>
    <t>TINV.17.D.042.ES</t>
  </si>
  <si>
    <t>TINV.17.D.042.DR</t>
  </si>
  <si>
    <t>Desenvolvimento Sistema SAM</t>
  </si>
  <si>
    <t>TINV.17.D.042.SS</t>
  </si>
  <si>
    <t>TINV.17.D.042.CF</t>
  </si>
  <si>
    <t>TINV.17.D.042.RP</t>
  </si>
  <si>
    <t>Aquisição de Solução EFD REINF</t>
  </si>
  <si>
    <t>TINV.17.D.042.RE</t>
  </si>
  <si>
    <t xml:space="preserve">Atual. Moeda - Veículos </t>
  </si>
  <si>
    <t>GE00318</t>
  </si>
  <si>
    <t>Planejamento Macroprojeto 3-4-6</t>
  </si>
  <si>
    <t>INFR.341.00318</t>
  </si>
  <si>
    <t>Modernização do Parque de Informática - Holding</t>
  </si>
  <si>
    <t>TI04018</t>
  </si>
  <si>
    <t>Planejamento Macroprojeto 4-1-2</t>
  </si>
  <si>
    <t>TINV.18.H.045.PP</t>
  </si>
  <si>
    <t xml:space="preserve">Atual. Moeda - Sistema de Informática </t>
  </si>
  <si>
    <t>Sistema de Informática</t>
  </si>
  <si>
    <t>TI01113</t>
  </si>
  <si>
    <t>Edifício Aureliano Chaves - Infraestrutura de Conectividade de Rede, Wireless e Segurança</t>
  </si>
  <si>
    <t>TINV.13.H.045.AC</t>
  </si>
  <si>
    <t>Sistema de Gestão Jurídica para o Grupo Cemig</t>
  </si>
  <si>
    <t>TINV.14.H.042.SJ</t>
  </si>
  <si>
    <t>Planejamento Macroprojeto 4-1-3</t>
  </si>
  <si>
    <t>TINV.18.H.042.PP</t>
  </si>
  <si>
    <t>Nº. 
Projeto</t>
  </si>
  <si>
    <t>Nome</t>
  </si>
  <si>
    <t>Coletor</t>
  </si>
  <si>
    <t>Valor de Execução</t>
  </si>
  <si>
    <t xml:space="preserve">Real até </t>
  </si>
  <si>
    <t>EXECUÇÃO ATÉ</t>
  </si>
  <si>
    <t xml:space="preserve">         PLANEJAMENTOS ANOS FUTUROS</t>
  </si>
  <si>
    <t>Proposta  (a)</t>
  </si>
  <si>
    <t>Orçam.Lib (b)</t>
  </si>
  <si>
    <t>Planej.
(d)</t>
  </si>
  <si>
    <t>Real
(e)</t>
  </si>
  <si>
    <t>Adiant.
(f)</t>
  </si>
  <si>
    <t>Total
(g)=(e+f)</t>
  </si>
  <si>
    <t>Comprom.
(i)</t>
  </si>
  <si>
    <t>Disposto
(j)=(g+i)</t>
  </si>
  <si>
    <t xml:space="preserve">CD </t>
  </si>
  <si>
    <t>MD00118</t>
  </si>
  <si>
    <t>MD00218</t>
  </si>
  <si>
    <t>MD00318</t>
  </si>
  <si>
    <t>Macroprojetos de Infraestrutura</t>
  </si>
  <si>
    <t>Investimentos de Prioridade 1 - P1: Projetos de investimentos cuja execução é necessária para a manutenção de processos e rotinas de Empresas de geração, transmissão, distribuição e da Cemig (Prioridade 1).</t>
  </si>
  <si>
    <t>MACROPROJETOS</t>
  </si>
  <si>
    <t>CONCEITOS</t>
  </si>
  <si>
    <t>Ferramentas</t>
  </si>
  <si>
    <r>
      <t xml:space="preserve">Conjunto de investimentos destinados à execução de serviços de campo, abrangendo equipamentos para testes e comissionamentos em subestações e redes de distribuição, para manutenção em linhas e redes de distribuição, estações de comunicação, medidores específicos (fator de potência, termovisores etc), ferramentas especiais, notebooks e dispositivos móveis de processos e outros. 
Não se incluem adaptações em veículos para atender à demanda de serviços, contempladas no respectivo macroprojeto. 
</t>
    </r>
    <r>
      <rPr>
        <u/>
        <sz val="10"/>
        <rFont val="Arial"/>
        <family val="2"/>
      </rPr>
      <t xml:space="preserve">
</t>
    </r>
    <r>
      <rPr>
        <b/>
        <u/>
        <sz val="10"/>
        <color theme="1"/>
        <rFont val="Arial"/>
        <family val="2"/>
      </rPr>
      <t>Importante</t>
    </r>
    <r>
      <rPr>
        <b/>
        <sz val="10"/>
        <color theme="1"/>
        <rFont val="Arial"/>
        <family val="2"/>
      </rPr>
      <t>: Por diretriz da área financeira, os macroprojetos Ferramentas e Equipamentos, Geração e Transmissão, respectivamente serão transferidos para a Infraestrutura no ciclo 2018/2022. Acertaremos com a PP/AP, PO/MG e PO/MT os termos dessa movimentação.</t>
    </r>
  </si>
  <si>
    <t>Edificações e Complementos</t>
  </si>
  <si>
    <t>Conjunto de investimentos destinados a:
a)   Instalações Prediais - infraestrutura dos escritórios e congêneres, incluindo reformas, adequações e regularizações. 
b)   Máquinas e equipamentos - aquisição e reforma de equipamentos como aparelhos de ar condicionado e outros.
c)   Móveis e Utensílios - móveis e utensílios, como cadeiras, mesas e armários entre outros. 
d)   Segurança Patrimonial - segurança de instalações, tais como circuitos de vigilância, roletas de acesso, equipamentos de áudio e vídeo de segurança entre outros. 
Todos esses investimentos referem-se apenas a finalidades administrativas, incluindo adaptações em áreas administrativas provocadas por obras ambientais ou para fins de telecomunicações, e excluindo-se ferramentas destinadas à execução de serviços de campo, ambos contemplados em seus respectivos macroprojetos.</t>
  </si>
  <si>
    <t>Telecomunicações - Ativo não elétrico</t>
  </si>
  <si>
    <t>Investimentos em telecomunicações não destinados aos ativos elétricos.</t>
  </si>
  <si>
    <t>TI - Microinformática</t>
  </si>
  <si>
    <t>Conjunto de investimentos relativos a aquisição/substituição de microcomputadores, dispositivos móveis (notebooks e outros) e softwares associados. 
Não se incluem investimentos associados a ativos de sistema elétrico específicos (itens de processo), contemplados em seus respectivos macroprojetos.</t>
  </si>
  <si>
    <t>Sistemas de Informática</t>
  </si>
  <si>
    <t>Conjunto de investimentos relativos a aquisição/implementação/substituição de sistemas centrais e corporativos para atender às necessidades de infraestrutura da Distribuidora. 
Abrangem-se os investimentos em sistemas relacionados à gestão, SAP, GDIS, GIS, SCADA, gerência de redes de comunicação e outros.</t>
  </si>
  <si>
    <t>Veículos</t>
  </si>
  <si>
    <t>Conjunto de investimentos e despesas de locação relativos à implementação / substituição das soluções de transporte da Distribuidora. 
Abrangem-se veículos leves, médios e pesados e suas respectivas adaptações para atender à demanda de serviços (cestas aéreas, carrocerias e outros afins).</t>
  </si>
  <si>
    <t>GE00518</t>
  </si>
  <si>
    <t>Planejamento Macroprojeto 1-3-1</t>
  </si>
  <si>
    <t>INFR.131.00618</t>
  </si>
  <si>
    <t>GE00618</t>
  </si>
  <si>
    <t>Planejamento Macroprojeto 1-3-5</t>
  </si>
  <si>
    <t>INFR.135.00718</t>
  </si>
  <si>
    <t>GE00418</t>
  </si>
  <si>
    <t>Planejamento Macroprojeto 1-3-6</t>
  </si>
  <si>
    <t>INFR.136.00518</t>
  </si>
  <si>
    <t>GE00818</t>
  </si>
  <si>
    <t>Planejamento Macroprojeto 2-3-1</t>
  </si>
  <si>
    <t>INFR.231.00918</t>
  </si>
  <si>
    <t>GE00918</t>
  </si>
  <si>
    <t>Planejamento Macroprojeto 2-3-5</t>
  </si>
  <si>
    <t>INFR.235.01018</t>
  </si>
  <si>
    <t>GE00718</t>
  </si>
  <si>
    <t>Planejamento Macroprojeto 2-3-6</t>
  </si>
  <si>
    <t>INFR.236.00818</t>
  </si>
  <si>
    <t>TI04318</t>
  </si>
  <si>
    <t>Modernização do Parque de Microinformática</t>
  </si>
  <si>
    <t>TINV.18.D.045.MP</t>
  </si>
  <si>
    <t>TI03318</t>
  </si>
  <si>
    <t>Solução de Firewall Check Point</t>
  </si>
  <si>
    <t>TINV.18.D.054.FW</t>
  </si>
  <si>
    <t>TI03218</t>
  </si>
  <si>
    <t>Aquisição de tablets MG/SB</t>
  </si>
  <si>
    <t>TINV.18.G.045.TB</t>
  </si>
  <si>
    <t>TI04818</t>
  </si>
  <si>
    <t>Licença de Software Logic Linx Hardkey</t>
  </si>
  <si>
    <t>TINV.18.G.045.LH</t>
  </si>
  <si>
    <t>TI04918</t>
  </si>
  <si>
    <t>Aquisição Pacote Software Elipse</t>
  </si>
  <si>
    <t>TINV.18.G.045.SE</t>
  </si>
  <si>
    <t>TI04418</t>
  </si>
  <si>
    <t>TINV.18.T.045.MP</t>
  </si>
  <si>
    <t>TI04718</t>
  </si>
  <si>
    <t>Arquitetura GEO (LayerCast + OpenLayers Cemig)</t>
  </si>
  <si>
    <t>TINV.18.D.042.AG</t>
  </si>
  <si>
    <t>TI04518</t>
  </si>
  <si>
    <t>TINV.18.H.045.MP</t>
  </si>
  <si>
    <t xml:space="preserve">Real Mar 2018 </t>
  </si>
  <si>
    <t>INFR.342.01218</t>
  </si>
  <si>
    <t>INFR.342.00418</t>
  </si>
  <si>
    <t>Em mil R$</t>
  </si>
  <si>
    <t>TOTAL</t>
  </si>
  <si>
    <t>DISTRIBUIÇÃO</t>
  </si>
  <si>
    <t>Distribuição - 2018</t>
  </si>
  <si>
    <t>Moeda de junho/2017</t>
  </si>
  <si>
    <t>1-3-6 Ferramentas e Equipamentos G</t>
  </si>
  <si>
    <t>2-3-6 Ferramentas e Equipamentos T</t>
  </si>
  <si>
    <t>(a)</t>
  </si>
  <si>
    <t>(b)</t>
  </si>
  <si>
    <t>Disposto até</t>
  </si>
  <si>
    <t xml:space="preserve">Compromisso  </t>
  </si>
  <si>
    <t>% Real</t>
  </si>
  <si>
    <t xml:space="preserve">Realizado até </t>
  </si>
  <si>
    <t>% Disp</t>
  </si>
  <si>
    <t>Data de atualização CEI</t>
  </si>
  <si>
    <t>GERAÇÃO</t>
  </si>
  <si>
    <t>Geração - 2018</t>
  </si>
  <si>
    <t>TRANSMISSÃO</t>
  </si>
  <si>
    <t>Transmissão - 2018</t>
  </si>
  <si>
    <t>HOLDING</t>
  </si>
  <si>
    <t>Holding - 2018</t>
  </si>
  <si>
    <t>DGTH</t>
  </si>
  <si>
    <t>DGTH - 2018</t>
  </si>
  <si>
    <t>INFR.346.00318</t>
  </si>
  <si>
    <t>Aquisição de Equipamentos para Trabalhos em Linha Viva 138kV</t>
  </si>
  <si>
    <t>INFR.346.01218</t>
  </si>
  <si>
    <t>INFR.346.01318</t>
  </si>
  <si>
    <t>MT00218</t>
  </si>
  <si>
    <t>MT - Equipamentos e Veículos</t>
  </si>
  <si>
    <t>INAT/18/VE</t>
  </si>
  <si>
    <t>INFR.342.00218</t>
  </si>
  <si>
    <t>RH00118</t>
  </si>
  <si>
    <t>Projetos de Infraestrutura RH/EC</t>
  </si>
  <si>
    <t>INFR.342.00118</t>
  </si>
  <si>
    <t>TI05118</t>
  </si>
  <si>
    <t>TINV.18.D.054.VW</t>
  </si>
  <si>
    <t>3211/12</t>
  </si>
  <si>
    <t>Sistema GDIS</t>
  </si>
  <si>
    <t>TINV.12.D.042.GS</t>
  </si>
  <si>
    <t>Real Abr 2018
PARCIAL ATÉ 30/04</t>
  </si>
  <si>
    <t>Aquisição de Equipamentos Geral  - Ar Condicionado e Bebedouro - Geração</t>
  </si>
  <si>
    <t>Aquisição de Equipamentos de Ar Condicionado e Bebedouro para várias unidades do Estado.</t>
  </si>
  <si>
    <t>Dificuldade no fornecimento de aparelhos de ar condicionado para as instalações da Cemig e consequentemente, na garantia da climatização de ambientes conforme a Portaria 3523, de 28/08/1998 do Ministério da Saúde.
Dificuldade no fornecimento de bebedouros para as instalações da Cemig e consequentemente, no fornecimento de água para os funcionários conforme normas regulamentadores.</t>
  </si>
  <si>
    <t>SC00318</t>
  </si>
  <si>
    <t>INFR.131.01518</t>
  </si>
  <si>
    <t>Flávio Henrique Silva Rosário/ Daniel Bretas</t>
  </si>
  <si>
    <t>SC00418</t>
  </si>
  <si>
    <t>INFR.342.01618</t>
  </si>
  <si>
    <t>Aquisição de Equipamentos de Ar Condicionado, Bebedouro, microondas e projetor para varias unidades do Estado.</t>
  </si>
  <si>
    <t>Dificuldade no fornecimento de aparelhos de ar condicionado para as instalações da Cemig e consequentemente, na garantia da climatização de ambientes conforme a Portaria 3523, de 28/08/1998 do Ministério da Saúde.
• Aumento nos custos de manutenção (despesa operacional), uma vez que os atuais equipamentos obsoletos são submetidos e reiterados consertos
• Comprometimento de realização de reuniões de trabalho por falta de equipamento.
• impacto direto no clima organizacional com a insatisfação e reclamação dos empregados por trabalharem em um ambiente sem o adequado fornecimento de água potável.</t>
  </si>
  <si>
    <t>TI05018</t>
  </si>
  <si>
    <t>INFR.342.01418</t>
  </si>
  <si>
    <t>Aquisição de Equipamentos Geral  - Ar Condicionado e Bebedouro - Geração - SC00318</t>
  </si>
  <si>
    <t>Aquisição de Equipamento Geral - Ar Condicionado, Bebedouro, Projetor e Microondas - Distribuição - SC00418</t>
  </si>
  <si>
    <t>Marcela Augusta</t>
  </si>
  <si>
    <t>Modernização de equipamentos e mobiliário e construção da pista off road para o curso de direção defensiva na UNIVERCEMIG.</t>
  </si>
  <si>
    <t>Modernização de equipamentos e mobiliário e construção da pista off road para o curso de direção defensiva na UNIVERCEMIG - RH00118</t>
  </si>
  <si>
    <t>Aquisição de carroceria e cesta Aérea para Trabalhos em Linha Viva 138KV</t>
  </si>
  <si>
    <t>Aquisição de carroceria e cesta Aérea para Trabalhos em Linha Viva 138KV - MD00218</t>
  </si>
  <si>
    <t>Aquisição de carroceria e montagem e cesta Aérea para Trabalhos em Linha Viva 138KV</t>
  </si>
  <si>
    <t>Aquisição Mobiliário e Refrigerador para o CGR</t>
  </si>
  <si>
    <t>TI04618</t>
  </si>
  <si>
    <t>Netadmin Gerenciamento das Estações de Trabalho</t>
  </si>
  <si>
    <t>TINV.18.D.741.NA</t>
  </si>
  <si>
    <t>Aquisição de Acelerômetros contendo base magnéticas e cabos - PO/MG</t>
  </si>
  <si>
    <t>Aquisição de Sensores de proximidade - PO/MG</t>
  </si>
  <si>
    <t>Aquisição de Fieldlogger</t>
  </si>
  <si>
    <t>Aquisição de transdutores de deslocamento</t>
  </si>
  <si>
    <t>Aquisição de transdutores lineares</t>
  </si>
  <si>
    <t>Bomba Pressão 0/700 Bar - PO/MG</t>
  </si>
  <si>
    <t>Aquisição de Acelerômetros contendo base magnéticas e cabos - PO/MG
Aquisição de Sensores de proximidade - PO/MG
PO00118Aquisição de Sensores de pressão - PO/MG
Aquisição de Fieldlogger
Aquisição de transdutores de deslocamento
Aquisição de transdutores lineares
Bomba Pressão 0/700 Bar - PO/MG</t>
  </si>
  <si>
    <t>Sistema Inspetor - Manutenção rotineira e evoluções periódicas - Implantação de inspeção informatizada utilizando PDAs associados a GPS - MG/SB</t>
  </si>
  <si>
    <t>Aquisição de 01 Deareador - MG/SB</t>
  </si>
  <si>
    <t>Aquisição de 01 bússola - MG/SB</t>
  </si>
  <si>
    <t>Aquisição de 01 Drone - MG/SB</t>
  </si>
  <si>
    <t>Aquisição de Sensores de pressão - PO/MG</t>
  </si>
  <si>
    <t>Ferramentas diversas para PO/MG</t>
  </si>
  <si>
    <t>Sistema Inspetor - Manutenção rotineira e evoluções periódicas - Implantação de inspeção informatizada utilizando PDAs associados a GPS - MG/SB
Aquisição de 01 Deareador - MG/SB
Aquisição de 01 bússola - MG/SB
Aquisição de 01 Drone - MG/SB</t>
  </si>
  <si>
    <t xml:space="preserve">Ferramentas Geração </t>
  </si>
  <si>
    <t>Ferramentas Geração 2019 - 2022</t>
  </si>
  <si>
    <t>Nº Ferramentas</t>
  </si>
  <si>
    <t>RH00218</t>
  </si>
  <si>
    <t>Aquisição de recursos pedagógicos para Univercemig</t>
  </si>
  <si>
    <t>Aquisição Pacote Software Elipse (GLE-INV-PPE-Aq-software-ElipseE3Studio)</t>
  </si>
  <si>
    <t>INFR.341.01118</t>
  </si>
  <si>
    <t>Equipamentos SPARE (Readequações Rede Operativa)</t>
  </si>
  <si>
    <t>Equipamentos para as redes LAN e WAN dos sites do interior</t>
  </si>
  <si>
    <t>Firewall para Segurança de SEs e Salas de Telemática</t>
  </si>
  <si>
    <t>Construção de uma arquitetura para otimização de camadas geográficas com armazenamento e controle de cache.</t>
  </si>
  <si>
    <t>Aumento do tempo de abertura dos painéis de informação; Time out nas solicitações para processamento das informações geográficas.</t>
  </si>
  <si>
    <t>WildFire (Palo Alto)</t>
  </si>
  <si>
    <t>Aquisição de Equipamentos de Uso Geral - SC - Geração</t>
  </si>
  <si>
    <t xml:space="preserve">Atual. Moeda - Edificações e complementos (Irapé) </t>
  </si>
  <si>
    <t>GE01113</t>
  </si>
  <si>
    <t>UHE IRAPÉ - Regularização Imobiliária</t>
  </si>
  <si>
    <t>INFR.131.01113</t>
  </si>
  <si>
    <t>Execução de bacia de contenção coberta no CDI de Sete Lagoas</t>
  </si>
  <si>
    <t>Aquisição de Equipamentos de Uso Geral - SC - Distribuição</t>
  </si>
  <si>
    <t>TI05218</t>
  </si>
  <si>
    <t>Licenciamento Bentley</t>
  </si>
  <si>
    <t>TINV.18.D.042.BE</t>
  </si>
  <si>
    <t>Recursos Pedagógicos - Ferramentas  - RH/EC</t>
  </si>
  <si>
    <t>INFR.341.01718</t>
  </si>
  <si>
    <t>GDIS</t>
  </si>
  <si>
    <t>Evolução e Sustentação JAVA - Magik</t>
  </si>
  <si>
    <t>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t>
  </si>
  <si>
    <t>Aquisição de video wall para o centro de operação de telecomunicações. Equipamento será utilizado para a supervição do sistema de telecomunicações.</t>
  </si>
  <si>
    <t>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t>
  </si>
  <si>
    <t>Dispersão das aplicações de geoprocessamento dentro da Cemignet, dificultando a localização e o acesso às funcionalidades; Falta de um padrão visual e de interface com os usuários; Aumento no custo tanto para a construção individualizada, como para as futuras manutenções.</t>
  </si>
  <si>
    <t>Ineficiência na identificação de problemas na rede. Aumento do tempo no reparo de defeitos na rede. Aumento de custo para na identificação de defeitos.</t>
  </si>
  <si>
    <t>Luciano Nunes</t>
  </si>
  <si>
    <t>Readequações DMZs</t>
  </si>
  <si>
    <t>Possibilitar a continuidade dos serviços de voz dos escritórios da Cemig Distribuição com o sistema de telefonia adquirido da CEMIGTelecom.</t>
  </si>
  <si>
    <t xml:space="preserve">Aquisição tablets MG/SB </t>
  </si>
  <si>
    <t>Aquisição de Licença do Software Logic Linx para a UHE Nova Ponte, visando repor equipamento danificado.</t>
  </si>
  <si>
    <t>Aumento de Opex com serviços de reparos e manutenção dos atuais equipamentos (Gateways Mediant 1000).</t>
  </si>
  <si>
    <t>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t>
  </si>
  <si>
    <t>Modernização de equipamentos e mobiliário UNIVERCEMIG.</t>
  </si>
  <si>
    <t>Aquisição de recursos pedagógicos para Univercemig 2018</t>
  </si>
  <si>
    <t>GE01018</t>
  </si>
  <si>
    <t>INFR.342.01818</t>
  </si>
  <si>
    <t>TI05318</t>
  </si>
  <si>
    <t>Licenças WARPZ</t>
  </si>
  <si>
    <t>TINV.18.D.762.WZ</t>
  </si>
  <si>
    <t>Mariana Tanure</t>
  </si>
  <si>
    <t>SC00518</t>
  </si>
  <si>
    <t>INFR.342.02118</t>
  </si>
  <si>
    <t xml:space="preserve">AQUISIÇÃO EXTINTORES DE INCÊNDIO - SE's CEMIG D-REGIONAIS LESTE E VALE DO AÇO </t>
  </si>
  <si>
    <t>CE</t>
  </si>
  <si>
    <t>DRC</t>
  </si>
  <si>
    <t>Tércia Moreira</t>
  </si>
  <si>
    <t>Aquisição de equipamentos de video/imagem para CE</t>
  </si>
  <si>
    <t>Rótulos de Linha</t>
  </si>
  <si>
    <t>--</t>
  </si>
  <si>
    <t>MG</t>
  </si>
  <si>
    <t>Leonardo Victoretti , Mateus Trevisani, Diego Thadeu 31-3535-7617
SIT-944 351</t>
  </si>
  <si>
    <t>MG00818</t>
  </si>
  <si>
    <t>INFR.131.02218</t>
  </si>
  <si>
    <t>AQUISIÇÃO DE EQUIPAMENTO GERAL PARA MG</t>
  </si>
  <si>
    <t>TI05818</t>
  </si>
  <si>
    <t>TINV.18.G.042.SB</t>
  </si>
  <si>
    <t>GR00118</t>
  </si>
  <si>
    <t>Aquisição da Câmara Climática</t>
  </si>
  <si>
    <t>INFR.341.01918</t>
  </si>
  <si>
    <t>Aquisição de Extintores de Incêndio - SE's Cemig D - Regionais Leste e Vale do Aço</t>
  </si>
  <si>
    <t>TI05418</t>
  </si>
  <si>
    <t>TINV.18.D.054.DM</t>
  </si>
  <si>
    <t>TI05518</t>
  </si>
  <si>
    <t>TINV.18.D.054.EP</t>
  </si>
  <si>
    <t>TI05618</t>
  </si>
  <si>
    <t>TINV.18.D.054.ME</t>
  </si>
  <si>
    <t>TI05718</t>
  </si>
  <si>
    <t>Projeto Compartilhamento de Infraestrutura</t>
  </si>
  <si>
    <t>TINV.18.D.042.CI</t>
  </si>
  <si>
    <t>SC00618</t>
  </si>
  <si>
    <t>INFR.342.02418</t>
  </si>
  <si>
    <t>SC00718</t>
  </si>
  <si>
    <t>INFR.342.02518</t>
  </si>
  <si>
    <t>Registrador eletrônico de ponto</t>
  </si>
  <si>
    <t>AD/AC</t>
  </si>
  <si>
    <t>AD/AD</t>
  </si>
  <si>
    <t>CE00118</t>
  </si>
  <si>
    <t>INFR.342.02618</t>
  </si>
  <si>
    <t>Aquisição de Equipamento Geral p/ MG</t>
  </si>
  <si>
    <t>TI06118</t>
  </si>
  <si>
    <t xml:space="preserve">Solução de Firewall Check Point </t>
  </si>
  <si>
    <t>TINV.18.T.054.FW</t>
  </si>
  <si>
    <t>TI05918</t>
  </si>
  <si>
    <t>TINV.18.D.054.RO</t>
  </si>
  <si>
    <t>Projeto Compartilhamento de Infraestrutura (antigo Projeto Uso Mútuo)</t>
  </si>
  <si>
    <t>GE01118</t>
  </si>
  <si>
    <t>Fábio</t>
  </si>
  <si>
    <t>Pedro Alberto</t>
  </si>
  <si>
    <t>MG/TR</t>
  </si>
  <si>
    <t>Evolução SGCP - Sistema de Gestão e Controle de Patrocínio</t>
  </si>
  <si>
    <t>Desenvolvimento de novas funcionalidades no sistema SGCP; Adequação do processo de gestão dos patrocínios na empresa.</t>
  </si>
  <si>
    <t>Obsolescência da solução de gestão de patrocínios da empresa; Ocorrência de erros que podem gerar inconformidades; Falta de compatibilidade do sistema com os processos vigentes na empresa.</t>
  </si>
  <si>
    <t xml:space="preserve"> Nº de Equipamentos </t>
  </si>
  <si>
    <t>Aquisição de solução e ativos de Rede IP para reestruturação das DMZs das redes Corporativa e Operativa da Cemig; Atualização tecnológica da solução, que garante segmentação de redes para prover segurança contra ataques cibernéticos.</t>
  </si>
  <si>
    <t>Indisponibilidade de sistemas críticos, provocada por ataques cibernéticos; Indisponibilidade de sistemas críticos, provocada porfalhas em equipamentos desatualizados e sem suporte do fabricante; Roubo de informações críticas em decorrência de ataques cibernéticos.</t>
  </si>
  <si>
    <t>Evolução Portal Cemig (Sharepoint)</t>
  </si>
  <si>
    <t>Reconstrução do Portal Cemig na internet</t>
  </si>
  <si>
    <t>Pontes fase 2 - Aquisição de Routers para eliminação de Terminais Servers</t>
  </si>
  <si>
    <t>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t>
  </si>
  <si>
    <t>Desenvolvimento de um Front Ende para o Portal Médico; Acesso a laudos e informações médicas por meio da internet.</t>
  </si>
  <si>
    <t>Aquisição e implantação de equipamentos para atualização tecnológica de estruturas de redes Operativas e Corporativas envolvendo Rede Subterrânea e SCADA; Melhoria da disponibilidade e do desempenho de estruturas de rede que suportam aplicações críticas.</t>
  </si>
  <si>
    <t>Licenças WARPZ de otimização de programas no ambiente SAP</t>
  </si>
  <si>
    <t>Otimização do processamento no ambiente SAP, realizado por programas ABAP utilizando  20 licenças  do produto WARPZ , com o objetivo de reduzir o tempo de execução dos programas, menor necessidade de hardwares como memorias e processadores.</t>
  </si>
  <si>
    <t>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t>
  </si>
  <si>
    <t>Diminuição do acesso ao site da empresa na internet; Time out nas solicitações para processamento das informações.</t>
  </si>
  <si>
    <t>Indisponibilidade de aplicações Operativas em função de falhas de rede; Gastos que poderiam ser evitados com canais de comunicação de Operadoras.</t>
  </si>
  <si>
    <t>Utilização de papel no envio das informações; Maior tempo para a divulgação das informações aos interessados; Extravios e acesso indevido às informações pessoais.</t>
  </si>
  <si>
    <t>Indisponibilidade de estruturas Operativas e Corporativas  em função de falhas de rede e falta de equipamentos Reserva para substituição; Indisponibilidade de estruturas Operativas e Corporativas  em função de falhas  de equipamentos por obsolescência.</t>
  </si>
  <si>
    <t>Necessitar maior investimento em hardware de processamento; Ocorrer frequentemente reclamação em função de problema de desempenho no processo on-line provocado por atraso no processamento da Janela batch;</t>
  </si>
  <si>
    <t>Risco regulatório por não atendimento da resolução (RC004/2014); Perda de oportunidade de melhoria da base cadastral de compartilhamento de infraestrutura; Possível perda de receita devido falta de ferramentas para gestão do compartilhamento de infraestrutura.</t>
  </si>
  <si>
    <t>N° Sistemas/Versões/Releases Implantadas</t>
  </si>
  <si>
    <t>Pontos de Função</t>
  </si>
  <si>
    <t>Licenciamento</t>
  </si>
  <si>
    <t>N° de Licenças</t>
  </si>
  <si>
    <t>UST</t>
  </si>
  <si>
    <t xml:space="preserve"> N° de Firewalls </t>
  </si>
  <si>
    <t>NA1</t>
  </si>
  <si>
    <t>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t>
  </si>
  <si>
    <t>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t>
  </si>
  <si>
    <t xml:space="preserve">Atualizações de versão de software para Solução de Firewall Check Point </t>
  </si>
  <si>
    <t>Proteção do ambiente corporativo da CEMIG contra ataques, invasões oriundas da Internet e terceiros; Autorização e controle de acesso remoto ao ambiente corporativo; Garantir a comunicação da Cemig com a CCEE e com os grandes consumidores de energia da Cemig.</t>
  </si>
  <si>
    <t>Aparelho para serviços de telefonia via satélite.</t>
  </si>
  <si>
    <t>Exposição inadequada das informações da Cemig; Contaminação dos dados da Rede Corporativa; Indisponibilidade de sistemas corporativos.</t>
  </si>
  <si>
    <t>Licenciamento Microsoft G</t>
  </si>
  <si>
    <t>Licenciamento Microsoft H</t>
  </si>
  <si>
    <t>Licenciamento HEXAGON G</t>
  </si>
  <si>
    <t>Licenciamento de Softwares (Oracle) D</t>
  </si>
  <si>
    <t>Licenciamento de Softwares (Oracle) G</t>
  </si>
  <si>
    <t>Modernização do Parque Microinformática (CORPORATIVO) D</t>
  </si>
  <si>
    <t>Modernização do Parque Microinformática (CORPORATIVO) G</t>
  </si>
  <si>
    <t>Modernização do Parque Microinformática (CORPORATIVO) T</t>
  </si>
  <si>
    <t>Modernização do Parque Microinformática (CORPORATIVO) H</t>
  </si>
  <si>
    <t>Evolução e Sustentação SAP TI03217</t>
  </si>
  <si>
    <t>Evolução e Sustentação SAP TI00914</t>
  </si>
  <si>
    <t>Comunicação via Satélite (Telefonia)</t>
  </si>
  <si>
    <t>HP SERVICE MANAGER G</t>
  </si>
  <si>
    <t>HP SERVICE MANAGER D</t>
  </si>
  <si>
    <t>Distribuição - Ciclo 2018/2022</t>
  </si>
  <si>
    <t>Geração - Ciclo 2018/2022</t>
  </si>
  <si>
    <t>Transmissão - Ciclo 2018/2022</t>
  </si>
  <si>
    <t>Holding - Ciclo 2018/2022</t>
  </si>
  <si>
    <t>DGTH- Ciclo 2018/2022</t>
  </si>
  <si>
    <t>LAUDO</t>
  </si>
  <si>
    <t>ODI</t>
  </si>
  <si>
    <t>RC</t>
  </si>
  <si>
    <t>PC</t>
  </si>
  <si>
    <t>Planejamento
Atual</t>
  </si>
  <si>
    <t>(c)</t>
  </si>
  <si>
    <t>TI06618</t>
  </si>
  <si>
    <t>Comunicação via Satélite</t>
  </si>
  <si>
    <t>TINV.18.T.054.SA</t>
  </si>
  <si>
    <t>Aquisição de equipamento fotográfico para a CE</t>
  </si>
  <si>
    <t>TI06218</t>
  </si>
  <si>
    <t>TINV.18.D.042.PC</t>
  </si>
  <si>
    <t>TI06318</t>
  </si>
  <si>
    <t xml:space="preserve"> TINV.18.D.042.SG</t>
  </si>
  <si>
    <t>TI06418</t>
  </si>
  <si>
    <t>TINV.18.D.042.SS</t>
  </si>
  <si>
    <t>TI06518</t>
  </si>
  <si>
    <t>TINV.18.D.054.FI</t>
  </si>
  <si>
    <t>Projeto com início previsto para 2018 (R$ 1.513 mil) postergado para 2019 devido a dificuldades com adaptação dos implementos nos veículos disponíveis e diferença de prazo de entrega, que era 60 dias e nos novos orçamentos foi de 150.</t>
  </si>
  <si>
    <t>Alongamento da curva de desembolso.</t>
  </si>
  <si>
    <t>Emerson Sidney</t>
  </si>
  <si>
    <t>Aquisição de Equipamento Geral (câmera fotográfica) para EM</t>
  </si>
  <si>
    <t>EM00118</t>
  </si>
  <si>
    <t>EM00218</t>
  </si>
  <si>
    <t>INFR.341.02718</t>
  </si>
  <si>
    <t>INFR.342.02818</t>
  </si>
  <si>
    <t>Aquisição de veículo para MD para instalação de Sistema Veicular de Inspeção Termográfica e Visual para inspeção de subestações, redes e linhas aéreas.</t>
  </si>
  <si>
    <t xml:space="preserve">José Flávio </t>
  </si>
  <si>
    <t>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t>
  </si>
  <si>
    <t>Será feita uma compra internacional, cujo prazo de entrega após o processo licitatória é de 7 (sete) meses.</t>
  </si>
  <si>
    <t>Houve alteração de mercado em relação às opções até então disponíveis. Necessidade de prospectar novamente no mercado e construir a especificação técnica.</t>
  </si>
  <si>
    <t>Trata-se de desenvolvimento do produto.</t>
  </si>
  <si>
    <t>Alongamento da curva de desembolso, para atendimento à demanda financeira da empresa.</t>
  </si>
  <si>
    <t>Orçamento de mercado superior ao previsto em função de variação do dólar. O desembolso ocorre na entrega do pagamento, logo houve antecipação.</t>
  </si>
  <si>
    <t>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t>
  </si>
  <si>
    <t>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t>
  </si>
  <si>
    <t>Alongamento da curva de desembolso, para atendimento à demanda financeira da empresa em conjunto com dificuldade de rastreamento do projeto, devido a desligamento de empregado pelo PDVP sem gestão do conhecimento.</t>
  </si>
  <si>
    <t>Alongamento da curva de desembolso, para atendimento à demanda financeira da empresa. Além disso, está sendo elaborada pelo SC ata de registro de preços para obras, a fim de viabilizar execução dos trabalhos a partir de 2018.</t>
  </si>
  <si>
    <t>Projeto em planejamento, desembolso previsto apenas para 2019.</t>
  </si>
  <si>
    <t>Cancelamento do projeto, devido a nova iniciativa que vem a substituir sua demanda. Previsto recurso mais baixo para aquisição de catraca para reposição em interiores, até a implantação total do projeto.</t>
  </si>
  <si>
    <t>É necessário contratação de projeto executivo para realização de obras. O projeto está previsto para 2018. No entanto, a obra será desembolsada em 2019.</t>
  </si>
  <si>
    <t>Alongamento da curva de desembolso, para atendimento à demanda financeira da empresa. Além de necessidade de contratação de projeto anterior a obra, o que traz a necessidade de postergação do valor da obra.</t>
  </si>
  <si>
    <t>Sistemas de Ar Condicionado da Transmissora - Ses</t>
  </si>
  <si>
    <t>Tiago Leite</t>
  </si>
  <si>
    <t>Sistemas de Ar Condicionado SEs</t>
  </si>
  <si>
    <t>Sistema de Controle de Jornada</t>
  </si>
  <si>
    <t>Software: Banco de Preço e Inteligência em Compras</t>
  </si>
  <si>
    <t>Software: Chatbot de atendimento do cadastro de fornecedores</t>
  </si>
  <si>
    <t>Solução de QOS/Monitoramento de Rede</t>
  </si>
  <si>
    <t>Otimização dos Ativos de Betim</t>
  </si>
  <si>
    <t>TI06818</t>
  </si>
  <si>
    <t>TINV.18.G.042.OS</t>
  </si>
  <si>
    <t>TI07218</t>
  </si>
  <si>
    <t>Licenciamento Microsoft</t>
  </si>
  <si>
    <t>TINV.18.G.045.MS</t>
  </si>
  <si>
    <t>TI06718</t>
  </si>
  <si>
    <t>TINV.18.D.045.TF</t>
  </si>
  <si>
    <t>TI07018</t>
  </si>
  <si>
    <t>TINV.18.D.045.MS</t>
  </si>
  <si>
    <t>TI07118</t>
  </si>
  <si>
    <t>TINV.18.H.045.MS</t>
  </si>
  <si>
    <t>Real até mai/18</t>
  </si>
  <si>
    <t>Plan jun/18</t>
  </si>
  <si>
    <t>Plan jul/18</t>
  </si>
  <si>
    <t>Plan ago/18</t>
  </si>
  <si>
    <t>Plan set/18</t>
  </si>
  <si>
    <t>Plan out/18</t>
  </si>
  <si>
    <t>Plan nov/18</t>
  </si>
  <si>
    <t>Plan dez/18</t>
  </si>
  <si>
    <t>Negócio/Macroprojeto</t>
  </si>
  <si>
    <t>Econômico</t>
  </si>
  <si>
    <t>Financeiro</t>
  </si>
  <si>
    <t>Real até junho/18</t>
  </si>
  <si>
    <t>Plan jan/19</t>
  </si>
  <si>
    <t>Plan fev/19</t>
  </si>
  <si>
    <t>Plan mar/19</t>
  </si>
  <si>
    <t>Plan abr/19</t>
  </si>
  <si>
    <t>Plan mai/19</t>
  </si>
  <si>
    <t>Plan jun/19</t>
  </si>
  <si>
    <t>Otimização dos Ativos de Lavras</t>
  </si>
  <si>
    <t>3CPOGE01118</t>
  </si>
  <si>
    <t>Sistema Multiponto</t>
  </si>
  <si>
    <t>Distribuição - 2018 (Apenas projetos DDC)</t>
  </si>
  <si>
    <t>José Luciano</t>
  </si>
  <si>
    <t>Aquisição de Equipamento Geral para Diretoria</t>
  </si>
  <si>
    <t>Franco Menho Silva</t>
  </si>
  <si>
    <t>PO/PE</t>
  </si>
  <si>
    <t>Ivan Sérgio Carneiro</t>
  </si>
  <si>
    <t>MG/CT</t>
  </si>
  <si>
    <t>Elisete Dias Costa Miranda</t>
  </si>
  <si>
    <t>Alexsandro Teixeira Gomes</t>
  </si>
  <si>
    <t>Antônio Carlos Arantes</t>
  </si>
  <si>
    <t>José Maria Nascimento Filho</t>
  </si>
  <si>
    <t>Diogo Martins</t>
  </si>
  <si>
    <t>Adriana de Castro Passos Martins</t>
  </si>
  <si>
    <t>Diego Balbi</t>
  </si>
  <si>
    <t>ALEXANDRE VAZ DE MELO</t>
  </si>
  <si>
    <t>Daniel Bretas</t>
  </si>
  <si>
    <t>PE/OS</t>
  </si>
  <si>
    <t>Cleber Esteves Sacramento</t>
  </si>
  <si>
    <t>Marisa Lages Murta</t>
  </si>
  <si>
    <t>Sandro de Castro Assis - 3506-2967</t>
  </si>
  <si>
    <t>Rodrigo Otávio Carneiro Moreira
3506 2966</t>
  </si>
  <si>
    <t>Reginaldo de Almeida Silva
3506-2964</t>
  </si>
  <si>
    <t>CD/GI</t>
  </si>
  <si>
    <t>Luiz Augusto Costa</t>
  </si>
  <si>
    <t>RH/AP</t>
  </si>
  <si>
    <t>Paulo Cesar Soares</t>
  </si>
  <si>
    <t>Amantino Alves da Costa</t>
  </si>
  <si>
    <t>TI, PS e MS</t>
  </si>
  <si>
    <t>Leandro Corrêa de Castro - PS/ES</t>
  </si>
  <si>
    <t>Ormindo Filho</t>
  </si>
  <si>
    <t>Instrumentos da Distribuidora - Equipe Campo</t>
  </si>
  <si>
    <t>Instrumentos de teste de equipamentos de telecomunicações.</t>
  </si>
  <si>
    <t>Demora no reparo dos equipamentos de telecomunicações e fibra óptica.</t>
  </si>
  <si>
    <t>Instrumentos da Transmissora - Equipe Campo</t>
  </si>
  <si>
    <t>Aquisição de Instrumentos da Transmissora para suporte e manutenção em estações de comunicação</t>
  </si>
  <si>
    <t>Postergação do desembolso para adequação da curva de investimento.</t>
  </si>
  <si>
    <t>Revisão do valor em virtude do balizamento de preços.</t>
  </si>
  <si>
    <t>Revisão do escopo do projeto, considerando necessidade do sistema pela área usuária.</t>
  </si>
  <si>
    <t>Revisão de escopo do projeto, considerando a necessidade de atualização dos servidores.</t>
  </si>
  <si>
    <t>Revisão de escopo do projeto, considerando ganho obtido na contratação.</t>
  </si>
  <si>
    <t>Revisão do escopo do projeto, incorporando ganhos obtidos na negociação do licenciamento.</t>
  </si>
  <si>
    <t>Postergação do desembolso, conforme estratégia de contratação/renovação dos produtos licenciados.</t>
  </si>
  <si>
    <t>Revisão do escopo do projeto, conforme demanda da área usuária.</t>
  </si>
  <si>
    <t>Revisão do escopo do projeto, com postergação do desembolso conforme cronograma de execução.</t>
  </si>
  <si>
    <t>Demanda incorporada à carteira, considerando remanejamento entre projetos.</t>
  </si>
  <si>
    <t>Revisão do escopo do projeto.</t>
  </si>
  <si>
    <t>Revisão do escopo do projeto alinhada com a proposta de redução dos cabos OPGW das subestações, bem como nos escritórios da MT e MG devido à entrega das concessões das usinas no Triângulo.</t>
  </si>
  <si>
    <t>Revisão do escopo do projeto, conforme novas demandas de equipamentos.</t>
  </si>
  <si>
    <t>Revisão do escopo do projeto, conforme definições da estrutura de segurança e conectividade.</t>
  </si>
  <si>
    <t>Demanda incorporada à carteira, considerando a estratégia de contratação do serviço de Data Center.</t>
  </si>
  <si>
    <t>Postergação do desembolso em virtude de atraso na implantação/integração com o GDIS 2.0.</t>
  </si>
  <si>
    <t>Revisão do escopo do projeto, considerando as demandas dos canais de atendimento virtuais e comunicação bancária.</t>
  </si>
  <si>
    <t>Antecipação do desembolso, conforme necessidade de atualização do sistema.</t>
  </si>
  <si>
    <t>Revisão do escopo do projeto, conforme demandas de sustentação e evolução dos ambientes CCS, CRM, BW, BPC, BO e ECC (ERP).</t>
  </si>
  <si>
    <t>Revisão do escopo do projeto, conforme demandas do Plano de Resultados.</t>
  </si>
  <si>
    <t>Antecipação do desembolso de 2020 para atendimento da integração Atlântis.</t>
  </si>
  <si>
    <t>Revisão do escopo do projeto, considerando as demandas de geoprocessamento.</t>
  </si>
  <si>
    <t>Revisão de escopo. Antecipação de desembolso em virtude de requisito de segurança de rede.</t>
  </si>
  <si>
    <t>Revisão do cronograma de desembolso, considerando demandas do GDIS 2.0.</t>
  </si>
  <si>
    <t>Antecipação do desembolso, conforme necessidade do sistema pela área usuária.</t>
  </si>
  <si>
    <t>Revisão do escopo do projeto, conforme requisitos de desenvolvimento do Sistema FROTA.</t>
  </si>
  <si>
    <t>Desenvolvimento CRM DCM – Plataforma Sales Force</t>
  </si>
  <si>
    <t>Aquisição de Ferramentas para EM</t>
  </si>
  <si>
    <t>Aquisição de Equipamento Geral para EM</t>
  </si>
  <si>
    <t>TI07318</t>
  </si>
  <si>
    <t>Central Telefônica - Upgrade BCT</t>
  </si>
  <si>
    <t>TINV.18.D.054.CT</t>
  </si>
  <si>
    <t>Aquisição/Instalação de Porta Pallets no CDA Igarapé</t>
  </si>
  <si>
    <t>INFR.341.03018</t>
  </si>
  <si>
    <t>EA00118</t>
  </si>
  <si>
    <t xml:space="preserve">Afonso Vanderlei Nunes Barbosa EA/EP
Beline Q. A. Fonseca EA/EO
José William Campomizzi EA/EL
</t>
  </si>
  <si>
    <t>EA</t>
  </si>
  <si>
    <t>Aquisição de um par de Receptor GPS de dupla frequência L1/L2 - RTK  – Incluindo software de descarregamento e transformação dos dados brutos para formato RINEX e seus acessórios 
Aquisição de uma estação total e seus acessórios  (mira, tripé, bolsae caixa de transporte, baliza e bastão de aluminio, baterias, controladora e trena eletrônica)
Aquisição de 4 Notebook´s para utilização dos técnicos de automação e comissionamento (2 Xomni e 2 Softer analisador de protocolo) 
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
Substituição de dois notebooks obsoletos (Agnaldo Neves e Ricardo Dourado).
Aquisição de 4 máquinas fotográficas digital com Zoom ótico maior que 28X</t>
  </si>
  <si>
    <t>Aumento do custo de mão-obra própria com o uso das tecnologias atuais;
Aumento do riscos de má qualidade do projetos;
Risco de atraso nas obras;
Dependencia de software  e hardware (Notebooks) das equipes de manutenção regional que nem sempre estao disponiveis .
Contribui para a morosidade na tomada de decisão do engenheiro de obra.
Demora na disponibilização de informações de campo e prestação de contas em sistemas corporativos.
A fiscalização, no solo, da montagem de estrturas em LD´s , pórticos etc.. Durante o pre-comissionamento, ocasionando o retrabalho do comissionamento das equipes de LD´s regionais.</t>
  </si>
  <si>
    <t>Aquisição de Ferramentas para EA
Junção dos seguintes projetos:
Modernização do parque tecnológio da EA/EP para serviços geodésicos.
Modernização do parque tecnológio da EA/EP para serviços topográficos
Aquisição de 4 computadores  Notebook.
Aquisição de Smartfone para os fiscais de obra, com recurso de internet e boa resolução para registro fotográfico, acesso em campo aos sistemas GESET e GEDEX.
Aquisição de 2 computadores do tipo Notebook.
Aquisição de uma máquina fotográfica Semi profissional</t>
  </si>
  <si>
    <t>INFR.341.02918</t>
  </si>
  <si>
    <t>AD00118</t>
  </si>
  <si>
    <t>Aquisição de Ferramentas p/ AD/AD</t>
  </si>
  <si>
    <t>Aquisição de Ferramentas p/ EA</t>
  </si>
  <si>
    <t>Aquisição de Ferramentas p/ EM</t>
  </si>
  <si>
    <t>Aquisição de Ferramentas para a AD/AD
Junção dos seguintes projetos:
Equipamento analisador de nível de sinal celular - AQS 
Ferramentas e equipamentos para Laboratório de testes de equipamentos  em Uberlândia</t>
  </si>
  <si>
    <t>Elevação de custos de OPEX com serviço de campo para  manutenção do pontos que apresentam baixa performance para operação do COD.  Não será capturado melhoria dos indicadores de qualidade, dentre eles o DEC
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t>
  </si>
  <si>
    <t>Aquisição de 25 equipamento analisador de nível de sinal celular - AQS 
Aquisição de equipamentos para testes em equipamentos de rede em Uberlândia (Fonte de corrente 300A,Hipots 10kV, Alicates volt amperímetro CAT IV e fontes de tensão VCC estabilizada)</t>
  </si>
  <si>
    <t>TI07418</t>
  </si>
  <si>
    <t>Aquisição de Software analisador de protocolos</t>
  </si>
  <si>
    <t>TINV.18.D.045.AP</t>
  </si>
  <si>
    <t>TI07518</t>
  </si>
  <si>
    <t>Licenciamento NIX</t>
  </si>
  <si>
    <t>TINV.18.D.042.NI</t>
  </si>
  <si>
    <t>TI07618</t>
  </si>
  <si>
    <t>TINV.18.H.762.SF</t>
  </si>
  <si>
    <t>MD</t>
  </si>
  <si>
    <t>Fabio Henrique de Souza</t>
  </si>
  <si>
    <t>SC00918</t>
  </si>
  <si>
    <t>INFR.342.03218</t>
  </si>
  <si>
    <t>SC00818</t>
  </si>
  <si>
    <t>INFR.342.03118</t>
  </si>
  <si>
    <t>Aquisição de carrinho para a cozinha da Diretoria</t>
  </si>
  <si>
    <t>Aquisição de carrinho para a cozinha da Diretoria visando melhorar a infraestrutura da cozinha e dos serviços prestados à Diretoria</t>
  </si>
  <si>
    <t>Queda na qualidade do atendimento à Diretoria</t>
  </si>
  <si>
    <t>TI08018</t>
  </si>
  <si>
    <t>Bancos de Baterias da Geradora</t>
  </si>
  <si>
    <t>TINV.18.G.054.BC</t>
  </si>
  <si>
    <t>TI07918</t>
  </si>
  <si>
    <t>TINV.18.D.054.BC</t>
  </si>
  <si>
    <t>TI03017</t>
  </si>
  <si>
    <t>Atualização Hardware IBM</t>
  </si>
  <si>
    <t>TINV.17.D.045.HI</t>
  </si>
  <si>
    <t>INFR.131.03518</t>
  </si>
  <si>
    <t>MS00118</t>
  </si>
  <si>
    <t>INFR.342.03318</t>
  </si>
  <si>
    <t>SC01018</t>
  </si>
  <si>
    <t>Carrinhos p/ Cozinha da Diretoria</t>
  </si>
  <si>
    <t>Substituição do telhado do CRIU de Uberlândia</t>
  </si>
  <si>
    <t>TI08218</t>
  </si>
  <si>
    <t>Evolução do Sistema MECE - Centro de Medição</t>
  </si>
  <si>
    <t>TINV.18.D.042.MC</t>
  </si>
  <si>
    <t>(b/a)</t>
  </si>
  <si>
    <t xml:space="preserve">(c) </t>
  </si>
  <si>
    <t>(d)=(b+c)</t>
  </si>
  <si>
    <t>(e)=(d/a)</t>
  </si>
  <si>
    <t>30.07.2018</t>
  </si>
  <si>
    <t>Aquisição de recursos pedagógicos para Univercemig - RH00218</t>
  </si>
  <si>
    <t>Aquisição 1 dinamômetro 2 Ton para atendimento NR35</t>
  </si>
  <si>
    <t>Aquisição  1 alicate mili-amperímetro de processo</t>
  </si>
  <si>
    <t>Ferramenta necessária para cumprimento dos requisitis da NR35 na checagem de pontos de ancoragem.</t>
  </si>
  <si>
    <t>Ferramenta utilizada na medição de corrente sem necessidade de rompimento de cabos, aumentando a eficiência e reduzindo os riscos de acidentes.</t>
  </si>
  <si>
    <t>GE/PC</t>
  </si>
  <si>
    <t>Viviane Fernanda</t>
  </si>
  <si>
    <t>Saldo 1-3-6 Ferramentas da Geração</t>
  </si>
  <si>
    <t>Luiz Augusto</t>
  </si>
  <si>
    <t>Equipamentos de Uso Geral</t>
  </si>
  <si>
    <t>INFR.131.01018</t>
  </si>
  <si>
    <t>TI07818</t>
  </si>
  <si>
    <t>Sistemas de Ar Condicionado da Transmissora</t>
  </si>
  <si>
    <t>TINV.18.T.045.AR</t>
  </si>
  <si>
    <t>MT50118</t>
  </si>
  <si>
    <t>Aquisição de Ferramentas 2019</t>
  </si>
  <si>
    <t>INAT/19/FE</t>
  </si>
  <si>
    <t>Aquisição de equipamentos para o laboratório de ensaios do novo CDM</t>
  </si>
  <si>
    <t>TI07718</t>
  </si>
  <si>
    <t>Sistemas de Ar Condicionado - Ses</t>
  </si>
  <si>
    <t>TINV.18.D.045.AR</t>
  </si>
  <si>
    <t>Alex de Assis</t>
  </si>
  <si>
    <t>TI08318</t>
  </si>
  <si>
    <t>Sant Clair</t>
  </si>
  <si>
    <t>Aquisição de Equipamento Geral para GE/PC</t>
  </si>
  <si>
    <t>Licenciamento ASPEN</t>
  </si>
  <si>
    <t>Software: Gestão de Suprimentos - ARIBA</t>
  </si>
  <si>
    <t>RH</t>
  </si>
  <si>
    <t>Daniel Macedo</t>
  </si>
  <si>
    <t>MS</t>
  </si>
  <si>
    <t>Pablo</t>
  </si>
  <si>
    <t>Arquivo deslizante - readequação do arquivo da MS/CS e MS/MT</t>
  </si>
  <si>
    <t>AQUISIÇÃO DE FERRAMENTAS MT 2019</t>
  </si>
  <si>
    <t>Saldo 1-3-1 Edificações G</t>
  </si>
  <si>
    <t>Aquisição de ferramentas de manutenção diversas 2018 - MT01017</t>
  </si>
  <si>
    <t>AQUISIÇÃO DE FERRAMENTAS MT SALDO NA 2019 e 2020</t>
  </si>
  <si>
    <t>SC01318</t>
  </si>
  <si>
    <t>INFR.342.03618</t>
  </si>
  <si>
    <t>Saldo 3-4-1 Ferramentas D</t>
  </si>
  <si>
    <t>Saldo 3-4-2 Edificações D</t>
  </si>
  <si>
    <t>GE01418</t>
  </si>
  <si>
    <t>INFR.342.03718</t>
  </si>
  <si>
    <t>Assistente Virtual (Chatbot) para Cadastro de Fornecedores da Cemig</t>
  </si>
  <si>
    <t>TINV.18.D.042.CH</t>
  </si>
  <si>
    <t>TI08418</t>
  </si>
  <si>
    <t>Desenvolvimento de painéis na plataforma de BI Qlik Sense</t>
  </si>
  <si>
    <t>TINV.18.D.042.QS</t>
  </si>
  <si>
    <t xml:space="preserve">Desenvolvimento de painéis na plataforma de BI Qlik Sense </t>
  </si>
  <si>
    <t>Programa de Substituição e Modernização de Ferramentas MD/CS 2018</t>
  </si>
  <si>
    <t>Programa de Substituição e Modernização de Ferramentas MD/CS - NA</t>
  </si>
  <si>
    <t>Aquisição de Equipamento Geral - Ar Condicionado, Bebedouro, Projetor e Microondas - Distribuição - NA</t>
  </si>
  <si>
    <t>Atualizado em 28/06/2018</t>
  </si>
  <si>
    <t>PDs</t>
  </si>
  <si>
    <t>Planejamento Atual</t>
  </si>
  <si>
    <t>Diferença (Planejamento Atual - PDs)</t>
  </si>
  <si>
    <t xml:space="preserve">Geração  </t>
  </si>
  <si>
    <t xml:space="preserve">Tansmissão </t>
  </si>
  <si>
    <t>Planejamento
Original - PD</t>
  </si>
  <si>
    <t>Registrador eletrônico de ponto - Geração</t>
  </si>
  <si>
    <t xml:space="preserve">Aquisição de Equipamentos Geral GE/PC </t>
  </si>
  <si>
    <t>TI08518</t>
  </si>
  <si>
    <t>Mobilidade - Sistema para Projeto, Execução e Recebimento de Obras com Equipamento Móvel em Campo</t>
  </si>
  <si>
    <t>TINV.18.D.042.MO</t>
  </si>
  <si>
    <t>SC01418</t>
  </si>
  <si>
    <t>MG50118</t>
  </si>
  <si>
    <t>INFR.136.03918</t>
  </si>
  <si>
    <t>Aquisição de Ferramentas para a MG</t>
  </si>
  <si>
    <t>Ver guia Junção de Projetos</t>
  </si>
  <si>
    <t>Aquisição de 02 Notebooks UTIG</t>
  </si>
  <si>
    <t>Aquisição de Ferramentas - MG</t>
  </si>
  <si>
    <t>Execução de 2 Muros de Arrimo no Anel Rodoviário</t>
  </si>
  <si>
    <t>INFR.231.04018</t>
  </si>
  <si>
    <t>TI08618</t>
  </si>
  <si>
    <t>Desenvolvimento de Solução Computacional para o PMT - Plano de Melhoria da Transmissora</t>
  </si>
  <si>
    <t>TINV.18.T.042.PM</t>
  </si>
  <si>
    <t>AD00218</t>
  </si>
  <si>
    <t>Aquisição de medidores de qualidade de energia classe A - Procedimentos de Rede e PRODIST</t>
  </si>
  <si>
    <t>INFR.341.04218</t>
  </si>
  <si>
    <t>3CPOSC00918</t>
  </si>
  <si>
    <t>MD00418</t>
  </si>
  <si>
    <t>Aquisição de Veículo para MD</t>
  </si>
  <si>
    <t>INFR.346.03818</t>
  </si>
  <si>
    <t>Aquisição de medidores de qualidade de energia classe A para atendimento aos requisitos dos Procedimentos de Rede e da revisão 8 do Módulo 8 do PRODIST.  - NA</t>
  </si>
  <si>
    <t>Aquisição de medidores de qualidade de energia classe A para atendimento aos requisitos dos Procedimentos de Rede e da revisão 8 do Módulo 8 do PRODIST. - AD00218</t>
  </si>
  <si>
    <t>Registrador eletrônico de ponto - Distribuição - SC00718</t>
  </si>
  <si>
    <t>GE01518</t>
  </si>
  <si>
    <t>INFR.342.04118</t>
  </si>
  <si>
    <t>GE01618</t>
  </si>
  <si>
    <t>GE01718</t>
  </si>
  <si>
    <t>Reforma da Edificação do CDA Betim</t>
  </si>
  <si>
    <t>INFR.342.04618</t>
  </si>
  <si>
    <t>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
Executar obras que compreendem na construção de: cerca de divisa, almoxarifado, sistema de esgotamento sanitário, baias de sucatas e portaria.</t>
  </si>
  <si>
    <t>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
Adaptação de uma edificação utilizada como Quiosque no imóvel, por meio de uma reforma civil, para a instalação e funcionamento de um Almoxarifado para armazenamento de equipamentos de manutenção da MD local, possibilitando a desocupação de uma das edificações existentes na área a ser alienada.</t>
  </si>
  <si>
    <t>PIRE/18/0342</t>
  </si>
  <si>
    <t>PIRE/18/0001</t>
  </si>
  <si>
    <t>PIRE/18/REBT</t>
  </si>
  <si>
    <t>SC01518</t>
  </si>
  <si>
    <t>INFR.131.04418</t>
  </si>
  <si>
    <t>MS00218</t>
  </si>
  <si>
    <t>INFR.342.04518</t>
  </si>
  <si>
    <t>TI08718</t>
  </si>
  <si>
    <t>TINV.18.D.054.CM</t>
  </si>
  <si>
    <t>TI08818</t>
  </si>
  <si>
    <t>(d)=(c/b)</t>
  </si>
  <si>
    <t xml:space="preserve">(e) </t>
  </si>
  <si>
    <t>(f)=(c+e)</t>
  </si>
  <si>
    <t>(g)=(f/b)</t>
  </si>
  <si>
    <t>Aquisição de Registrador Eletrônico de Ponto - REP - Geração</t>
  </si>
  <si>
    <t>Arquivo Deslizante</t>
  </si>
  <si>
    <t>Aquisição de Equipamentos para cozinhas, refeitórios e restaurantes - Distribuição</t>
  </si>
  <si>
    <t>Desenvolvimento Portal da Automação da Operação</t>
  </si>
  <si>
    <t>TINV.18.D.042.PA</t>
  </si>
  <si>
    <t>Substituição de  Terminais Servers nas salas de telemática</t>
  </si>
  <si>
    <t>Reforma de Edificação no CDA Betim</t>
  </si>
  <si>
    <t>3CPOGE01618</t>
  </si>
  <si>
    <t>TI08918</t>
  </si>
  <si>
    <t>TINV.18.D.042.IE</t>
  </si>
  <si>
    <t>Planejamento
2018 - PD</t>
  </si>
  <si>
    <t>Planejamento
até agosto/2018</t>
  </si>
  <si>
    <t xml:space="preserve">Realizado até
até agosto/2018 </t>
  </si>
  <si>
    <t>% Real
até agosto</t>
  </si>
  <si>
    <t>% Projeção 2018</t>
  </si>
  <si>
    <t>DGTH - 2019</t>
  </si>
  <si>
    <t>Planejamento
2019 - PD</t>
  </si>
  <si>
    <t>% de Variação</t>
  </si>
  <si>
    <t>Variação</t>
  </si>
  <si>
    <t xml:space="preserve">(c)=(b-a) </t>
  </si>
  <si>
    <t>(d)=(c/a)</t>
  </si>
  <si>
    <t>Planejamento
2019 - Atual</t>
  </si>
  <si>
    <t>Telecomunicações (Ativo não elétrico)</t>
  </si>
  <si>
    <t>Microinformática</t>
  </si>
  <si>
    <t>Ferramentas e Equipamentos</t>
  </si>
  <si>
    <t>Macroprojetos</t>
  </si>
  <si>
    <t>Déficit</t>
  </si>
  <si>
    <t>Plan 2019 
PD 
(a)</t>
  </si>
  <si>
    <t>Plan 2019 
Atual
(b)</t>
  </si>
  <si>
    <t>Orçamento Liberado 
(c)</t>
  </si>
  <si>
    <t>Saldo
(d)=(a-c)</t>
  </si>
  <si>
    <t>Telecomunicações (Ativos não elétricos)</t>
  </si>
  <si>
    <t>Viviane Fernanda/Kleber Monteiro</t>
  </si>
  <si>
    <t>Aquisição/Instalação de Porta Pallets no galpão do CDA Igarapé</t>
  </si>
  <si>
    <t>Complementação ao projeto de Aquisição de Storage: cessão temporária para a TI</t>
  </si>
  <si>
    <t>Saldo disponível em 2019 para novas demandas da Distribuição</t>
  </si>
  <si>
    <t>Orçamento disponibilizado pelos projetos da CD/GP que foram transferidos para o PDD</t>
  </si>
  <si>
    <t>Cessão para EA para cobrir déficit do projeto de aquisição de ferramentas</t>
  </si>
  <si>
    <t>mil</t>
  </si>
  <si>
    <t>Saldo DDC</t>
  </si>
  <si>
    <t>Viviane</t>
  </si>
  <si>
    <t>Saldo Transmissão (Projeto AR - P21 - Execução de 2 Muros de Arrimo que foi executado na Distribuidora devido à urgência de excecução em 2019 e falta de recursos na Transmissão)</t>
  </si>
  <si>
    <t>EMPRESA</t>
  </si>
  <si>
    <t>MACROPROJETO</t>
  </si>
  <si>
    <t>ORGAO_RESPONSAVEL</t>
  </si>
  <si>
    <t>RESPONSAVEL</t>
  </si>
  <si>
    <t>ORGAO_DEMANDANTE</t>
  </si>
  <si>
    <t>DEMANDANTE</t>
  </si>
  <si>
    <t>DIRETORIA</t>
  </si>
  <si>
    <t>TITULO_PROJETO</t>
  </si>
  <si>
    <t>DESCRICAO_PROJETO</t>
  </si>
  <si>
    <t>RISCOS_NAO_EXECUCAO</t>
  </si>
  <si>
    <t>JUSTIFICATIVA</t>
  </si>
  <si>
    <t>P_01_2018</t>
  </si>
  <si>
    <t>P_02_2018</t>
  </si>
  <si>
    <t>P_01_2019</t>
  </si>
  <si>
    <t>P_02_2019</t>
  </si>
  <si>
    <t>P_01_2020</t>
  </si>
  <si>
    <t>P_02_2020</t>
  </si>
  <si>
    <t>P_01_2021</t>
  </si>
  <si>
    <t>P_03_2018</t>
  </si>
  <si>
    <t>P_04_2018</t>
  </si>
  <si>
    <t>P_05_2018</t>
  </si>
  <si>
    <t>P_06_2018</t>
  </si>
  <si>
    <t>P_07_2018</t>
  </si>
  <si>
    <t>P_08_2018</t>
  </si>
  <si>
    <t>P_09_2018</t>
  </si>
  <si>
    <t>P_10_2018</t>
  </si>
  <si>
    <t>P_11_2018</t>
  </si>
  <si>
    <t>P_12_2018</t>
  </si>
  <si>
    <t>P_TOTAL_2018</t>
  </si>
  <si>
    <t>P_TOTAL_2019</t>
  </si>
  <si>
    <t>P_TOTAL_2020</t>
  </si>
  <si>
    <t>P_TOTAL_2021</t>
  </si>
  <si>
    <t>P_TOTAL_CICLO</t>
  </si>
  <si>
    <t>P_03_2019</t>
  </si>
  <si>
    <t>P_04_2019</t>
  </si>
  <si>
    <t>P_05_2019</t>
  </si>
  <si>
    <t>P_06_2019</t>
  </si>
  <si>
    <t>P_07_2019</t>
  </si>
  <si>
    <t>P_08_2020</t>
  </si>
  <si>
    <t>P_08_2019</t>
  </si>
  <si>
    <t>P_09_2019</t>
  </si>
  <si>
    <t>P_10_2019</t>
  </si>
  <si>
    <t>P_11_2019</t>
  </si>
  <si>
    <t>P_12_2019</t>
  </si>
  <si>
    <t>P_03_2020</t>
  </si>
  <si>
    <t>P_04_2020</t>
  </si>
  <si>
    <t>P_05_2020</t>
  </si>
  <si>
    <t>P_06_2020</t>
  </si>
  <si>
    <t>P_07_2020</t>
  </si>
  <si>
    <t>P_09_2020</t>
  </si>
  <si>
    <t>P_10_2020</t>
  </si>
  <si>
    <t>P_11_2020</t>
  </si>
  <si>
    <t>P_12_2020</t>
  </si>
  <si>
    <t>P_02_2021</t>
  </si>
  <si>
    <t>P_03_2021</t>
  </si>
  <si>
    <t>P_04_2021</t>
  </si>
  <si>
    <t>P_05_2021</t>
  </si>
  <si>
    <t>P_06_2021</t>
  </si>
  <si>
    <t>P_07_2021</t>
  </si>
  <si>
    <t>P_08_2021</t>
  </si>
  <si>
    <t>P_09_2021</t>
  </si>
  <si>
    <t>P_10_2021</t>
  </si>
  <si>
    <t>P_11_2021</t>
  </si>
  <si>
    <t>P_12_2021</t>
  </si>
  <si>
    <t>P_01_2022</t>
  </si>
  <si>
    <t>P_02_2022</t>
  </si>
  <si>
    <t>P_03_2022</t>
  </si>
  <si>
    <t>P_04_2022</t>
  </si>
  <si>
    <t>P_05_2022</t>
  </si>
  <si>
    <t>P_06_2022</t>
  </si>
  <si>
    <t>P_07_2022</t>
  </si>
  <si>
    <t>P_08_2022</t>
  </si>
  <si>
    <t>P_09_2022</t>
  </si>
  <si>
    <t>P_10_2022</t>
  </si>
  <si>
    <t>P_11_2022</t>
  </si>
  <si>
    <t>P_12_2022</t>
  </si>
  <si>
    <t>P_TOTAL_2022</t>
  </si>
  <si>
    <t>%_REALIZADO</t>
  </si>
  <si>
    <t>%_DISPOSTO</t>
  </si>
  <si>
    <t>INDICADOR</t>
  </si>
  <si>
    <t>PF_01_2018</t>
  </si>
  <si>
    <t>PF_02_2018</t>
  </si>
  <si>
    <t>PF_03_2018</t>
  </si>
  <si>
    <t>PF_04_2018</t>
  </si>
  <si>
    <t>PF_05_2018</t>
  </si>
  <si>
    <t>PF_06_2018</t>
  </si>
  <si>
    <t>PF_07_2018</t>
  </si>
  <si>
    <t>PF_08_2018</t>
  </si>
  <si>
    <t>PF_09_2018</t>
  </si>
  <si>
    <t>PF_10_2018</t>
  </si>
  <si>
    <t>PF_11_2018</t>
  </si>
  <si>
    <t>PF_12_2018</t>
  </si>
  <si>
    <t>PF_TOTAL_2018</t>
  </si>
  <si>
    <t>PF_01_2019</t>
  </si>
  <si>
    <t>PF_02_2019</t>
  </si>
  <si>
    <t>PF_03_2019</t>
  </si>
  <si>
    <t>PF_04_2019</t>
  </si>
  <si>
    <t>PF_05_2019</t>
  </si>
  <si>
    <t>PF_06_2019</t>
  </si>
  <si>
    <t>PF_07_2019</t>
  </si>
  <si>
    <t>PF_08_2019</t>
  </si>
  <si>
    <t>PF_09_2019</t>
  </si>
  <si>
    <t>PF_10_2019</t>
  </si>
  <si>
    <t>PF_11_2019</t>
  </si>
  <si>
    <t>PF_12_2019</t>
  </si>
  <si>
    <t>PF_TOTAL_2019</t>
  </si>
  <si>
    <t>PF_01_2020</t>
  </si>
  <si>
    <t>PF_02_2020</t>
  </si>
  <si>
    <t>PF_03_2020</t>
  </si>
  <si>
    <t>PF_04_2020</t>
  </si>
  <si>
    <t>PF_05_2020</t>
  </si>
  <si>
    <t>PF_06_2020</t>
  </si>
  <si>
    <t>PF_07_2020</t>
  </si>
  <si>
    <t>PF_08_2020</t>
  </si>
  <si>
    <t>PF_09_2020</t>
  </si>
  <si>
    <t>PF_10_2020</t>
  </si>
  <si>
    <t>PF_11_2020</t>
  </si>
  <si>
    <t>PF_12_2020</t>
  </si>
  <si>
    <t>PF_TOTAL_2020</t>
  </si>
  <si>
    <t>PF_01_2021</t>
  </si>
  <si>
    <t>PF_02_2021</t>
  </si>
  <si>
    <t>PF_03_2021</t>
  </si>
  <si>
    <t>PF_04_2021</t>
  </si>
  <si>
    <t>PF_05_2021</t>
  </si>
  <si>
    <t>PF_06_2021</t>
  </si>
  <si>
    <t>PF_07_2021</t>
  </si>
  <si>
    <t>PF_08_2021</t>
  </si>
  <si>
    <t>PF_09_2021</t>
  </si>
  <si>
    <t>PF_10_2021</t>
  </si>
  <si>
    <t>PF_11_2021</t>
  </si>
  <si>
    <t>PF_12_2021</t>
  </si>
  <si>
    <t>PF_TOTAL_2021</t>
  </si>
  <si>
    <t>PF_01_2022</t>
  </si>
  <si>
    <t>PF_02_2022</t>
  </si>
  <si>
    <t>PF_03_2022</t>
  </si>
  <si>
    <t>PF_04_2022</t>
  </si>
  <si>
    <t>PF_05_2022</t>
  </si>
  <si>
    <t>PF_06_2022</t>
  </si>
  <si>
    <t>PF_07_2022</t>
  </si>
  <si>
    <t>PF_08_2022</t>
  </si>
  <si>
    <t>PF_09_2022</t>
  </si>
  <si>
    <t>PF_10_2022</t>
  </si>
  <si>
    <t>PF_11_2022</t>
  </si>
  <si>
    <t>PF_12_2022</t>
  </si>
  <si>
    <t>PF_TOTAL_2022</t>
  </si>
  <si>
    <t>PF_TOTAL_CICLO</t>
  </si>
  <si>
    <t>R_01_2018</t>
  </si>
  <si>
    <t>R_02_2018</t>
  </si>
  <si>
    <t>R_03_2018</t>
  </si>
  <si>
    <t>R_04_2018</t>
  </si>
  <si>
    <t>R_05_2018</t>
  </si>
  <si>
    <t>R_06_2018</t>
  </si>
  <si>
    <t>R_07_2018</t>
  </si>
  <si>
    <t>R_08_2018</t>
  </si>
  <si>
    <t>R_09_2018</t>
  </si>
  <si>
    <t>R_10_2018</t>
  </si>
  <si>
    <t>R_11_2018</t>
  </si>
  <si>
    <t>R_12_2018</t>
  </si>
  <si>
    <t>C_2018</t>
  </si>
  <si>
    <t>D_2018</t>
  </si>
  <si>
    <t>S_2018</t>
  </si>
  <si>
    <t>R_01_2019</t>
  </si>
  <si>
    <t>R_02_2019</t>
  </si>
  <si>
    <t>R_03_2019</t>
  </si>
  <si>
    <t>R_04_2019</t>
  </si>
  <si>
    <t>R_05_2019</t>
  </si>
  <si>
    <t>R_06_2019</t>
  </si>
  <si>
    <t>R_07_2019</t>
  </si>
  <si>
    <t>R_08_2019</t>
  </si>
  <si>
    <t>R_09_2019</t>
  </si>
  <si>
    <t>R_10_2019</t>
  </si>
  <si>
    <t>R_11_2019</t>
  </si>
  <si>
    <t>R_12_2019</t>
  </si>
  <si>
    <t>C_2019</t>
  </si>
  <si>
    <t>D_2019</t>
  </si>
  <si>
    <t>S_2019</t>
  </si>
  <si>
    <t>R_01_2020</t>
  </si>
  <si>
    <t>R_02_2020</t>
  </si>
  <si>
    <t>R_03_2020</t>
  </si>
  <si>
    <t>R_04_2020</t>
  </si>
  <si>
    <t>R_05_2020</t>
  </si>
  <si>
    <t>R_06_2020</t>
  </si>
  <si>
    <t>R_07_2020</t>
  </si>
  <si>
    <t>R_08_2020</t>
  </si>
  <si>
    <t>R_09_2020</t>
  </si>
  <si>
    <t>R_10_2020</t>
  </si>
  <si>
    <t>R_11_2020</t>
  </si>
  <si>
    <t>R_12_2020</t>
  </si>
  <si>
    <t>C_2020</t>
  </si>
  <si>
    <t>D_2020</t>
  </si>
  <si>
    <t>S_2020</t>
  </si>
  <si>
    <t>CONCLUÍDO</t>
  </si>
  <si>
    <t>INICIA EM 2018</t>
  </si>
  <si>
    <t>INICIA EM 2019</t>
  </si>
  <si>
    <t>INICIA EM 2020</t>
  </si>
  <si>
    <t>INICIA EM 2021</t>
  </si>
  <si>
    <t>INICIA EM 2022</t>
  </si>
  <si>
    <t>EM ANDAMENTO</t>
  </si>
  <si>
    <t>STATUS</t>
  </si>
  <si>
    <t>R_01_2021</t>
  </si>
  <si>
    <t>R_02_2021</t>
  </si>
  <si>
    <t>R_03_2021</t>
  </si>
  <si>
    <t>R_04_2021</t>
  </si>
  <si>
    <t>R_05_2021</t>
  </si>
  <si>
    <t>R_06_2021</t>
  </si>
  <si>
    <t>R_07_2021</t>
  </si>
  <si>
    <t>R_08_2021</t>
  </si>
  <si>
    <t>R_09_2021</t>
  </si>
  <si>
    <t>R_10_2021</t>
  </si>
  <si>
    <t>R_11_2021</t>
  </si>
  <si>
    <t>R_12_2021</t>
  </si>
  <si>
    <t>C_2021</t>
  </si>
  <si>
    <t>D_2021</t>
  </si>
  <si>
    <t>S_2021</t>
  </si>
  <si>
    <t>R_01_2022</t>
  </si>
  <si>
    <t>R_02_2022</t>
  </si>
  <si>
    <t>R_03_2022</t>
  </si>
  <si>
    <t>R_04_2022</t>
  </si>
  <si>
    <t>R_05_2022</t>
  </si>
  <si>
    <t>R_06_2022</t>
  </si>
  <si>
    <t>R_07_2022</t>
  </si>
  <si>
    <t>R_08_2022</t>
  </si>
  <si>
    <t>R_09_2022</t>
  </si>
  <si>
    <t>R_10_2022</t>
  </si>
  <si>
    <t>R_11_2022</t>
  </si>
  <si>
    <t>R_12_2022</t>
  </si>
  <si>
    <t>C_2022</t>
  </si>
  <si>
    <t>D_2022</t>
  </si>
  <si>
    <t>S_2022</t>
  </si>
  <si>
    <t>Valores</t>
  </si>
  <si>
    <t xml:space="preserve"> 2018</t>
  </si>
  <si>
    <t xml:space="preserve"> 2019</t>
  </si>
  <si>
    <t xml:space="preserve"> 2020 </t>
  </si>
  <si>
    <t xml:space="preserve"> 2021</t>
  </si>
  <si>
    <t xml:space="preserve"> 2022 </t>
  </si>
  <si>
    <t xml:space="preserve">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</si>
</sst>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 #,##0_-;_-* &quot;-&quot;_-;_-@_-"/>
    <numFmt numFmtId="43" formatCode="_-* #,##0.00_-;\-* #,##0.00_-;_-* &quot;-&quot;??_-;_-@_-"/>
    <numFmt numFmtId="164" formatCode="_-* #,##0_-;\-* #,##0_-;_-* &quot;-&quot;??_-;_-@_-"/>
    <numFmt numFmtId="165" formatCode="_(* #,##0.00_);_(* \(#,##0.00\);_(* &quot;-&quot;??_);_(@_)"/>
    <numFmt numFmtId="166" formatCode="0.000%"/>
    <numFmt numFmtId="167" formatCode="_-* #,##0.0_-;\-* #,##0.0_-;_-* &quot;-&quot;??_-;_-@_-"/>
    <numFmt numFmtId="168" formatCode="dd/mm/yy;@"/>
    <numFmt numFmtId="169" formatCode="_(* #,##0_);_(* \(#,##0\);_(* &quot;-&quot;??_);_(@_)"/>
    <numFmt numFmtId="170" formatCode="0.000"/>
    <numFmt numFmtId="171" formatCode="_-* #,##0.000_-;\-* #,##0.000_-;_-* &quot;-&quot;??_-;_-@_-"/>
    <numFmt numFmtId="172" formatCode="_-* #,##0.0000_-;\-* #,##0.0000_-;_-* &quot;-&quot;_-;_-@_-"/>
    <numFmt numFmtId="173" formatCode="_-* #,##0.00000_-;\-* #,##0.00000_-;_-* &quot;-&quot;_-;_-@_-"/>
    <numFmt numFmtId="174" formatCode="0.0%"/>
    <numFmt numFmtId="175" formatCode="_-* #,##0.00000_-;\-* #,##0.00000_-;_-* &quot;-&quot;??_-;_-@_-"/>
    <numFmt numFmtId="176" formatCode="_-* #,##0.000_-;\-* #,##0.000_-;_-* &quot;-&quot;???_-;_-@_-"/>
    <numFmt numFmtId="177" formatCode="_-* #,##0.00000_-;\-* #,##0.00000_-;_-* &quot;-&quot;?????_-;_-@_-"/>
    <numFmt numFmtId="178" formatCode="0.00000"/>
    <numFmt numFmtId="179" formatCode="_-* #,##0.0000_-;\-* #,##0.0000_-;_-* &quot;-&quot;????_-;_-@_-"/>
  </numFmts>
  <fonts count="61" x14ac:knownFonts="1">
    <font>
      <sz val="11"/>
      <color theme="1"/>
      <name val="Calibri"/>
      <family val="2"/>
      <scheme val="minor"/>
    </font>
    <font>
      <sz val="10"/>
      <color theme="1"/>
      <name val="Arial"/>
      <family val="2"/>
    </font>
    <font>
      <b/>
      <sz val="10"/>
      <color theme="0"/>
      <name val="Arial"/>
      <family val="2"/>
    </font>
    <font>
      <b/>
      <sz val="10"/>
      <color theme="1"/>
      <name val="Arial"/>
      <family val="2"/>
    </font>
    <font>
      <sz val="9"/>
      <color indexed="81"/>
      <name val="Segoe UI"/>
      <family val="2"/>
    </font>
    <font>
      <b/>
      <sz val="10"/>
      <name val="Arial"/>
      <family val="2"/>
    </font>
    <font>
      <b/>
      <sz val="11"/>
      <color theme="0"/>
      <name val="Arial"/>
      <family val="2"/>
    </font>
    <font>
      <sz val="10"/>
      <name val="Arial"/>
      <family val="2"/>
    </font>
    <font>
      <b/>
      <sz val="12"/>
      <name val="Arial"/>
      <family val="2"/>
    </font>
    <font>
      <b/>
      <sz val="11"/>
      <color theme="1"/>
      <name val="Calibri"/>
      <family val="2"/>
      <scheme val="minor"/>
    </font>
    <font>
      <sz val="11"/>
      <color theme="1"/>
      <name val="Calibri"/>
      <family val="2"/>
      <scheme val="minor"/>
    </font>
    <font>
      <sz val="10"/>
      <color rgb="FFFF0000"/>
      <name val="Arial"/>
      <family val="2"/>
    </font>
    <font>
      <sz val="10"/>
      <color rgb="FF000000"/>
      <name val="Arial"/>
      <family val="2"/>
    </font>
    <font>
      <b/>
      <sz val="9"/>
      <color indexed="81"/>
      <name val="Segoe UI"/>
      <family val="2"/>
    </font>
    <font>
      <sz val="11"/>
      <color theme="1"/>
      <name val="Arial Narrow"/>
      <family val="2"/>
    </font>
    <font>
      <b/>
      <sz val="11"/>
      <color theme="0"/>
      <name val="Arial Narrow"/>
      <family val="2"/>
    </font>
    <font>
      <b/>
      <sz val="14"/>
      <color theme="1"/>
      <name val="Arial Narrow"/>
      <family val="2"/>
    </font>
    <font>
      <b/>
      <sz val="11"/>
      <color theme="1"/>
      <name val="Arial Narrow"/>
      <family val="2"/>
    </font>
    <font>
      <b/>
      <sz val="10"/>
      <color theme="1"/>
      <name val="Arial Narrow"/>
      <family val="2"/>
    </font>
    <font>
      <b/>
      <sz val="11"/>
      <name val="Arial Narrow"/>
      <family val="2"/>
    </font>
    <font>
      <sz val="11"/>
      <name val="Arial Narrow"/>
      <family val="2"/>
    </font>
    <font>
      <sz val="10"/>
      <color rgb="FF0000FF"/>
      <name val="Arial"/>
      <family val="2"/>
    </font>
    <font>
      <sz val="10"/>
      <color theme="1"/>
      <name val="Arial Narrow"/>
      <family val="2"/>
    </font>
    <font>
      <b/>
      <sz val="11"/>
      <color rgb="FFFF0000"/>
      <name val="Arial Narrow"/>
      <family val="2"/>
    </font>
    <font>
      <b/>
      <sz val="16"/>
      <color theme="1"/>
      <name val="Arial Narrow"/>
      <family val="2"/>
    </font>
    <font>
      <b/>
      <sz val="10"/>
      <color theme="0"/>
      <name val="Arial Narrow"/>
      <family val="2"/>
    </font>
    <font>
      <sz val="11"/>
      <name val="Calibri"/>
      <family val="2"/>
      <scheme val="minor"/>
    </font>
    <font>
      <b/>
      <sz val="14"/>
      <color theme="1"/>
      <name val="Arial"/>
      <family val="2"/>
    </font>
    <font>
      <u/>
      <sz val="10"/>
      <name val="Arial"/>
      <family val="2"/>
    </font>
    <font>
      <b/>
      <u/>
      <sz val="10"/>
      <color theme="1"/>
      <name val="Arial"/>
      <family val="2"/>
    </font>
    <font>
      <b/>
      <sz val="8"/>
      <name val="Arial"/>
      <family val="2"/>
    </font>
    <font>
      <sz val="9"/>
      <name val="Arial"/>
      <family val="2"/>
    </font>
    <font>
      <b/>
      <sz val="11"/>
      <name val="Arial"/>
      <family val="2"/>
    </font>
    <font>
      <b/>
      <sz val="12"/>
      <color theme="1"/>
      <name val="Calibri"/>
      <family val="2"/>
      <scheme val="minor"/>
    </font>
    <font>
      <sz val="10"/>
      <color theme="1"/>
      <name val="Times New Roman"/>
      <family val="1"/>
    </font>
    <font>
      <sz val="11"/>
      <color rgb="FFFF0000"/>
      <name val="Calibri"/>
      <family val="2"/>
      <scheme val="minor"/>
    </font>
    <font>
      <b/>
      <sz val="14"/>
      <color theme="1"/>
      <name val="Calibri"/>
      <family val="2"/>
      <scheme val="minor"/>
    </font>
    <font>
      <sz val="9"/>
      <color indexed="81"/>
      <name val="Tahoma"/>
      <family val="2"/>
    </font>
    <font>
      <sz val="12"/>
      <color theme="1"/>
      <name val="Calibri"/>
      <family val="2"/>
      <scheme val="minor"/>
    </font>
    <font>
      <b/>
      <sz val="12"/>
      <color theme="0"/>
      <name val="Calibri"/>
      <family val="2"/>
      <scheme val="minor"/>
    </font>
    <font>
      <b/>
      <sz val="11"/>
      <color theme="0" tint="-4.9989318521683403E-2"/>
      <name val="Calibri"/>
      <family val="2"/>
      <scheme val="minor"/>
    </font>
    <font>
      <b/>
      <sz val="14"/>
      <name val="Arial"/>
      <family val="2"/>
    </font>
    <font>
      <b/>
      <sz val="18"/>
      <name val="Arial"/>
      <family val="2"/>
    </font>
    <font>
      <sz val="12"/>
      <name val="Arial"/>
      <family val="2"/>
    </font>
    <font>
      <b/>
      <sz val="14"/>
      <color theme="0"/>
      <name val="Arial"/>
      <family val="2"/>
    </font>
    <font>
      <sz val="11"/>
      <color theme="1"/>
      <name val="Book Antiqua"/>
      <family val="1"/>
    </font>
    <font>
      <b/>
      <sz val="10"/>
      <color theme="0"/>
      <name val="Book Antiqua"/>
      <family val="1"/>
    </font>
    <font>
      <sz val="9"/>
      <name val="Book Antiqua"/>
      <family val="1"/>
    </font>
    <font>
      <b/>
      <sz val="11"/>
      <name val="Book Antiqua"/>
      <family val="1"/>
    </font>
    <font>
      <sz val="11"/>
      <name val="Book Antiqua"/>
      <family val="1"/>
    </font>
    <font>
      <i/>
      <sz val="11"/>
      <color rgb="FF000000"/>
      <name val="Calibri"/>
      <family val="2"/>
    </font>
    <font>
      <b/>
      <i/>
      <sz val="11"/>
      <color theme="0"/>
      <name val="Calibri"/>
      <family val="2"/>
    </font>
    <font>
      <i/>
      <sz val="11"/>
      <color theme="1"/>
      <name val="Calibri"/>
      <family val="2"/>
      <scheme val="minor"/>
    </font>
    <font>
      <b/>
      <i/>
      <sz val="11"/>
      <color theme="0"/>
      <name val="Calibri"/>
      <family val="2"/>
      <scheme val="minor"/>
    </font>
    <font>
      <b/>
      <i/>
      <sz val="10"/>
      <color theme="1"/>
      <name val="Arial"/>
      <family val="2"/>
    </font>
    <font>
      <b/>
      <i/>
      <sz val="11"/>
      <color theme="1"/>
      <name val="Calibri"/>
      <family val="2"/>
      <scheme val="minor"/>
    </font>
    <font>
      <sz val="10"/>
      <color theme="1"/>
      <name val="Calibri"/>
      <family val="2"/>
      <scheme val="minor"/>
    </font>
    <font>
      <sz val="11"/>
      <color theme="1"/>
      <name val="Agency FB"/>
      <family val="2"/>
    </font>
    <font>
      <b/>
      <sz val="11"/>
      <color theme="0"/>
      <name val="Agency FB"/>
      <family val="2"/>
    </font>
    <font>
      <b/>
      <sz val="11"/>
      <name val="Agency FB"/>
      <family val="2"/>
    </font>
    <font>
      <sz val="11"/>
      <color theme="1"/>
      <name val="Arial Narrow"/>
      <family val="2"/>
    </font>
  </fonts>
  <fills count="46">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0" tint="-4.9989318521683403E-2"/>
        <bgColor theme="4" tint="0.79998168889431442"/>
      </patternFill>
    </fill>
    <fill>
      <patternFill patternType="solid">
        <fgColor indexed="65"/>
        <bgColor theme="4" tint="0.79998168889431442"/>
      </patternFill>
    </fill>
    <fill>
      <patternFill patternType="solid">
        <fgColor theme="4" tint="0.39997558519241921"/>
        <bgColor indexed="64"/>
      </patternFill>
    </fill>
    <fill>
      <patternFill patternType="solid">
        <fgColor theme="4" tint="-0.49998474074526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59999389629810485"/>
        <bgColor rgb="FF000000"/>
      </patternFill>
    </fill>
    <fill>
      <patternFill patternType="solid">
        <fgColor rgb="FFFFCCFF"/>
        <bgColor indexed="64"/>
      </patternFill>
    </fill>
    <fill>
      <patternFill patternType="solid">
        <fgColor theme="4" tint="0.59999389629810485"/>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249977111117893"/>
        <bgColor indexed="64"/>
      </patternFill>
    </fill>
    <fill>
      <patternFill patternType="solid">
        <fgColor theme="9" tint="0.79998168889431442"/>
        <bgColor rgb="FF000000"/>
      </patternFill>
    </fill>
    <fill>
      <patternFill patternType="solid">
        <fgColor rgb="FFFFFFFF"/>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rgb="FFDDE4F3"/>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rgb="FFE8E8E8"/>
        <bgColor indexed="64"/>
      </patternFill>
    </fill>
    <fill>
      <patternFill patternType="solid">
        <fgColor theme="8"/>
        <bgColor indexed="64"/>
      </patternFill>
    </fill>
    <fill>
      <patternFill patternType="solid">
        <fgColor rgb="FFD7D7D7"/>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tint="-0.499984740745262"/>
        <bgColor indexed="64"/>
      </patternFill>
    </fill>
    <fill>
      <patternFill patternType="solid">
        <fgColor rgb="FFCBCBCB"/>
        <bgColor indexed="64"/>
      </patternFill>
    </fill>
    <fill>
      <patternFill patternType="solid">
        <fgColor rgb="FFF6FAF4"/>
        <bgColor indexed="64"/>
      </patternFill>
    </fill>
    <fill>
      <patternFill patternType="solid">
        <fgColor rgb="FF4A7430"/>
        <bgColor indexed="64"/>
      </patternFill>
    </fill>
  </fills>
  <borders count="6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style="thin">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style="medium">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style="thin">
        <color theme="0" tint="-0.499984740745262"/>
      </left>
      <right style="medium">
        <color theme="2" tint="-0.499984740745262"/>
      </right>
      <top/>
      <bottom style="thin">
        <color theme="0" tint="-0.499984740745262"/>
      </bottom>
      <diagonal/>
    </border>
    <border>
      <left style="thin">
        <color theme="0" tint="-0.499984740745262"/>
      </left>
      <right style="medium">
        <color theme="2" tint="-0.499984740745262"/>
      </right>
      <top style="thin">
        <color theme="0" tint="-0.499984740745262"/>
      </top>
      <bottom style="thin">
        <color theme="0" tint="-0.499984740745262"/>
      </bottom>
      <diagonal/>
    </border>
    <border>
      <left style="medium">
        <color theme="2" tint="-0.499984740745262"/>
      </left>
      <right style="medium">
        <color theme="2" tint="-0.499984740745262"/>
      </right>
      <top style="thin">
        <color theme="0" tint="-0.499984740745262"/>
      </top>
      <bottom style="thin">
        <color theme="0" tint="-0.499984740745262"/>
      </bottom>
      <diagonal/>
    </border>
    <border>
      <left style="hair">
        <color auto="1"/>
      </left>
      <right style="hair">
        <color auto="1"/>
      </right>
      <top style="hair">
        <color auto="1"/>
      </top>
      <bottom style="hair">
        <color auto="1"/>
      </bottom>
      <diagonal/>
    </border>
    <border>
      <left/>
      <right/>
      <top/>
      <bottom style="hair">
        <color auto="1"/>
      </bottom>
      <diagonal/>
    </border>
    <border>
      <left style="hair">
        <color theme="0" tint="-0.499984740745262"/>
      </left>
      <right style="hair">
        <color theme="0" tint="-0.499984740745262"/>
      </right>
      <top style="hair">
        <color theme="0" tint="-0.499984740745262"/>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auto="1"/>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right style="thin">
        <color auto="1"/>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hair">
        <color theme="0" tint="-0.499984740745262"/>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theme="0" tint="-0.499984740745262"/>
      </right>
      <top/>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249977111117893"/>
      </left>
      <right/>
      <top style="hair">
        <color theme="0" tint="-0.249977111117893"/>
      </top>
      <bottom style="thin">
        <color theme="0" tint="-0.249977111117893"/>
      </bottom>
      <diagonal/>
    </border>
    <border>
      <left/>
      <right/>
      <top style="hair">
        <color theme="0" tint="-0.249977111117893"/>
      </top>
      <bottom style="thin">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hair">
        <color theme="0" tint="-0.249977111117893"/>
      </right>
      <top style="hair">
        <color theme="0" tint="-0.249977111117893"/>
      </top>
      <bottom/>
      <diagonal/>
    </border>
    <border>
      <left style="thin">
        <color theme="0" tint="-0.249977111117893"/>
      </left>
      <right style="thin">
        <color theme="0" tint="-0.249977111117893"/>
      </right>
      <top style="thin">
        <color theme="0" tint="-0.249977111117893"/>
      </top>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diagonal/>
    </border>
    <border>
      <left/>
      <right style="hair">
        <color theme="0" tint="-0.249977111117893"/>
      </right>
      <top/>
      <bottom style="hair">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style="thin">
        <color theme="0" tint="-0.499984740745262"/>
      </top>
      <bottom/>
      <diagonal/>
    </border>
    <border>
      <left style="medium">
        <color theme="2" tint="-0.499984740745262"/>
      </left>
      <right style="thin">
        <color theme="0" tint="-0.499984740745262"/>
      </right>
      <top/>
      <bottom/>
      <diagonal/>
    </border>
    <border>
      <left style="medium">
        <color theme="2" tint="-0.499984740745262"/>
      </left>
      <right style="medium">
        <color theme="0" tint="-0.499984740745262"/>
      </right>
      <top/>
      <bottom/>
      <diagonal/>
    </border>
  </borders>
  <cellStyleXfs count="6">
    <xf numFmtId="0" fontId="0" fillId="0" borderId="0"/>
    <xf numFmtId="0" fontId="10"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165" fontId="10" fillId="0" borderId="0" applyFont="0" applyFill="0" applyBorder="0" applyAlignment="0" applyProtection="0"/>
  </cellStyleXfs>
  <cellXfs count="504">
    <xf numFmtId="0" fontId="0" fillId="0" borderId="0" xfId="0"/>
    <xf numFmtId="0" fontId="1" fillId="0" borderId="0" xfId="0" applyFont="1"/>
    <xf numFmtId="0" fontId="5" fillId="3" borderId="1" xfId="0" applyFont="1" applyFill="1" applyBorder="1" applyAlignment="1">
      <alignment horizontal="center" vertical="center"/>
    </xf>
    <xf numFmtId="17" fontId="0" fillId="0" borderId="0" xfId="0" applyNumberFormat="1"/>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8" xfId="0" applyFont="1" applyFill="1" applyBorder="1" applyAlignment="1">
      <alignment vertical="center" wrapText="1"/>
    </xf>
    <xf numFmtId="0" fontId="2" fillId="2" borderId="8"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1" xfId="0" applyFont="1" applyFill="1" applyBorder="1" applyAlignment="1">
      <alignment vertical="center" wrapText="1"/>
    </xf>
    <xf numFmtId="0" fontId="2" fillId="2" borderId="1" xfId="0" applyFont="1" applyFill="1" applyBorder="1" applyAlignment="1">
      <alignment horizontal="center" vertical="center"/>
    </xf>
    <xf numFmtId="0" fontId="9" fillId="0" borderId="0" xfId="0" applyFont="1"/>
    <xf numFmtId="0" fontId="6" fillId="2" borderId="2" xfId="0" applyFont="1" applyFill="1" applyBorder="1" applyAlignment="1">
      <alignment horizontal="center" vertical="center" wrapText="1"/>
    </xf>
    <xf numFmtId="17" fontId="3" fillId="3" borderId="5" xfId="0" applyNumberFormat="1" applyFont="1" applyFill="1" applyBorder="1" applyAlignment="1">
      <alignment horizontal="center"/>
    </xf>
    <xf numFmtId="17" fontId="3" fillId="3" borderId="1" xfId="0" applyNumberFormat="1" applyFont="1" applyFill="1" applyBorder="1" applyAlignment="1">
      <alignment horizontal="center" vertical="center"/>
    </xf>
    <xf numFmtId="0" fontId="6" fillId="2" borderId="13" xfId="0" applyFont="1" applyFill="1" applyBorder="1" applyAlignment="1">
      <alignment horizontal="center" vertical="center" wrapText="1"/>
    </xf>
    <xf numFmtId="0" fontId="6" fillId="2" borderId="13" xfId="0" applyFont="1" applyFill="1" applyBorder="1" applyAlignment="1">
      <alignment vertical="center" wrapText="1"/>
    </xf>
    <xf numFmtId="0" fontId="2" fillId="2" borderId="14" xfId="0" applyFont="1" applyFill="1" applyBorder="1" applyAlignment="1">
      <alignment vertical="center" wrapText="1"/>
    </xf>
    <xf numFmtId="0" fontId="1" fillId="0" borderId="0" xfId="0" applyFont="1" applyAlignment="1">
      <alignment wrapText="1"/>
    </xf>
    <xf numFmtId="0" fontId="5" fillId="3" borderId="11" xfId="0" applyFont="1" applyFill="1" applyBorder="1" applyAlignment="1">
      <alignment vertical="center" wrapText="1"/>
    </xf>
    <xf numFmtId="0" fontId="2" fillId="2" borderId="15" xfId="0" applyFont="1" applyFill="1" applyBorder="1" applyAlignment="1">
      <alignment horizontal="center" vertical="center" wrapText="1"/>
    </xf>
    <xf numFmtId="0" fontId="14" fillId="0" borderId="18" xfId="0" applyFont="1" applyBorder="1"/>
    <xf numFmtId="164" fontId="14" fillId="0" borderId="18" xfId="3" applyNumberFormat="1" applyFont="1" applyBorder="1"/>
    <xf numFmtId="0" fontId="15" fillId="10" borderId="0" xfId="0" applyFont="1" applyFill="1"/>
    <xf numFmtId="0" fontId="14" fillId="0" borderId="0" xfId="0" applyFont="1"/>
    <xf numFmtId="164" fontId="14" fillId="0" borderId="0" xfId="0" applyNumberFormat="1" applyFont="1"/>
    <xf numFmtId="0" fontId="17" fillId="0" borderId="0" xfId="0" applyFont="1"/>
    <xf numFmtId="164" fontId="15" fillId="10" borderId="0" xfId="0" applyNumberFormat="1" applyFont="1" applyFill="1"/>
    <xf numFmtId="164" fontId="14" fillId="0" borderId="0" xfId="3" applyNumberFormat="1" applyFont="1"/>
    <xf numFmtId="0" fontId="18" fillId="0" borderId="0" xfId="0" applyFont="1"/>
    <xf numFmtId="0" fontId="15" fillId="10" borderId="0" xfId="0" applyFont="1" applyFill="1" applyBorder="1" applyAlignment="1">
      <alignment horizontal="left" vertical="top" wrapText="1"/>
    </xf>
    <xf numFmtId="164" fontId="15" fillId="10" borderId="0" xfId="3" applyNumberFormat="1" applyFont="1" applyFill="1"/>
    <xf numFmtId="0" fontId="15" fillId="10" borderId="20" xfId="0" applyFont="1" applyFill="1" applyBorder="1" applyAlignment="1">
      <alignment horizontal="center" vertical="center" wrapText="1"/>
    </xf>
    <xf numFmtId="0" fontId="14" fillId="0" borderId="9" xfId="0" applyFont="1" applyFill="1" applyBorder="1" applyAlignment="1">
      <alignment horizontal="left" vertical="top" wrapText="1"/>
    </xf>
    <xf numFmtId="164" fontId="14" fillId="0" borderId="9" xfId="3" applyNumberFormat="1" applyFont="1" applyBorder="1"/>
    <xf numFmtId="0" fontId="7" fillId="0" borderId="9" xfId="0" applyFont="1" applyBorder="1" applyAlignment="1">
      <alignment horizontal="left" vertical="top" wrapText="1"/>
    </xf>
    <xf numFmtId="0" fontId="1" fillId="0" borderId="9" xfId="0" applyFont="1" applyFill="1" applyBorder="1" applyAlignment="1">
      <alignment horizontal="left" vertical="top" wrapText="1"/>
    </xf>
    <xf numFmtId="0" fontId="7" fillId="0" borderId="9" xfId="0" applyFont="1" applyFill="1" applyBorder="1" applyAlignment="1">
      <alignment horizontal="left" vertical="top" wrapText="1"/>
    </xf>
    <xf numFmtId="0" fontId="14" fillId="0" borderId="9" xfId="0" applyFont="1" applyBorder="1" applyAlignment="1">
      <alignment vertical="top"/>
    </xf>
    <xf numFmtId="0" fontId="15" fillId="10" borderId="0" xfId="0" applyFont="1" applyFill="1" applyBorder="1" applyAlignment="1">
      <alignment horizontal="left" vertical="top"/>
    </xf>
    <xf numFmtId="0" fontId="1" fillId="0" borderId="9" xfId="0" applyFont="1" applyBorder="1" applyAlignment="1">
      <alignment horizontal="left" vertical="top" wrapText="1"/>
    </xf>
    <xf numFmtId="0" fontId="14" fillId="0" borderId="9" xfId="0" quotePrefix="1" applyFont="1" applyFill="1" applyBorder="1" applyAlignment="1">
      <alignment horizontal="left" vertical="top" wrapText="1"/>
    </xf>
    <xf numFmtId="0" fontId="1" fillId="0" borderId="9" xfId="0" quotePrefix="1" applyFont="1" applyFill="1" applyBorder="1" applyAlignment="1">
      <alignment horizontal="left" vertical="top" wrapText="1"/>
    </xf>
    <xf numFmtId="0" fontId="7" fillId="0" borderId="9" xfId="0" quotePrefix="1" applyFont="1" applyFill="1" applyBorder="1" applyAlignment="1" applyProtection="1">
      <alignment horizontal="left" vertical="top" wrapText="1"/>
      <protection locked="0"/>
    </xf>
    <xf numFmtId="0" fontId="12" fillId="0" borderId="9" xfId="0" quotePrefix="1" applyFont="1" applyFill="1" applyBorder="1" applyAlignment="1">
      <alignment vertical="top" wrapText="1"/>
    </xf>
    <xf numFmtId="0" fontId="1" fillId="0" borderId="9" xfId="0" quotePrefix="1" applyFont="1" applyFill="1" applyBorder="1" applyAlignment="1">
      <alignment vertical="top" wrapText="1"/>
    </xf>
    <xf numFmtId="0" fontId="14" fillId="0" borderId="4" xfId="0" applyFont="1" applyBorder="1"/>
    <xf numFmtId="164" fontId="14" fillId="0" borderId="4" xfId="3" applyNumberFormat="1" applyFont="1" applyBorder="1"/>
    <xf numFmtId="0" fontId="17" fillId="0" borderId="4" xfId="0" applyFont="1" applyBorder="1" applyAlignment="1">
      <alignment horizontal="center"/>
    </xf>
    <xf numFmtId="164" fontId="17" fillId="0" borderId="4" xfId="3" applyNumberFormat="1" applyFont="1" applyBorder="1"/>
    <xf numFmtId="0" fontId="17" fillId="0" borderId="4" xfId="0" applyFont="1" applyBorder="1" applyAlignment="1">
      <alignment horizontal="center" vertical="center"/>
    </xf>
    <xf numFmtId="0" fontId="19" fillId="0" borderId="18" xfId="0" applyFont="1" applyBorder="1"/>
    <xf numFmtId="0" fontId="19" fillId="0" borderId="18" xfId="0" applyFont="1" applyFill="1" applyBorder="1"/>
    <xf numFmtId="17" fontId="17" fillId="0" borderId="18" xfId="0" applyNumberFormat="1" applyFont="1" applyBorder="1"/>
    <xf numFmtId="0" fontId="0" fillId="0" borderId="18" xfId="0" applyBorder="1"/>
    <xf numFmtId="0" fontId="0" fillId="10" borderId="0" xfId="0" applyFill="1"/>
    <xf numFmtId="164" fontId="14" fillId="9" borderId="18" xfId="3" applyNumberFormat="1" applyFont="1" applyFill="1" applyBorder="1"/>
    <xf numFmtId="0" fontId="20" fillId="0" borderId="18" xfId="0" applyFont="1" applyBorder="1"/>
    <xf numFmtId="0" fontId="0" fillId="0" borderId="0" xfId="0" applyAlignment="1">
      <alignment horizontal="left" inden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6" fillId="0" borderId="0" xfId="0" applyFont="1"/>
    <xf numFmtId="9" fontId="14" fillId="0" borderId="0" xfId="4" applyNumberFormat="1" applyFont="1"/>
    <xf numFmtId="9" fontId="14" fillId="0" borderId="0" xfId="4" applyFont="1"/>
    <xf numFmtId="0" fontId="22" fillId="0" borderId="0" xfId="0" applyFont="1"/>
    <xf numFmtId="0" fontId="22" fillId="0" borderId="4" xfId="0" applyFont="1" applyBorder="1"/>
    <xf numFmtId="0" fontId="22" fillId="0" borderId="0" xfId="0" applyFont="1" applyBorder="1"/>
    <xf numFmtId="164" fontId="14" fillId="0" borderId="0" xfId="3" applyNumberFormat="1" applyFont="1" applyBorder="1"/>
    <xf numFmtId="164" fontId="17" fillId="0" borderId="0" xfId="3" applyNumberFormat="1" applyFont="1" applyBorder="1"/>
    <xf numFmtId="164" fontId="17" fillId="0" borderId="4" xfId="0" applyNumberFormat="1" applyFont="1" applyBorder="1" applyAlignment="1">
      <alignment horizontal="center" vertical="center"/>
    </xf>
    <xf numFmtId="41" fontId="1" fillId="0" borderId="0" xfId="0" applyNumberFormat="1" applyFont="1"/>
    <xf numFmtId="43" fontId="14" fillId="0" borderId="0" xfId="3" applyFont="1"/>
    <xf numFmtId="168" fontId="14" fillId="0" borderId="21" xfId="0" applyNumberFormat="1" applyFont="1" applyBorder="1" applyAlignment="1">
      <alignment vertical="top"/>
    </xf>
    <xf numFmtId="0" fontId="14" fillId="0" borderId="21" xfId="0" applyFont="1" applyBorder="1" applyAlignment="1">
      <alignment vertical="top"/>
    </xf>
    <xf numFmtId="0" fontId="14" fillId="0" borderId="21" xfId="0" applyFont="1" applyBorder="1" applyAlignment="1">
      <alignment vertical="top" wrapText="1"/>
    </xf>
    <xf numFmtId="0" fontId="14" fillId="0" borderId="21" xfId="0" quotePrefix="1" applyFont="1" applyBorder="1" applyAlignment="1">
      <alignment vertical="top" wrapText="1"/>
    </xf>
    <xf numFmtId="168" fontId="14" fillId="0" borderId="21" xfId="0" applyNumberFormat="1" applyFont="1" applyBorder="1"/>
    <xf numFmtId="168" fontId="14" fillId="0" borderId="22" xfId="0" applyNumberFormat="1" applyFont="1" applyBorder="1"/>
    <xf numFmtId="0" fontId="14" fillId="0" borderId="22" xfId="0" applyFont="1" applyBorder="1" applyAlignment="1">
      <alignment vertical="top"/>
    </xf>
    <xf numFmtId="168" fontId="14" fillId="0" borderId="23" xfId="0" applyNumberFormat="1" applyFont="1" applyBorder="1" applyAlignment="1">
      <alignment vertical="top"/>
    </xf>
    <xf numFmtId="0" fontId="14" fillId="0" borderId="23" xfId="0" applyFont="1" applyBorder="1" applyAlignment="1">
      <alignment vertical="top"/>
    </xf>
    <xf numFmtId="0" fontId="14" fillId="0" borderId="23" xfId="0" applyFont="1" applyBorder="1" applyAlignment="1">
      <alignment vertical="top" wrapText="1"/>
    </xf>
    <xf numFmtId="0" fontId="24" fillId="0" borderId="4" xfId="0" applyFont="1" applyBorder="1" applyAlignment="1">
      <alignment horizontal="center" vertical="center"/>
    </xf>
    <xf numFmtId="168" fontId="14" fillId="0" borderId="21" xfId="0" applyNumberFormat="1" applyFont="1" applyBorder="1" applyAlignment="1">
      <alignment horizontal="right" vertical="top"/>
    </xf>
    <xf numFmtId="9" fontId="0" fillId="0" borderId="0" xfId="4" applyFont="1"/>
    <xf numFmtId="164" fontId="1" fillId="0" borderId="0" xfId="3" applyNumberFormat="1" applyFont="1"/>
    <xf numFmtId="164" fontId="2" fillId="2" borderId="15" xfId="3" applyNumberFormat="1" applyFont="1" applyFill="1" applyBorder="1" applyAlignment="1">
      <alignment horizontal="center" vertical="center" wrapText="1"/>
    </xf>
    <xf numFmtId="164" fontId="21" fillId="0" borderId="0" xfId="3" applyNumberFormat="1" applyFont="1"/>
    <xf numFmtId="164" fontId="0" fillId="0" borderId="0" xfId="3" applyNumberFormat="1" applyFont="1"/>
    <xf numFmtId="0" fontId="0" fillId="0" borderId="0" xfId="0" applyAlignment="1">
      <alignment horizontal="center"/>
    </xf>
    <xf numFmtId="164" fontId="0" fillId="0" borderId="0" xfId="0" applyNumberFormat="1"/>
    <xf numFmtId="2" fontId="0" fillId="0" borderId="0" xfId="0" applyNumberFormat="1"/>
    <xf numFmtId="0" fontId="0" fillId="0" borderId="0" xfId="0" applyBorder="1"/>
    <xf numFmtId="0" fontId="14" fillId="0" borderId="0" xfId="0" applyFont="1" applyAlignment="1">
      <alignment horizontal="left" indent="6"/>
    </xf>
    <xf numFmtId="0" fontId="19" fillId="11" borderId="0" xfId="0" applyFont="1" applyFill="1"/>
    <xf numFmtId="164" fontId="19" fillId="11" borderId="0" xfId="0" applyNumberFormat="1" applyFont="1" applyFill="1"/>
    <xf numFmtId="0" fontId="17" fillId="5" borderId="0" xfId="0" applyFont="1" applyFill="1"/>
    <xf numFmtId="164" fontId="17" fillId="5" borderId="0" xfId="0" applyNumberFormat="1" applyFont="1" applyFill="1"/>
    <xf numFmtId="9" fontId="19" fillId="11" borderId="0" xfId="4" applyFont="1" applyFill="1" applyAlignment="1">
      <alignment vertical="center"/>
    </xf>
    <xf numFmtId="164" fontId="20" fillId="0" borderId="4" xfId="3" applyNumberFormat="1" applyFont="1" applyBorder="1"/>
    <xf numFmtId="164" fontId="19" fillId="0" borderId="4" xfId="3" applyNumberFormat="1" applyFont="1" applyBorder="1"/>
    <xf numFmtId="0" fontId="25" fillId="10" borderId="0" xfId="0" applyFont="1" applyFill="1" applyAlignment="1">
      <alignment horizontal="right"/>
    </xf>
    <xf numFmtId="0" fontId="17" fillId="5" borderId="0" xfId="0" applyFont="1" applyFill="1" applyAlignment="1"/>
    <xf numFmtId="0" fontId="23" fillId="5" borderId="0" xfId="0" applyFont="1" applyFill="1" applyAlignment="1"/>
    <xf numFmtId="164" fontId="23" fillId="5" borderId="0" xfId="0" applyNumberFormat="1" applyFont="1" applyFill="1"/>
    <xf numFmtId="2" fontId="3" fillId="3" borderId="1" xfId="0" applyNumberFormat="1" applyFont="1" applyFill="1" applyBorder="1" applyAlignment="1">
      <alignment horizontal="center" vertical="center"/>
    </xf>
    <xf numFmtId="170" fontId="3" fillId="3" borderId="1" xfId="0" applyNumberFormat="1" applyFont="1" applyFill="1" applyBorder="1" applyAlignment="1">
      <alignment horizontal="center" vertical="center"/>
    </xf>
    <xf numFmtId="43" fontId="3" fillId="3" borderId="1" xfId="3" applyNumberFormat="1" applyFont="1" applyFill="1" applyBorder="1" applyAlignment="1">
      <alignment horizontal="center" vertical="center"/>
    </xf>
    <xf numFmtId="0" fontId="9" fillId="5" borderId="24" xfId="0" applyFont="1" applyFill="1" applyBorder="1"/>
    <xf numFmtId="0" fontId="0" fillId="5" borderId="24" xfId="0" applyFont="1" applyFill="1" applyBorder="1"/>
    <xf numFmtId="169" fontId="26" fillId="12" borderId="25" xfId="0" applyNumberFormat="1" applyFont="1" applyFill="1" applyBorder="1"/>
    <xf numFmtId="169" fontId="26" fillId="5" borderId="24" xfId="0" applyNumberFormat="1" applyFont="1" applyFill="1" applyBorder="1"/>
    <xf numFmtId="169" fontId="26" fillId="5" borderId="26" xfId="0" applyNumberFormat="1" applyFont="1" applyFill="1" applyBorder="1"/>
    <xf numFmtId="0" fontId="0" fillId="0" borderId="0" xfId="0" applyFont="1"/>
    <xf numFmtId="169" fontId="26" fillId="13" borderId="27" xfId="0" applyNumberFormat="1" applyFont="1" applyFill="1" applyBorder="1"/>
    <xf numFmtId="169" fontId="26" fillId="0" borderId="0" xfId="0" applyNumberFormat="1" applyFont="1"/>
    <xf numFmtId="169" fontId="26" fillId="0" borderId="28" xfId="0" applyNumberFormat="1" applyFont="1" applyBorder="1"/>
    <xf numFmtId="169" fontId="26" fillId="0" borderId="0" xfId="0" applyNumberFormat="1" applyFont="1" applyBorder="1"/>
    <xf numFmtId="0" fontId="9" fillId="14" borderId="29" xfId="0" applyFont="1" applyFill="1" applyBorder="1" applyAlignment="1">
      <alignment horizontal="center" vertical="center"/>
    </xf>
    <xf numFmtId="0" fontId="0" fillId="14" borderId="30" xfId="0" applyFill="1" applyBorder="1"/>
    <xf numFmtId="14" fontId="0" fillId="14" borderId="30" xfId="0" applyNumberFormat="1" applyFill="1" applyBorder="1"/>
    <xf numFmtId="0" fontId="9" fillId="14" borderId="30" xfId="0" applyFont="1" applyFill="1" applyBorder="1"/>
    <xf numFmtId="14" fontId="9" fillId="14" borderId="30" xfId="0" applyNumberFormat="1" applyFont="1" applyFill="1" applyBorder="1"/>
    <xf numFmtId="0" fontId="9" fillId="14" borderId="31" xfId="0" applyFont="1" applyFill="1" applyBorder="1"/>
    <xf numFmtId="0" fontId="9" fillId="14" borderId="32" xfId="0" applyFont="1" applyFill="1" applyBorder="1"/>
    <xf numFmtId="0" fontId="0" fillId="14" borderId="31" xfId="0" applyFill="1" applyBorder="1"/>
    <xf numFmtId="0" fontId="9" fillId="14" borderId="34" xfId="0" applyFont="1" applyFill="1" applyBorder="1" applyAlignment="1">
      <alignment horizontal="center"/>
    </xf>
    <xf numFmtId="0" fontId="9" fillId="14" borderId="33" xfId="0" applyFont="1" applyFill="1" applyBorder="1"/>
    <xf numFmtId="0" fontId="9" fillId="14" borderId="33" xfId="0" applyFont="1" applyFill="1" applyBorder="1" applyAlignment="1">
      <alignment horizontal="center"/>
    </xf>
    <xf numFmtId="0" fontId="9" fillId="14" borderId="33" xfId="0" applyNumberFormat="1" applyFont="1" applyFill="1" applyBorder="1" applyAlignment="1">
      <alignment horizontal="center"/>
    </xf>
    <xf numFmtId="0" fontId="9" fillId="14" borderId="33" xfId="0" quotePrefix="1" applyNumberFormat="1" applyFont="1" applyFill="1" applyBorder="1" applyAlignment="1">
      <alignment horizontal="center"/>
    </xf>
    <xf numFmtId="0" fontId="9" fillId="14" borderId="33" xfId="0" applyNumberFormat="1" applyFont="1" applyFill="1" applyBorder="1" applyAlignment="1">
      <alignment horizontal="center" vertical="center"/>
    </xf>
    <xf numFmtId="43" fontId="0" fillId="0" borderId="0" xfId="3" applyNumberFormat="1" applyFont="1"/>
    <xf numFmtId="0" fontId="27" fillId="0" borderId="0" xfId="0" applyFont="1"/>
    <xf numFmtId="0" fontId="1" fillId="0" borderId="35" xfId="0" applyFont="1" applyBorder="1" applyAlignment="1">
      <alignment horizontal="left" vertical="top" wrapText="1"/>
    </xf>
    <xf numFmtId="0" fontId="2" fillId="15" borderId="9" xfId="0" applyFont="1" applyFill="1" applyBorder="1" applyAlignment="1">
      <alignment horizontal="center" vertical="center" wrapText="1"/>
    </xf>
    <xf numFmtId="0" fontId="5" fillId="0" borderId="9" xfId="0" applyFont="1" applyBorder="1" applyAlignment="1">
      <alignment vertical="center" wrapText="1"/>
    </xf>
    <xf numFmtId="0" fontId="7" fillId="0" borderId="9" xfId="0" applyFont="1" applyBorder="1" applyAlignment="1">
      <alignment horizontal="justify" vertical="center" wrapText="1"/>
    </xf>
    <xf numFmtId="0" fontId="7" fillId="0" borderId="9" xfId="0" applyFont="1" applyBorder="1" applyAlignment="1">
      <alignment vertical="center" wrapText="1"/>
    </xf>
    <xf numFmtId="0" fontId="9" fillId="14" borderId="29" xfId="0" applyFont="1" applyFill="1" applyBorder="1" applyAlignment="1">
      <alignment horizontal="center" vertical="center"/>
    </xf>
    <xf numFmtId="0" fontId="30" fillId="0" borderId="0" xfId="0" applyFont="1"/>
    <xf numFmtId="14" fontId="31" fillId="0" borderId="9" xfId="0" applyNumberFormat="1" applyFont="1" applyBorder="1"/>
    <xf numFmtId="0" fontId="31" fillId="0" borderId="9" xfId="0" applyFont="1" applyBorder="1"/>
    <xf numFmtId="3" fontId="31" fillId="0" borderId="9" xfId="0" applyNumberFormat="1" applyFont="1" applyBorder="1"/>
    <xf numFmtId="9" fontId="31" fillId="0" borderId="9" xfId="4" applyFont="1" applyBorder="1"/>
    <xf numFmtId="0" fontId="32" fillId="16" borderId="9" xfId="0" applyFont="1" applyFill="1" applyBorder="1"/>
    <xf numFmtId="3" fontId="32" fillId="16" borderId="9" xfId="0" applyNumberFormat="1" applyFont="1" applyFill="1" applyBorder="1"/>
    <xf numFmtId="9" fontId="32" fillId="16" borderId="9" xfId="4" applyFont="1" applyFill="1" applyBorder="1"/>
    <xf numFmtId="9" fontId="32" fillId="16" borderId="9" xfId="0" applyNumberFormat="1" applyFont="1" applyFill="1" applyBorder="1"/>
    <xf numFmtId="0" fontId="33" fillId="0" borderId="0" xfId="0" applyFont="1"/>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0" fontId="2" fillId="10" borderId="37" xfId="0" applyFont="1" applyFill="1" applyBorder="1" applyAlignment="1">
      <alignment horizontal="center" vertical="center" wrapText="1"/>
    </xf>
    <xf numFmtId="14" fontId="2" fillId="10" borderId="36" xfId="0" applyNumberFormat="1" applyFont="1" applyFill="1" applyBorder="1" applyAlignment="1">
      <alignment horizontal="center" vertical="center" wrapText="1"/>
    </xf>
    <xf numFmtId="14" fontId="0" fillId="17" borderId="38" xfId="0" applyNumberFormat="1" applyFill="1" applyBorder="1"/>
    <xf numFmtId="0" fontId="9" fillId="0" borderId="40" xfId="0" applyFont="1" applyBorder="1"/>
    <xf numFmtId="0" fontId="0" fillId="0" borderId="39" xfId="0" applyBorder="1"/>
    <xf numFmtId="169" fontId="0" fillId="0" borderId="0" xfId="0" applyNumberFormat="1"/>
    <xf numFmtId="164" fontId="1" fillId="0" borderId="0" xfId="0" applyNumberFormat="1" applyFont="1"/>
    <xf numFmtId="0" fontId="1" fillId="18" borderId="1" xfId="0" applyFont="1" applyFill="1" applyBorder="1" applyAlignment="1">
      <alignment horizontal="left" vertical="top" wrapText="1"/>
    </xf>
    <xf numFmtId="0" fontId="1" fillId="18" borderId="1" xfId="0" applyFont="1" applyFill="1" applyBorder="1" applyAlignment="1">
      <alignment horizontal="left" vertical="top"/>
    </xf>
    <xf numFmtId="0" fontId="1" fillId="0" borderId="0" xfId="0" applyFont="1" applyFill="1" applyAlignment="1">
      <alignment horizontal="center" vertical="center"/>
    </xf>
    <xf numFmtId="0" fontId="0" fillId="0" borderId="0" xfId="0" applyAlignment="1">
      <alignment horizontal="center" vertical="center"/>
    </xf>
    <xf numFmtId="0" fontId="1" fillId="11" borderId="1" xfId="0" applyFont="1" applyFill="1" applyBorder="1" applyAlignment="1">
      <alignment horizontal="left" vertical="top" wrapText="1"/>
    </xf>
    <xf numFmtId="0" fontId="1" fillId="11" borderId="1" xfId="0" applyFont="1" applyFill="1" applyBorder="1" applyAlignment="1">
      <alignment horizontal="left" vertical="top"/>
    </xf>
    <xf numFmtId="0" fontId="1" fillId="11" borderId="1" xfId="0" applyFont="1" applyFill="1" applyBorder="1" applyAlignment="1">
      <alignment horizontal="center" vertical="center"/>
    </xf>
    <xf numFmtId="0" fontId="11" fillId="19" borderId="0" xfId="0" applyFont="1" applyFill="1"/>
    <xf numFmtId="164" fontId="11" fillId="19" borderId="1" xfId="3" applyNumberFormat="1" applyFont="1" applyFill="1" applyBorder="1"/>
    <xf numFmtId="0" fontId="1" fillId="21" borderId="1" xfId="0" applyFont="1" applyFill="1" applyBorder="1" applyAlignment="1">
      <alignment horizontal="left" vertical="top"/>
    </xf>
    <xf numFmtId="0" fontId="1" fillId="21" borderId="42" xfId="0" applyFont="1" applyFill="1" applyBorder="1" applyAlignment="1">
      <alignment vertical="center" wrapText="1"/>
    </xf>
    <xf numFmtId="0" fontId="0" fillId="21" borderId="0" xfId="0" applyFill="1"/>
    <xf numFmtId="2" fontId="1" fillId="21" borderId="43" xfId="3" applyNumberFormat="1" applyFont="1" applyFill="1" applyBorder="1" applyAlignment="1">
      <alignment horizontal="center" vertical="center" wrapText="1"/>
    </xf>
    <xf numFmtId="0" fontId="1" fillId="7" borderId="1" xfId="0" applyFont="1" applyFill="1" applyBorder="1" applyAlignment="1">
      <alignment horizontal="left" vertical="top" wrapText="1"/>
    </xf>
    <xf numFmtId="0" fontId="1" fillId="7" borderId="1" xfId="0" applyFont="1" applyFill="1" applyBorder="1" applyAlignment="1">
      <alignment horizontal="left" vertical="top"/>
    </xf>
    <xf numFmtId="0" fontId="1" fillId="7" borderId="1" xfId="0" applyFont="1" applyFill="1" applyBorder="1" applyAlignment="1">
      <alignment horizontal="center" vertical="center"/>
    </xf>
    <xf numFmtId="0" fontId="1" fillId="7" borderId="0" xfId="0" applyFont="1" applyFill="1" applyAlignment="1">
      <alignment wrapText="1"/>
    </xf>
    <xf numFmtId="41" fontId="12" fillId="22" borderId="5" xfId="0" applyNumberFormat="1" applyFont="1" applyFill="1" applyBorder="1"/>
    <xf numFmtId="41" fontId="1" fillId="7" borderId="1" xfId="0" applyNumberFormat="1" applyFont="1" applyFill="1" applyBorder="1"/>
    <xf numFmtId="164" fontId="1" fillId="7" borderId="1" xfId="3" applyNumberFormat="1" applyFont="1" applyFill="1" applyBorder="1"/>
    <xf numFmtId="41" fontId="1" fillId="7" borderId="17" xfId="0" applyNumberFormat="1" applyFont="1" applyFill="1" applyBorder="1"/>
    <xf numFmtId="0" fontId="1" fillId="7" borderId="0" xfId="0" applyFont="1" applyFill="1"/>
    <xf numFmtId="41" fontId="1" fillId="7" borderId="5" xfId="0" applyNumberFormat="1" applyFont="1" applyFill="1" applyBorder="1"/>
    <xf numFmtId="3" fontId="1" fillId="7" borderId="1" xfId="0" applyNumberFormat="1" applyFont="1" applyFill="1" applyBorder="1"/>
    <xf numFmtId="3" fontId="1" fillId="7" borderId="6" xfId="0" applyNumberFormat="1" applyFont="1" applyFill="1" applyBorder="1"/>
    <xf numFmtId="0" fontId="1" fillId="7" borderId="5" xfId="0" applyFont="1" applyFill="1" applyBorder="1" applyAlignment="1">
      <alignment horizontal="left" vertical="top"/>
    </xf>
    <xf numFmtId="0" fontId="1" fillId="7" borderId="10" xfId="0" applyFont="1" applyFill="1" applyBorder="1" applyAlignment="1">
      <alignment horizontal="left" vertical="top"/>
    </xf>
    <xf numFmtId="3" fontId="1" fillId="7" borderId="12" xfId="0" applyNumberFormat="1" applyFont="1" applyFill="1" applyBorder="1"/>
    <xf numFmtId="0" fontId="1" fillId="7" borderId="10" xfId="0" applyFont="1" applyFill="1" applyBorder="1"/>
    <xf numFmtId="3" fontId="1" fillId="7" borderId="3" xfId="0" applyNumberFormat="1" applyFont="1" applyFill="1" applyBorder="1"/>
    <xf numFmtId="164" fontId="11" fillId="7" borderId="1" xfId="3" applyNumberFormat="1" applyFont="1" applyFill="1" applyBorder="1"/>
    <xf numFmtId="0" fontId="11" fillId="7" borderId="0" xfId="0" applyFont="1" applyFill="1"/>
    <xf numFmtId="0" fontId="1" fillId="19" borderId="1" xfId="0" applyFont="1" applyFill="1" applyBorder="1" applyAlignment="1">
      <alignment horizontal="left" vertical="top" wrapText="1"/>
    </xf>
    <xf numFmtId="0" fontId="1" fillId="19" borderId="1" xfId="0" applyFont="1" applyFill="1" applyBorder="1" applyAlignment="1">
      <alignment horizontal="left" vertical="top"/>
    </xf>
    <xf numFmtId="0" fontId="1" fillId="19" borderId="1" xfId="0" applyFont="1" applyFill="1" applyBorder="1" applyAlignment="1">
      <alignment horizontal="center" vertical="center"/>
    </xf>
    <xf numFmtId="0" fontId="1" fillId="19" borderId="0" xfId="0" applyFont="1" applyFill="1" applyAlignment="1">
      <alignment wrapText="1"/>
    </xf>
    <xf numFmtId="41" fontId="12" fillId="20" borderId="5" xfId="0" applyNumberFormat="1" applyFont="1" applyFill="1" applyBorder="1"/>
    <xf numFmtId="41" fontId="1" fillId="19" borderId="1" xfId="0" applyNumberFormat="1" applyFont="1" applyFill="1" applyBorder="1"/>
    <xf numFmtId="164" fontId="1" fillId="19" borderId="1" xfId="3" applyNumberFormat="1" applyFont="1" applyFill="1" applyBorder="1"/>
    <xf numFmtId="41" fontId="1" fillId="19" borderId="17" xfId="0" applyNumberFormat="1" applyFont="1" applyFill="1" applyBorder="1"/>
    <xf numFmtId="0" fontId="1" fillId="19" borderId="0" xfId="0" applyFont="1" applyFill="1"/>
    <xf numFmtId="41" fontId="1" fillId="19" borderId="5" xfId="0" applyNumberFormat="1" applyFont="1" applyFill="1" applyBorder="1"/>
    <xf numFmtId="3" fontId="1" fillId="19" borderId="1" xfId="0" applyNumberFormat="1" applyFont="1" applyFill="1" applyBorder="1"/>
    <xf numFmtId="3" fontId="1" fillId="19" borderId="6" xfId="0" applyNumberFormat="1" applyFont="1" applyFill="1" applyBorder="1"/>
    <xf numFmtId="0" fontId="1" fillId="19" borderId="5" xfId="0" applyFont="1" applyFill="1" applyBorder="1" applyAlignment="1">
      <alignment horizontal="left" vertical="top"/>
    </xf>
    <xf numFmtId="0" fontId="1" fillId="19" borderId="10" xfId="0" applyFont="1" applyFill="1" applyBorder="1" applyAlignment="1">
      <alignment horizontal="left" vertical="top"/>
    </xf>
    <xf numFmtId="3" fontId="1" fillId="19" borderId="12" xfId="0" applyNumberFormat="1" applyFont="1" applyFill="1" applyBorder="1"/>
    <xf numFmtId="0" fontId="1" fillId="19" borderId="10" xfId="0" applyFont="1" applyFill="1" applyBorder="1"/>
    <xf numFmtId="3" fontId="1" fillId="19" borderId="3" xfId="0" applyNumberFormat="1" applyFont="1" applyFill="1" applyBorder="1"/>
    <xf numFmtId="0" fontId="1" fillId="23" borderId="1" xfId="0" applyFont="1" applyFill="1" applyBorder="1" applyAlignment="1">
      <alignment horizontal="left" vertical="top" wrapText="1"/>
    </xf>
    <xf numFmtId="0" fontId="1" fillId="23" borderId="1" xfId="0" applyFont="1" applyFill="1" applyBorder="1" applyAlignment="1">
      <alignment horizontal="left" vertical="top"/>
    </xf>
    <xf numFmtId="0" fontId="1" fillId="23" borderId="1" xfId="0" applyFont="1" applyFill="1" applyBorder="1" applyAlignment="1">
      <alignment horizontal="center" vertical="center"/>
    </xf>
    <xf numFmtId="0" fontId="1" fillId="23" borderId="0" xfId="0" applyFont="1" applyFill="1" applyAlignment="1">
      <alignment wrapText="1"/>
    </xf>
    <xf numFmtId="41" fontId="12" fillId="24" borderId="5" xfId="0" applyNumberFormat="1" applyFont="1" applyFill="1" applyBorder="1"/>
    <xf numFmtId="41" fontId="1" fillId="23" borderId="1" xfId="0" applyNumberFormat="1" applyFont="1" applyFill="1" applyBorder="1"/>
    <xf numFmtId="164" fontId="1" fillId="23" borderId="1" xfId="3" applyNumberFormat="1" applyFont="1" applyFill="1" applyBorder="1"/>
    <xf numFmtId="41" fontId="1" fillId="23" borderId="17" xfId="0" applyNumberFormat="1" applyFont="1" applyFill="1" applyBorder="1"/>
    <xf numFmtId="0" fontId="1" fillId="23" borderId="0" xfId="0" applyFont="1" applyFill="1"/>
    <xf numFmtId="41" fontId="1" fillId="23" borderId="5" xfId="0" applyNumberFormat="1" applyFont="1" applyFill="1" applyBorder="1"/>
    <xf numFmtId="3" fontId="1" fillId="23" borderId="1" xfId="0" applyNumberFormat="1" applyFont="1" applyFill="1" applyBorder="1"/>
    <xf numFmtId="3" fontId="1" fillId="23" borderId="6" xfId="0" applyNumberFormat="1" applyFont="1" applyFill="1" applyBorder="1"/>
    <xf numFmtId="0" fontId="1" fillId="23" borderId="5" xfId="0" applyFont="1" applyFill="1" applyBorder="1" applyAlignment="1">
      <alignment horizontal="left" vertical="top"/>
    </xf>
    <xf numFmtId="0" fontId="1" fillId="23" borderId="10" xfId="0" applyFont="1" applyFill="1" applyBorder="1" applyAlignment="1">
      <alignment horizontal="left" vertical="top"/>
    </xf>
    <xf numFmtId="3" fontId="1" fillId="23" borderId="12" xfId="0" applyNumberFormat="1" applyFont="1" applyFill="1" applyBorder="1"/>
    <xf numFmtId="0" fontId="1" fillId="23" borderId="10" xfId="0" applyFont="1" applyFill="1" applyBorder="1"/>
    <xf numFmtId="3" fontId="1" fillId="23" borderId="3" xfId="0" applyNumberFormat="1" applyFont="1" applyFill="1" applyBorder="1"/>
    <xf numFmtId="164" fontId="11" fillId="23" borderId="1" xfId="3" applyNumberFormat="1" applyFont="1" applyFill="1" applyBorder="1"/>
    <xf numFmtId="0" fontId="11" fillId="23" borderId="0" xfId="0" applyFont="1" applyFill="1"/>
    <xf numFmtId="0" fontId="1" fillId="18" borderId="0" xfId="0" applyFont="1" applyFill="1" applyAlignment="1">
      <alignment wrapText="1"/>
    </xf>
    <xf numFmtId="41" fontId="12" fillId="25" borderId="5" xfId="0" applyNumberFormat="1" applyFont="1" applyFill="1" applyBorder="1"/>
    <xf numFmtId="41" fontId="1" fillId="18" borderId="1" xfId="0" applyNumberFormat="1" applyFont="1" applyFill="1" applyBorder="1"/>
    <xf numFmtId="164" fontId="1" fillId="18" borderId="1" xfId="3" applyNumberFormat="1" applyFont="1" applyFill="1" applyBorder="1"/>
    <xf numFmtId="41" fontId="1" fillId="18" borderId="17" xfId="0" applyNumberFormat="1" applyFont="1" applyFill="1" applyBorder="1"/>
    <xf numFmtId="0" fontId="1" fillId="18" borderId="0" xfId="0" applyFont="1" applyFill="1"/>
    <xf numFmtId="41" fontId="1" fillId="18" borderId="5" xfId="0" applyNumberFormat="1" applyFont="1" applyFill="1" applyBorder="1"/>
    <xf numFmtId="3" fontId="1" fillId="18" borderId="1" xfId="0" applyNumberFormat="1" applyFont="1" applyFill="1" applyBorder="1"/>
    <xf numFmtId="3" fontId="1" fillId="18" borderId="6" xfId="0" applyNumberFormat="1" applyFont="1" applyFill="1" applyBorder="1"/>
    <xf numFmtId="0" fontId="1" fillId="18" borderId="5" xfId="0" applyFont="1" applyFill="1" applyBorder="1" applyAlignment="1">
      <alignment horizontal="left" vertical="top"/>
    </xf>
    <xf numFmtId="0" fontId="1" fillId="18" borderId="10" xfId="0" applyFont="1" applyFill="1" applyBorder="1" applyAlignment="1">
      <alignment horizontal="left" vertical="top"/>
    </xf>
    <xf numFmtId="3" fontId="1" fillId="18" borderId="12" xfId="0" applyNumberFormat="1" applyFont="1" applyFill="1" applyBorder="1"/>
    <xf numFmtId="0" fontId="1" fillId="18" borderId="10" xfId="0" applyFont="1" applyFill="1" applyBorder="1"/>
    <xf numFmtId="3" fontId="1" fillId="18" borderId="3" xfId="0" applyNumberFormat="1" applyFont="1" applyFill="1" applyBorder="1"/>
    <xf numFmtId="164" fontId="11" fillId="18" borderId="1" xfId="3" applyNumberFormat="1" applyFont="1" applyFill="1" applyBorder="1"/>
    <xf numFmtId="0" fontId="11" fillId="18" borderId="0" xfId="0" applyFont="1" applyFill="1"/>
    <xf numFmtId="0" fontId="7" fillId="26" borderId="1" xfId="0" applyFont="1" applyFill="1" applyBorder="1" applyAlignment="1">
      <alignment horizontal="left" vertical="top"/>
    </xf>
    <xf numFmtId="0" fontId="7" fillId="26" borderId="42" xfId="0" applyFont="1" applyFill="1" applyBorder="1" applyAlignment="1">
      <alignment vertical="center" wrapText="1"/>
    </xf>
    <xf numFmtId="0" fontId="26" fillId="26" borderId="0" xfId="0" applyFont="1" applyFill="1"/>
    <xf numFmtId="0" fontId="7" fillId="26" borderId="43" xfId="0" applyFont="1" applyFill="1" applyBorder="1" applyAlignment="1">
      <alignment horizontal="center" vertical="center" wrapText="1"/>
    </xf>
    <xf numFmtId="0" fontId="7" fillId="26" borderId="42" xfId="0" applyFont="1" applyFill="1" applyBorder="1" applyAlignment="1">
      <alignment vertical="center"/>
    </xf>
    <xf numFmtId="0" fontId="1" fillId="11" borderId="0" xfId="0" applyFont="1" applyFill="1" applyAlignment="1">
      <alignment wrapText="1"/>
    </xf>
    <xf numFmtId="41" fontId="12" fillId="27" borderId="5" xfId="0" applyNumberFormat="1" applyFont="1" applyFill="1" applyBorder="1"/>
    <xf numFmtId="41" fontId="1" fillId="11" borderId="1" xfId="0" applyNumberFormat="1" applyFont="1" applyFill="1" applyBorder="1"/>
    <xf numFmtId="164" fontId="1" fillId="11" borderId="1" xfId="3" applyNumberFormat="1" applyFont="1" applyFill="1" applyBorder="1"/>
    <xf numFmtId="41" fontId="1" fillId="11" borderId="17" xfId="0" applyNumberFormat="1" applyFont="1" applyFill="1" applyBorder="1"/>
    <xf numFmtId="0" fontId="1" fillId="11" borderId="0" xfId="0" applyFont="1" applyFill="1"/>
    <xf numFmtId="41" fontId="1" fillId="11" borderId="5" xfId="0" applyNumberFormat="1" applyFont="1" applyFill="1" applyBorder="1"/>
    <xf numFmtId="3" fontId="1" fillId="11" borderId="1" xfId="0" applyNumberFormat="1" applyFont="1" applyFill="1" applyBorder="1"/>
    <xf numFmtId="3" fontId="1" fillId="11" borderId="6" xfId="0" applyNumberFormat="1" applyFont="1" applyFill="1" applyBorder="1"/>
    <xf numFmtId="0" fontId="1" fillId="11" borderId="5" xfId="0" applyFont="1" applyFill="1" applyBorder="1" applyAlignment="1">
      <alignment horizontal="left" vertical="top"/>
    </xf>
    <xf numFmtId="0" fontId="1" fillId="11" borderId="10" xfId="0" applyFont="1" applyFill="1" applyBorder="1" applyAlignment="1">
      <alignment horizontal="left" vertical="top"/>
    </xf>
    <xf numFmtId="3" fontId="1" fillId="11" borderId="12" xfId="0" applyNumberFormat="1" applyFont="1" applyFill="1" applyBorder="1"/>
    <xf numFmtId="0" fontId="1" fillId="11" borderId="10" xfId="0" applyFont="1" applyFill="1" applyBorder="1"/>
    <xf numFmtId="3" fontId="1" fillId="11" borderId="3" xfId="0" applyNumberFormat="1" applyFont="1" applyFill="1" applyBorder="1"/>
    <xf numFmtId="164" fontId="11" fillId="11" borderId="1" xfId="3" applyNumberFormat="1" applyFont="1" applyFill="1" applyBorder="1"/>
    <xf numFmtId="0" fontId="11" fillId="11" borderId="0" xfId="0" applyFont="1" applyFill="1"/>
    <xf numFmtId="0" fontId="3" fillId="18" borderId="1" xfId="0" applyFont="1" applyFill="1" applyBorder="1" applyAlignment="1">
      <alignment horizontal="center" vertical="center"/>
    </xf>
    <xf numFmtId="172" fontId="14" fillId="0" borderId="0" xfId="0" applyNumberFormat="1" applyFont="1"/>
    <xf numFmtId="0" fontId="9" fillId="14" borderId="29" xfId="0" applyFont="1" applyFill="1" applyBorder="1" applyAlignment="1">
      <alignment horizontal="center" vertical="center"/>
    </xf>
    <xf numFmtId="173" fontId="1" fillId="7" borderId="1" xfId="0" applyNumberFormat="1" applyFont="1" applyFill="1" applyBorder="1"/>
    <xf numFmtId="0" fontId="0" fillId="0" borderId="0" xfId="0" pivotButton="1"/>
    <xf numFmtId="0" fontId="0" fillId="0" borderId="0" xfId="0" applyAlignment="1">
      <alignment horizontal="left"/>
    </xf>
    <xf numFmtId="0" fontId="0" fillId="19" borderId="0" xfId="0" applyFill="1"/>
    <xf numFmtId="0" fontId="34" fillId="19" borderId="0" xfId="0" applyFont="1" applyFill="1"/>
    <xf numFmtId="167" fontId="3" fillId="23" borderId="16" xfId="3" applyNumberFormat="1" applyFont="1" applyFill="1" applyBorder="1" applyAlignment="1"/>
    <xf numFmtId="167" fontId="3" fillId="19" borderId="16" xfId="3" applyNumberFormat="1" applyFont="1" applyFill="1" applyBorder="1" applyAlignment="1"/>
    <xf numFmtId="167" fontId="3" fillId="7" borderId="16" xfId="3" applyNumberFormat="1" applyFont="1" applyFill="1" applyBorder="1" applyAlignment="1"/>
    <xf numFmtId="167" fontId="3" fillId="11" borderId="16" xfId="3" applyNumberFormat="1" applyFont="1" applyFill="1" applyBorder="1" applyAlignment="1"/>
    <xf numFmtId="167" fontId="3" fillId="18" borderId="16" xfId="3" applyNumberFormat="1" applyFont="1" applyFill="1" applyBorder="1" applyAlignment="1"/>
    <xf numFmtId="167" fontId="26" fillId="26" borderId="0" xfId="0" applyNumberFormat="1" applyFont="1" applyFill="1"/>
    <xf numFmtId="167" fontId="0" fillId="21" borderId="0" xfId="0" applyNumberFormat="1" applyFill="1"/>
    <xf numFmtId="167" fontId="0" fillId="19" borderId="0" xfId="0" applyNumberFormat="1" applyFill="1"/>
    <xf numFmtId="0" fontId="35" fillId="19" borderId="0" xfId="0" applyFont="1" applyFill="1"/>
    <xf numFmtId="0" fontId="35" fillId="19" borderId="0" xfId="0" quotePrefix="1" applyFont="1" applyFill="1"/>
    <xf numFmtId="167" fontId="35" fillId="19" borderId="0" xfId="0" applyNumberFormat="1" applyFont="1" applyFill="1"/>
    <xf numFmtId="0" fontId="0" fillId="8" borderId="0" xfId="0" applyFill="1"/>
    <xf numFmtId="167" fontId="36" fillId="0" borderId="0" xfId="3" applyNumberFormat="1" applyFont="1"/>
    <xf numFmtId="164" fontId="36" fillId="0" borderId="0" xfId="3" applyNumberFormat="1" applyFont="1"/>
    <xf numFmtId="0" fontId="9" fillId="14" borderId="29" xfId="0" applyFont="1" applyFill="1" applyBorder="1" applyAlignment="1">
      <alignment horizontal="center" vertical="center"/>
    </xf>
    <xf numFmtId="9" fontId="1" fillId="0" borderId="0" xfId="4" applyFont="1"/>
    <xf numFmtId="0" fontId="9" fillId="14" borderId="29" xfId="0" applyFont="1" applyFill="1" applyBorder="1" applyAlignment="1">
      <alignment horizontal="center" vertical="center"/>
    </xf>
    <xf numFmtId="0" fontId="0" fillId="0" borderId="0" xfId="0" applyAlignment="1">
      <alignment horizontal="right"/>
    </xf>
    <xf numFmtId="0" fontId="9" fillId="0" borderId="0" xfId="0" applyFont="1" applyAlignment="1">
      <alignment horizontal="left"/>
    </xf>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3" fontId="0" fillId="0" borderId="0" xfId="0" applyNumberFormat="1"/>
    <xf numFmtId="0" fontId="9" fillId="14" borderId="29" xfId="0" applyFont="1" applyFill="1" applyBorder="1" applyAlignment="1">
      <alignment horizontal="center" vertical="center"/>
    </xf>
    <xf numFmtId="0" fontId="0" fillId="9" borderId="0" xfId="0" applyFill="1"/>
    <xf numFmtId="164" fontId="0" fillId="9" borderId="0" xfId="0" applyNumberFormat="1" applyFill="1"/>
    <xf numFmtId="0" fontId="0" fillId="21" borderId="0" xfId="0" applyFill="1" applyAlignment="1">
      <alignment horizontal="center" vertical="center"/>
    </xf>
    <xf numFmtId="164" fontId="0" fillId="21" borderId="0" xfId="0" applyNumberFormat="1" applyFill="1"/>
    <xf numFmtId="0" fontId="9" fillId="14" borderId="29" xfId="0" applyFont="1" applyFill="1" applyBorder="1" applyAlignment="1">
      <alignment horizontal="center" vertical="center"/>
    </xf>
    <xf numFmtId="171" fontId="1" fillId="0" borderId="0" xfId="3" applyNumberFormat="1" applyFont="1"/>
    <xf numFmtId="175" fontId="1" fillId="0" borderId="0" xfId="0" applyNumberFormat="1" applyFont="1"/>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0" fontId="35" fillId="0" borderId="0" xfId="0" applyFont="1" applyAlignment="1">
      <alignment vertical="center"/>
    </xf>
    <xf numFmtId="0" fontId="38" fillId="0" borderId="0" xfId="0" applyFont="1" applyAlignment="1">
      <alignment vertical="center"/>
    </xf>
    <xf numFmtId="0" fontId="38" fillId="30" borderId="0" xfId="0" applyFont="1" applyFill="1" applyAlignment="1">
      <alignment vertical="center"/>
    </xf>
    <xf numFmtId="164" fontId="38" fillId="10" borderId="50" xfId="3" applyNumberFormat="1" applyFont="1" applyFill="1" applyBorder="1" applyAlignment="1">
      <alignment vertical="center"/>
    </xf>
    <xf numFmtId="0" fontId="0" fillId="9" borderId="51" xfId="0" applyFill="1" applyBorder="1" applyAlignment="1">
      <alignment horizontal="center" vertical="center" wrapText="1"/>
    </xf>
    <xf numFmtId="0" fontId="0" fillId="9" borderId="52" xfId="0" applyFill="1" applyBorder="1" applyAlignment="1">
      <alignment horizontal="center" vertical="center" wrapText="1"/>
    </xf>
    <xf numFmtId="164" fontId="0" fillId="9" borderId="53" xfId="3" applyNumberFormat="1" applyFont="1" applyFill="1" applyBorder="1" applyAlignment="1">
      <alignment horizontal="center" vertical="center" wrapText="1"/>
    </xf>
    <xf numFmtId="164" fontId="0" fillId="10" borderId="53" xfId="3" applyNumberFormat="1" applyFont="1" applyFill="1" applyBorder="1" applyAlignment="1">
      <alignment horizontal="center" vertical="center" wrapText="1"/>
    </xf>
    <xf numFmtId="164" fontId="0" fillId="9" borderId="54" xfId="3" applyNumberFormat="1" applyFont="1" applyFill="1" applyBorder="1" applyAlignment="1">
      <alignment horizontal="center" vertical="center" wrapText="1"/>
    </xf>
    <xf numFmtId="0" fontId="0" fillId="0" borderId="0" xfId="0" applyAlignment="1">
      <alignment wrapText="1"/>
    </xf>
    <xf numFmtId="0" fontId="0" fillId="0" borderId="56" xfId="0" applyBorder="1"/>
    <xf numFmtId="164" fontId="0" fillId="0" borderId="57" xfId="3" applyNumberFormat="1" applyFont="1" applyBorder="1"/>
    <xf numFmtId="167" fontId="0" fillId="0" borderId="57" xfId="3" applyNumberFormat="1" applyFont="1" applyBorder="1"/>
    <xf numFmtId="164" fontId="0" fillId="10" borderId="57" xfId="3" applyNumberFormat="1" applyFont="1" applyFill="1" applyBorder="1"/>
    <xf numFmtId="164" fontId="0" fillId="0" borderId="50" xfId="3" applyNumberFormat="1" applyFont="1" applyBorder="1"/>
    <xf numFmtId="0" fontId="0" fillId="0" borderId="58" xfId="0" applyBorder="1"/>
    <xf numFmtId="164" fontId="0" fillId="10" borderId="50" xfId="3" applyNumberFormat="1" applyFont="1" applyFill="1" applyBorder="1"/>
    <xf numFmtId="0" fontId="0" fillId="0" borderId="59" xfId="0" applyBorder="1"/>
    <xf numFmtId="0" fontId="0" fillId="11" borderId="60" xfId="0" applyFill="1" applyBorder="1"/>
    <xf numFmtId="0" fontId="0" fillId="11" borderId="52" xfId="0" applyFill="1" applyBorder="1"/>
    <xf numFmtId="164" fontId="0" fillId="11" borderId="53" xfId="3" applyNumberFormat="1" applyFont="1" applyFill="1" applyBorder="1"/>
    <xf numFmtId="164" fontId="0" fillId="10" borderId="53" xfId="3" applyNumberFormat="1" applyFont="1" applyFill="1" applyBorder="1"/>
    <xf numFmtId="171" fontId="0" fillId="0" borderId="57" xfId="3" applyNumberFormat="1" applyFont="1" applyBorder="1"/>
    <xf numFmtId="0" fontId="9" fillId="9" borderId="60" xfId="0" applyFont="1" applyFill="1" applyBorder="1"/>
    <xf numFmtId="0" fontId="9" fillId="9" borderId="52" xfId="0" applyFont="1" applyFill="1" applyBorder="1"/>
    <xf numFmtId="164" fontId="9" fillId="9" borderId="53" xfId="3" applyNumberFormat="1" applyFont="1" applyFill="1" applyBorder="1"/>
    <xf numFmtId="176" fontId="0" fillId="0" borderId="0" xfId="0" applyNumberFormat="1"/>
    <xf numFmtId="0" fontId="0" fillId="9" borderId="0" xfId="0" applyFill="1" applyProtection="1">
      <protection locked="0"/>
    </xf>
    <xf numFmtId="1" fontId="0" fillId="9" borderId="0" xfId="0" applyNumberFormat="1" applyFill="1"/>
    <xf numFmtId="0" fontId="9" fillId="14" borderId="29" xfId="0" applyFont="1" applyFill="1" applyBorder="1" applyAlignment="1">
      <alignment horizontal="center" vertical="center"/>
    </xf>
    <xf numFmtId="177" fontId="1" fillId="0" borderId="0" xfId="0" applyNumberFormat="1" applyFont="1"/>
    <xf numFmtId="178" fontId="1" fillId="0" borderId="0" xfId="0" applyNumberFormat="1" applyFont="1"/>
    <xf numFmtId="179" fontId="1" fillId="0" borderId="0" xfId="0" applyNumberFormat="1" applyFont="1"/>
    <xf numFmtId="164" fontId="40" fillId="15" borderId="0" xfId="3" applyNumberFormat="1" applyFont="1" applyFill="1"/>
    <xf numFmtId="0" fontId="40" fillId="15" borderId="0" xfId="0" applyFont="1" applyFill="1"/>
    <xf numFmtId="175" fontId="1" fillId="0" borderId="0" xfId="3" applyNumberFormat="1" applyFont="1"/>
    <xf numFmtId="43" fontId="1" fillId="0" borderId="0" xfId="3" applyNumberFormat="1" applyFont="1"/>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167" fontId="1" fillId="0" borderId="0" xfId="0" applyNumberFormat="1" applyFont="1"/>
    <xf numFmtId="0" fontId="2" fillId="10" borderId="37" xfId="0" quotePrefix="1" applyFont="1" applyFill="1" applyBorder="1" applyAlignment="1">
      <alignment horizontal="center" vertical="center" wrapText="1"/>
    </xf>
    <xf numFmtId="10" fontId="32" fillId="16" borderId="9" xfId="4" applyNumberFormat="1" applyFont="1" applyFill="1" applyBorder="1"/>
    <xf numFmtId="9" fontId="31" fillId="0" borderId="9" xfId="4" applyFont="1" applyBorder="1" applyAlignment="1">
      <alignment horizontal="right"/>
    </xf>
    <xf numFmtId="3" fontId="31" fillId="0" borderId="9" xfId="0" applyNumberFormat="1" applyFont="1" applyBorder="1" applyAlignment="1">
      <alignment vertical="center"/>
    </xf>
    <xf numFmtId="9" fontId="31" fillId="0" borderId="9" xfId="4" applyFont="1" applyBorder="1" applyAlignment="1">
      <alignment vertical="center"/>
    </xf>
    <xf numFmtId="3" fontId="32" fillId="16" borderId="9" xfId="0" applyNumberFormat="1" applyFont="1" applyFill="1" applyBorder="1" applyAlignment="1">
      <alignment vertical="center"/>
    </xf>
    <xf numFmtId="9" fontId="32" fillId="16" borderId="9" xfId="4" applyFont="1" applyFill="1" applyBorder="1" applyAlignment="1">
      <alignment vertical="center"/>
    </xf>
    <xf numFmtId="9" fontId="32" fillId="16" borderId="9" xfId="0" applyNumberFormat="1" applyFont="1" applyFill="1" applyBorder="1" applyAlignment="1">
      <alignment vertical="center"/>
    </xf>
    <xf numFmtId="14" fontId="43" fillId="0" borderId="9" xfId="0" applyNumberFormat="1" applyFont="1" applyBorder="1"/>
    <xf numFmtId="3" fontId="43" fillId="0" borderId="9" xfId="0" applyNumberFormat="1" applyFont="1" applyBorder="1" applyAlignment="1">
      <alignment vertical="center"/>
    </xf>
    <xf numFmtId="9" fontId="43" fillId="0" borderId="9" xfId="4" applyFont="1" applyBorder="1" applyAlignment="1">
      <alignment vertical="center"/>
    </xf>
    <xf numFmtId="0" fontId="44" fillId="31" borderId="20" xfId="0" applyFont="1" applyFill="1" applyBorder="1" applyAlignment="1">
      <alignment horizontal="center" vertical="center" wrapText="1"/>
    </xf>
    <xf numFmtId="0" fontId="44" fillId="31" borderId="37" xfId="0" applyFont="1" applyFill="1" applyBorder="1" applyAlignment="1">
      <alignment horizontal="center" vertical="center" wrapText="1"/>
    </xf>
    <xf numFmtId="0" fontId="41" fillId="18" borderId="9" xfId="0" applyFont="1" applyFill="1" applyBorder="1"/>
    <xf numFmtId="3" fontId="41" fillId="18" borderId="9" xfId="0" applyNumberFormat="1" applyFont="1" applyFill="1" applyBorder="1" applyAlignment="1">
      <alignment vertical="center"/>
    </xf>
    <xf numFmtId="9" fontId="41" fillId="18" borderId="9" xfId="4" applyFont="1" applyFill="1" applyBorder="1" applyAlignment="1">
      <alignment vertical="center"/>
    </xf>
    <xf numFmtId="0" fontId="44" fillId="31" borderId="37" xfId="0" quotePrefix="1" applyFont="1" applyFill="1" applyBorder="1" applyAlignment="1">
      <alignment horizontal="center" vertical="center" wrapText="1"/>
    </xf>
    <xf numFmtId="9" fontId="41" fillId="18" borderId="9" xfId="4" applyNumberFormat="1" applyFont="1" applyFill="1" applyBorder="1" applyAlignment="1">
      <alignment vertical="center"/>
    </xf>
    <xf numFmtId="0" fontId="45" fillId="0" borderId="0" xfId="0" applyFont="1"/>
    <xf numFmtId="14" fontId="47" fillId="0" borderId="9" xfId="0" applyNumberFormat="1" applyFont="1" applyBorder="1"/>
    <xf numFmtId="0" fontId="47" fillId="0" borderId="9" xfId="0" applyFont="1" applyBorder="1"/>
    <xf numFmtId="0" fontId="48" fillId="16" borderId="9" xfId="0" applyFont="1" applyFill="1" applyBorder="1"/>
    <xf numFmtId="164" fontId="49" fillId="0" borderId="9" xfId="3" applyNumberFormat="1" applyFont="1" applyBorder="1"/>
    <xf numFmtId="164" fontId="48" fillId="16" borderId="9" xfId="3" applyNumberFormat="1" applyFont="1" applyFill="1" applyBorder="1"/>
    <xf numFmtId="164" fontId="45" fillId="0" borderId="0" xfId="3" applyNumberFormat="1" applyFont="1"/>
    <xf numFmtId="0" fontId="50" fillId="0" borderId="0" xfId="0" applyFont="1" applyAlignment="1">
      <alignment vertical="center"/>
    </xf>
    <xf numFmtId="0" fontId="0" fillId="32" borderId="0" xfId="0" applyFill="1"/>
    <xf numFmtId="0" fontId="51" fillId="32" borderId="0" xfId="0" applyFont="1" applyFill="1" applyAlignment="1">
      <alignment vertical="center"/>
    </xf>
    <xf numFmtId="0" fontId="52" fillId="0" borderId="0" xfId="0" applyFont="1" applyFill="1"/>
    <xf numFmtId="0" fontId="55" fillId="18" borderId="0" xfId="0" applyFont="1" applyFill="1"/>
    <xf numFmtId="0" fontId="53" fillId="32" borderId="0" xfId="0" applyFont="1" applyFill="1" applyAlignment="1">
      <alignment horizontal="center" vertical="center"/>
    </xf>
    <xf numFmtId="3" fontId="54" fillId="18" borderId="0" xfId="3" applyNumberFormat="1" applyFont="1" applyFill="1"/>
    <xf numFmtId="3" fontId="50" fillId="0" borderId="0" xfId="3" applyNumberFormat="1" applyFont="1" applyAlignment="1">
      <alignment horizontal="right" vertical="center"/>
    </xf>
    <xf numFmtId="3" fontId="52" fillId="0" borderId="0" xfId="3" applyNumberFormat="1" applyFont="1"/>
    <xf numFmtId="3" fontId="53" fillId="32" borderId="0" xfId="3" applyNumberFormat="1" applyFont="1" applyFill="1"/>
    <xf numFmtId="0" fontId="52" fillId="0" borderId="0" xfId="0" applyFont="1" applyAlignment="1">
      <alignment horizontal="right"/>
    </xf>
    <xf numFmtId="0" fontId="53" fillId="32" borderId="0" xfId="0" applyFont="1" applyFill="1" applyAlignment="1">
      <alignment horizontal="right"/>
    </xf>
    <xf numFmtId="0" fontId="55" fillId="18" borderId="0" xfId="0" applyFont="1" applyFill="1" applyAlignment="1">
      <alignment horizontal="right"/>
    </xf>
    <xf numFmtId="0" fontId="56" fillId="0" borderId="0" xfId="0" applyFont="1"/>
    <xf numFmtId="0" fontId="56" fillId="6" borderId="0" xfId="0" applyFont="1" applyFill="1"/>
    <xf numFmtId="0" fontId="58" fillId="34" borderId="13" xfId="0" applyNumberFormat="1" applyFont="1" applyFill="1" applyBorder="1" applyAlignment="1">
      <alignment horizontal="center" vertical="center" wrapText="1"/>
    </xf>
    <xf numFmtId="0" fontId="58" fillId="34" borderId="13" xfId="0" applyNumberFormat="1" applyFont="1" applyFill="1" applyBorder="1" applyAlignment="1">
      <alignment vertical="center" wrapText="1"/>
    </xf>
    <xf numFmtId="0" fontId="58" fillId="34" borderId="41" xfId="0" applyNumberFormat="1" applyFont="1" applyFill="1" applyBorder="1" applyAlignment="1">
      <alignment vertical="center" wrapText="1"/>
    </xf>
    <xf numFmtId="0" fontId="58" fillId="2" borderId="41" xfId="0" applyNumberFormat="1" applyFont="1" applyFill="1" applyBorder="1" applyAlignment="1">
      <alignment vertical="center" wrapText="1"/>
    </xf>
    <xf numFmtId="0" fontId="59" fillId="29" borderId="0" xfId="3" applyNumberFormat="1" applyFont="1" applyFill="1" applyBorder="1" applyAlignment="1">
      <alignment horizontal="center" vertical="center" wrapText="1"/>
    </xf>
    <xf numFmtId="0" fontId="58" fillId="42" borderId="41" xfId="0" applyNumberFormat="1" applyFont="1" applyFill="1" applyBorder="1" applyAlignment="1">
      <alignment vertical="center" wrapText="1"/>
    </xf>
    <xf numFmtId="0" fontId="58" fillId="10" borderId="41" xfId="0" applyNumberFormat="1" applyFont="1" applyFill="1" applyBorder="1" applyAlignment="1">
      <alignment vertical="center" wrapText="1"/>
    </xf>
    <xf numFmtId="0" fontId="57" fillId="0" borderId="0" xfId="0" applyNumberFormat="1" applyFont="1" applyAlignment="1">
      <alignment wrapText="1"/>
    </xf>
    <xf numFmtId="3" fontId="3" fillId="7" borderId="0" xfId="3" applyNumberFormat="1" applyFont="1" applyFill="1" applyBorder="1"/>
    <xf numFmtId="3" fontId="3" fillId="7" borderId="0" xfId="3" applyNumberFormat="1" applyFont="1" applyFill="1" applyBorder="1" applyAlignment="1">
      <alignment wrapText="1"/>
    </xf>
    <xf numFmtId="0" fontId="58" fillId="35" borderId="61" xfId="3" applyNumberFormat="1" applyFont="1" applyFill="1" applyBorder="1" applyAlignment="1">
      <alignment horizontal="center" vertical="center" wrapText="1"/>
    </xf>
    <xf numFmtId="0" fontId="58" fillId="38" borderId="61" xfId="3" applyNumberFormat="1" applyFont="1" applyFill="1" applyBorder="1" applyAlignment="1">
      <alignment horizontal="center" vertical="center" wrapText="1"/>
    </xf>
    <xf numFmtId="0" fontId="59" fillId="29" borderId="62" xfId="3" applyNumberFormat="1" applyFont="1" applyFill="1" applyBorder="1" applyAlignment="1">
      <alignment horizontal="center" vertical="center" wrapText="1"/>
    </xf>
    <xf numFmtId="0" fontId="59" fillId="29" borderId="63" xfId="3" applyNumberFormat="1" applyFont="1" applyFill="1" applyBorder="1" applyAlignment="1">
      <alignment horizontal="center" vertical="center" wrapText="1"/>
    </xf>
    <xf numFmtId="0" fontId="58" fillId="36" borderId="13" xfId="0" applyNumberFormat="1" applyFont="1" applyFill="1" applyBorder="1" applyAlignment="1">
      <alignment horizontal="center" vertical="center" wrapText="1"/>
    </xf>
    <xf numFmtId="0" fontId="58" fillId="41" borderId="13" xfId="0" applyNumberFormat="1" applyFont="1" applyFill="1" applyBorder="1" applyAlignment="1">
      <alignment horizontal="center" vertical="center" wrapText="1"/>
    </xf>
    <xf numFmtId="0" fontId="58" fillId="45" borderId="61" xfId="0" applyNumberFormat="1" applyFont="1" applyFill="1" applyBorder="1" applyAlignment="1">
      <alignment horizontal="center" vertical="center" wrapText="1"/>
    </xf>
    <xf numFmtId="0" fontId="1" fillId="33" borderId="60" xfId="0" applyFont="1" applyFill="1" applyBorder="1" applyAlignment="1">
      <alignment horizontal="left" vertical="top" wrapText="1"/>
    </xf>
    <xf numFmtId="0" fontId="1" fillId="33" borderId="60" xfId="0" applyFont="1" applyFill="1" applyBorder="1" applyAlignment="1">
      <alignment horizontal="left" vertical="top"/>
    </xf>
    <xf numFmtId="0" fontId="1" fillId="33" borderId="60" xfId="0" applyFont="1" applyFill="1" applyBorder="1" applyAlignment="1">
      <alignment horizontal="center" vertical="center"/>
    </xf>
    <xf numFmtId="41" fontId="1" fillId="4" borderId="60" xfId="0" applyNumberFormat="1" applyFont="1" applyFill="1" applyBorder="1"/>
    <xf numFmtId="164" fontId="1" fillId="37" borderId="60" xfId="3" applyNumberFormat="1" applyFont="1" applyFill="1" applyBorder="1"/>
    <xf numFmtId="0" fontId="1" fillId="18" borderId="60" xfId="0" applyFont="1" applyFill="1" applyBorder="1" applyAlignment="1">
      <alignment horizontal="center" vertical="center"/>
    </xf>
    <xf numFmtId="43" fontId="1" fillId="18" borderId="60" xfId="0" applyNumberFormat="1" applyFont="1" applyFill="1" applyBorder="1" applyAlignment="1">
      <alignment horizontal="right" vertical="center"/>
    </xf>
    <xf numFmtId="164" fontId="1" fillId="18" borderId="60" xfId="0" applyNumberFormat="1" applyFont="1" applyFill="1" applyBorder="1" applyAlignment="1">
      <alignment horizontal="right" vertical="center"/>
    </xf>
    <xf numFmtId="0" fontId="1" fillId="40" borderId="60" xfId="0" applyFont="1" applyFill="1" applyBorder="1" applyAlignment="1">
      <alignment horizontal="left" vertical="top" wrapText="1"/>
    </xf>
    <xf numFmtId="3" fontId="1" fillId="4" borderId="60" xfId="0" applyNumberFormat="1" applyFont="1" applyFill="1" applyBorder="1"/>
    <xf numFmtId="164" fontId="1" fillId="43" borderId="60" xfId="3" applyNumberFormat="1" applyFont="1" applyFill="1" applyBorder="1"/>
    <xf numFmtId="164" fontId="1" fillId="11" borderId="60" xfId="3" applyNumberFormat="1" applyFont="1" applyFill="1" applyBorder="1"/>
    <xf numFmtId="164" fontId="1" fillId="44" borderId="60" xfId="3" applyNumberFormat="1" applyFont="1" applyFill="1" applyBorder="1"/>
    <xf numFmtId="0" fontId="1" fillId="28" borderId="60" xfId="0" applyFont="1" applyFill="1" applyBorder="1" applyAlignment="1">
      <alignment horizontal="center" vertical="center"/>
    </xf>
    <xf numFmtId="43" fontId="1" fillId="0" borderId="60" xfId="0" applyNumberFormat="1" applyFont="1" applyBorder="1" applyAlignment="1">
      <alignment horizontal="right" vertical="center"/>
    </xf>
    <xf numFmtId="164" fontId="1" fillId="0" borderId="60" xfId="0" applyNumberFormat="1" applyFont="1" applyBorder="1" applyAlignment="1">
      <alignment horizontal="right" vertical="center"/>
    </xf>
    <xf numFmtId="9" fontId="1" fillId="4" borderId="60" xfId="4" applyFont="1" applyFill="1" applyBorder="1"/>
    <xf numFmtId="166" fontId="1" fillId="4" borderId="60" xfId="4" applyNumberFormat="1" applyFont="1" applyFill="1" applyBorder="1"/>
    <xf numFmtId="0" fontId="1" fillId="33" borderId="60" xfId="0" applyFont="1" applyFill="1" applyBorder="1" applyAlignment="1">
      <alignment horizontal="center" vertical="center" wrapText="1"/>
    </xf>
    <xf numFmtId="0" fontId="1" fillId="33" borderId="60" xfId="0" applyFont="1" applyFill="1" applyBorder="1" applyAlignment="1">
      <alignment horizontal="left" vertical="center"/>
    </xf>
    <xf numFmtId="0" fontId="56" fillId="33" borderId="60" xfId="0" applyFont="1" applyFill="1" applyBorder="1" applyAlignment="1" applyProtection="1">
      <alignment wrapText="1"/>
      <protection locked="0"/>
    </xf>
    <xf numFmtId="0" fontId="1" fillId="0" borderId="60" xfId="0" applyFont="1" applyFill="1" applyBorder="1" applyAlignment="1">
      <alignment horizontal="center" vertical="center"/>
    </xf>
    <xf numFmtId="174" fontId="1" fillId="4" borderId="60" xfId="4" applyNumberFormat="1" applyFont="1" applyFill="1" applyBorder="1"/>
    <xf numFmtId="0" fontId="1" fillId="33" borderId="60" xfId="0" quotePrefix="1" applyFont="1" applyFill="1" applyBorder="1" applyAlignment="1">
      <alignment horizontal="center" vertical="center"/>
    </xf>
    <xf numFmtId="164" fontId="1" fillId="33" borderId="60" xfId="3" applyNumberFormat="1" applyFont="1" applyFill="1" applyBorder="1" applyAlignment="1">
      <alignment wrapText="1"/>
    </xf>
    <xf numFmtId="0" fontId="1" fillId="40" borderId="60" xfId="0" applyFont="1" applyFill="1" applyBorder="1" applyAlignment="1">
      <alignment horizontal="left" vertical="top"/>
    </xf>
    <xf numFmtId="0" fontId="56" fillId="33" borderId="60" xfId="0" applyFont="1" applyFill="1" applyBorder="1" applyProtection="1">
      <protection locked="0"/>
    </xf>
    <xf numFmtId="0" fontId="56" fillId="33" borderId="60" xfId="0" applyFont="1" applyFill="1" applyBorder="1"/>
    <xf numFmtId="0" fontId="1" fillId="4" borderId="60" xfId="4" applyNumberFormat="1" applyFont="1" applyFill="1" applyBorder="1"/>
    <xf numFmtId="0" fontId="1" fillId="33" borderId="60" xfId="3" applyNumberFormat="1" applyFont="1" applyFill="1" applyBorder="1" applyAlignment="1">
      <alignment wrapText="1"/>
    </xf>
    <xf numFmtId="164" fontId="1" fillId="33" borderId="60" xfId="3" applyNumberFormat="1" applyFont="1" applyFill="1" applyBorder="1" applyAlignment="1">
      <alignment horizontal="left" wrapText="1"/>
    </xf>
    <xf numFmtId="41" fontId="1" fillId="4" borderId="60" xfId="0" quotePrefix="1" applyNumberFormat="1" applyFont="1" applyFill="1" applyBorder="1"/>
    <xf numFmtId="0" fontId="56" fillId="33" borderId="60" xfId="1" applyFont="1" applyFill="1" applyBorder="1" applyAlignment="1">
      <alignment horizontal="left" vertical="center"/>
    </xf>
    <xf numFmtId="43" fontId="1" fillId="0" borderId="60" xfId="0" applyNumberFormat="1" applyFont="1" applyFill="1" applyBorder="1" applyAlignment="1">
      <alignment horizontal="right" vertical="center"/>
    </xf>
    <xf numFmtId="164" fontId="1" fillId="0" borderId="60" xfId="0" applyNumberFormat="1" applyFont="1" applyFill="1" applyBorder="1" applyAlignment="1">
      <alignment horizontal="right" vertical="center"/>
    </xf>
    <xf numFmtId="49" fontId="56" fillId="33" borderId="60" xfId="2" applyNumberFormat="1" applyFont="1" applyFill="1" applyBorder="1" applyAlignment="1">
      <alignment horizontal="center" vertical="center"/>
    </xf>
    <xf numFmtId="0" fontId="56" fillId="33" borderId="60" xfId="2" applyNumberFormat="1" applyFont="1" applyFill="1" applyBorder="1" applyAlignment="1">
      <alignment horizontal="center" vertical="center"/>
    </xf>
    <xf numFmtId="0" fontId="56" fillId="33" borderId="60" xfId="2" applyFont="1" applyFill="1" applyBorder="1" applyAlignment="1">
      <alignment vertical="center"/>
    </xf>
    <xf numFmtId="49" fontId="56" fillId="33" borderId="60" xfId="2" applyNumberFormat="1" applyFont="1" applyFill="1" applyBorder="1" applyAlignment="1">
      <alignment horizontal="left" vertical="center"/>
    </xf>
    <xf numFmtId="0" fontId="1" fillId="6" borderId="60" xfId="0" applyFont="1" applyFill="1" applyBorder="1" applyAlignment="1">
      <alignment horizontal="center" vertical="center"/>
    </xf>
    <xf numFmtId="43" fontId="1" fillId="6" borderId="60" xfId="0" applyNumberFormat="1" applyFont="1" applyFill="1" applyBorder="1" applyAlignment="1">
      <alignment horizontal="right" vertical="center"/>
    </xf>
    <xf numFmtId="164" fontId="1" fillId="6" borderId="60" xfId="0" applyNumberFormat="1" applyFont="1" applyFill="1" applyBorder="1" applyAlignment="1">
      <alignment horizontal="right" vertical="center"/>
    </xf>
    <xf numFmtId="0" fontId="60" fillId="0" borderId="0" xfId="0" pivotButton="1" applyFont="1"/>
    <xf numFmtId="0" fontId="60" fillId="0" borderId="0" xfId="0" applyFont="1"/>
    <xf numFmtId="0" fontId="60" fillId="0" borderId="0" xfId="0" pivotButton="1" applyFont="1" applyAlignment="1">
      <alignment horizontal="center" vertical="center"/>
    </xf>
    <xf numFmtId="41" fontId="60" fillId="0" borderId="0" xfId="0" applyNumberFormat="1" applyFont="1"/>
    <xf numFmtId="41" fontId="1" fillId="4" borderId="60" xfId="0" applyNumberFormat="1" applyFont="1" applyFill="1" applyBorder="1" applyAlignment="1">
      <alignment horizontal="left" vertical="top" wrapText="1"/>
    </xf>
    <xf numFmtId="41" fontId="1" fillId="37" borderId="60" xfId="3" applyNumberFormat="1" applyFont="1" applyFill="1" applyBorder="1"/>
    <xf numFmtId="41" fontId="1" fillId="39" borderId="60" xfId="3" applyNumberFormat="1" applyFont="1" applyFill="1" applyBorder="1" applyAlignment="1"/>
    <xf numFmtId="41" fontId="3" fillId="7" borderId="0" xfId="3" applyNumberFormat="1" applyFont="1" applyFill="1" applyBorder="1"/>
    <xf numFmtId="41" fontId="1" fillId="0" borderId="0" xfId="0" applyNumberFormat="1" applyFont="1" applyAlignment="1">
      <alignment wrapText="1"/>
    </xf>
    <xf numFmtId="41" fontId="7" fillId="0" borderId="0" xfId="3" applyNumberFormat="1" applyFont="1"/>
    <xf numFmtId="41" fontId="1" fillId="0" borderId="0" xfId="3" applyNumberFormat="1" applyFont="1"/>
    <xf numFmtId="172" fontId="3" fillId="7" borderId="0" xfId="3" applyNumberFormat="1" applyFont="1" applyFill="1" applyBorder="1"/>
    <xf numFmtId="172" fontId="1" fillId="0" borderId="0" xfId="3" applyNumberFormat="1" applyFont="1"/>
    <xf numFmtId="172" fontId="1" fillId="8" borderId="0" xfId="3" applyNumberFormat="1" applyFont="1" applyFill="1"/>
    <xf numFmtId="0" fontId="2" fillId="10" borderId="20" xfId="0" applyFont="1" applyFill="1" applyBorder="1" applyAlignment="1">
      <alignment horizontal="center" vertical="center" wrapText="1"/>
    </xf>
    <xf numFmtId="0" fontId="2" fillId="10" borderId="36" xfId="0" applyFont="1" applyFill="1" applyBorder="1" applyAlignment="1">
      <alignment horizontal="center" vertical="center" wrapText="1"/>
    </xf>
    <xf numFmtId="0" fontId="8" fillId="11" borderId="44" xfId="0" applyFont="1" applyFill="1" applyBorder="1" applyAlignment="1">
      <alignment horizontal="center" wrapText="1"/>
    </xf>
    <xf numFmtId="0" fontId="8" fillId="11" borderId="45" xfId="0" applyFont="1" applyFill="1" applyBorder="1" applyAlignment="1">
      <alignment horizontal="center" wrapText="1"/>
    </xf>
    <xf numFmtId="0" fontId="8" fillId="11" borderId="46" xfId="0" applyFont="1" applyFill="1" applyBorder="1" applyAlignment="1">
      <alignment horizontal="center" wrapText="1"/>
    </xf>
    <xf numFmtId="0" fontId="17" fillId="9" borderId="0" xfId="0" applyFont="1" applyFill="1" applyAlignment="1">
      <alignment horizontal="center"/>
    </xf>
    <xf numFmtId="0" fontId="9" fillId="14" borderId="29" xfId="0" applyFont="1" applyFill="1" applyBorder="1" applyAlignment="1">
      <alignment horizontal="center" vertical="center"/>
    </xf>
    <xf numFmtId="0" fontId="9" fillId="14" borderId="33" xfId="0" applyFont="1" applyFill="1" applyBorder="1" applyAlignment="1">
      <alignment horizontal="center" vertical="center"/>
    </xf>
    <xf numFmtId="0" fontId="9" fillId="14" borderId="29" xfId="0" applyFont="1" applyFill="1" applyBorder="1" applyAlignment="1">
      <alignment horizontal="center" vertical="center" wrapText="1"/>
    </xf>
    <xf numFmtId="0" fontId="9" fillId="14" borderId="33" xfId="0" applyFont="1" applyFill="1" applyBorder="1" applyAlignment="1">
      <alignment horizontal="center" vertical="center" wrapText="1"/>
    </xf>
    <xf numFmtId="0" fontId="0" fillId="0" borderId="55" xfId="0" applyBorder="1" applyAlignment="1">
      <alignment horizontal="center" vertical="center"/>
    </xf>
    <xf numFmtId="0" fontId="39" fillId="30" borderId="47" xfId="0" applyFont="1" applyFill="1" applyBorder="1" applyAlignment="1">
      <alignment horizontal="center" vertical="center"/>
    </xf>
    <xf numFmtId="0" fontId="39" fillId="30" borderId="48" xfId="0" applyFont="1" applyFill="1" applyBorder="1" applyAlignment="1">
      <alignment horizontal="center" vertical="center"/>
    </xf>
    <xf numFmtId="0" fontId="39" fillId="30" borderId="49" xfId="0" applyFont="1" applyFill="1" applyBorder="1" applyAlignment="1">
      <alignment horizontal="center" vertical="center"/>
    </xf>
    <xf numFmtId="164" fontId="39" fillId="30" borderId="50" xfId="3" applyNumberFormat="1" applyFont="1" applyFill="1" applyBorder="1" applyAlignment="1">
      <alignment horizontal="center" vertical="center"/>
    </xf>
    <xf numFmtId="0" fontId="39" fillId="30" borderId="50" xfId="0" applyFont="1" applyFill="1" applyBorder="1" applyAlignment="1">
      <alignment horizontal="center" vertical="center"/>
    </xf>
    <xf numFmtId="0" fontId="0" fillId="0" borderId="55" xfId="0" applyBorder="1" applyAlignment="1">
      <alignment horizontal="center" vertical="center" textRotation="90"/>
    </xf>
    <xf numFmtId="0" fontId="0" fillId="0" borderId="55" xfId="0" applyBorder="1" applyAlignment="1">
      <alignment horizontal="center" vertical="center" textRotation="90" wrapText="1"/>
    </xf>
    <xf numFmtId="0" fontId="44" fillId="31" borderId="20" xfId="0" applyFont="1" applyFill="1" applyBorder="1" applyAlignment="1">
      <alignment horizontal="center" vertical="center" wrapText="1"/>
    </xf>
    <xf numFmtId="0" fontId="44" fillId="31" borderId="37" xfId="0" applyFont="1" applyFill="1" applyBorder="1" applyAlignment="1">
      <alignment horizontal="center" vertical="center" wrapText="1"/>
    </xf>
    <xf numFmtId="0" fontId="42" fillId="23" borderId="44" xfId="0" applyFont="1" applyFill="1" applyBorder="1" applyAlignment="1">
      <alignment horizontal="center" wrapText="1"/>
    </xf>
    <xf numFmtId="0" fontId="42" fillId="23" borderId="45" xfId="0" applyFont="1" applyFill="1" applyBorder="1" applyAlignment="1">
      <alignment horizontal="center" wrapText="1"/>
    </xf>
    <xf numFmtId="0" fontId="42" fillId="23" borderId="46" xfId="0" applyFont="1" applyFill="1" applyBorder="1" applyAlignment="1">
      <alignment horizontal="center" wrapText="1"/>
    </xf>
    <xf numFmtId="0" fontId="46" fillId="10" borderId="20" xfId="0" applyFont="1" applyFill="1" applyBorder="1" applyAlignment="1">
      <alignment horizontal="center" vertical="center" wrapText="1"/>
    </xf>
    <xf numFmtId="0" fontId="46" fillId="10" borderId="36" xfId="0" applyFont="1" applyFill="1" applyBorder="1" applyAlignment="1">
      <alignment horizontal="center" vertical="center" wrapText="1"/>
    </xf>
    <xf numFmtId="0" fontId="46" fillId="10" borderId="36" xfId="0" applyFont="1" applyFill="1" applyBorder="1" applyAlignment="1">
      <alignment horizontal="center" vertical="center"/>
    </xf>
    <xf numFmtId="0" fontId="46" fillId="10" borderId="37" xfId="0" applyFont="1" applyFill="1" applyBorder="1" applyAlignment="1">
      <alignment horizontal="center" vertical="center"/>
    </xf>
    <xf numFmtId="0" fontId="46" fillId="10" borderId="37" xfId="0" applyFont="1" applyFill="1" applyBorder="1" applyAlignment="1">
      <alignment horizontal="center" vertical="center" wrapText="1"/>
    </xf>
    <xf numFmtId="0" fontId="0" fillId="9" borderId="0" xfId="0" applyFill="1" applyAlignment="1">
      <alignment horizontal="center" vertical="center"/>
    </xf>
    <xf numFmtId="0" fontId="11" fillId="23" borderId="41" xfId="0" applyFont="1" applyFill="1" applyBorder="1" applyAlignment="1">
      <alignment horizontal="center" vertical="center"/>
    </xf>
    <xf numFmtId="0" fontId="11" fillId="19" borderId="41" xfId="0" applyFont="1" applyFill="1" applyBorder="1" applyAlignment="1">
      <alignment horizontal="center" vertical="center"/>
    </xf>
    <xf numFmtId="0" fontId="11" fillId="18" borderId="41" xfId="0" applyFont="1" applyFill="1" applyBorder="1" applyAlignment="1">
      <alignment horizontal="center"/>
    </xf>
    <xf numFmtId="0" fontId="26" fillId="26" borderId="41" xfId="0" applyFont="1" applyFill="1" applyBorder="1" applyAlignment="1">
      <alignment horizontal="center" vertical="center"/>
    </xf>
    <xf numFmtId="0" fontId="0" fillId="19" borderId="0" xfId="0" applyFill="1" applyAlignment="1">
      <alignment horizontal="center" vertical="center"/>
    </xf>
    <xf numFmtId="0" fontId="0" fillId="21" borderId="41" xfId="0" applyFill="1" applyBorder="1" applyAlignment="1">
      <alignment horizontal="center" vertical="center"/>
    </xf>
    <xf numFmtId="0" fontId="11" fillId="7" borderId="41" xfId="0" applyFont="1" applyFill="1" applyBorder="1" applyAlignment="1">
      <alignment horizontal="center" vertical="center"/>
    </xf>
    <xf numFmtId="0" fontId="11" fillId="11" borderId="41" xfId="0" applyFont="1" applyFill="1" applyBorder="1" applyAlignment="1">
      <alignment horizontal="center" vertical="center"/>
    </xf>
    <xf numFmtId="0" fontId="1" fillId="0" borderId="0" xfId="0" applyFont="1" applyBorder="1" applyAlignment="1">
      <alignment horizontal="left" vertical="top" wrapText="1"/>
    </xf>
    <xf numFmtId="0" fontId="19" fillId="11" borderId="0" xfId="0" applyFont="1" applyFill="1" applyAlignment="1">
      <alignment horizontal="left" vertical="top" wrapText="1"/>
    </xf>
    <xf numFmtId="0" fontId="19" fillId="11" borderId="0" xfId="0" applyFont="1" applyFill="1" applyAlignment="1">
      <alignment horizontal="left" wrapText="1"/>
    </xf>
    <xf numFmtId="0" fontId="16" fillId="9" borderId="19" xfId="0" applyFont="1" applyFill="1" applyBorder="1" applyAlignment="1">
      <alignment horizontal="center"/>
    </xf>
    <xf numFmtId="0" fontId="18" fillId="9" borderId="19" xfId="0" applyFont="1" applyFill="1" applyBorder="1" applyAlignment="1">
      <alignment horizontal="right"/>
    </xf>
  </cellXfs>
  <cellStyles count="6">
    <cellStyle name="Normal" xfId="0" builtinId="0"/>
    <cellStyle name="Normal 9 35 2" xfId="1"/>
    <cellStyle name="Normal 9 35 2 2" xfId="2"/>
    <cellStyle name="Porcentagem" xfId="4" builtinId="5"/>
    <cellStyle name="Vírgula" xfId="3" builtinId="3"/>
    <cellStyle name="Vírgula 6 2" xfId="5"/>
  </cellStyles>
  <dxfs count="34">
    <dxf>
      <numFmt numFmtId="164" formatCode="_-* #,##0_-;\-* #,##0_-;_-* &quot;-&quot;??_-;_-@_-"/>
    </dxf>
    <dxf>
      <font>
        <color rgb="FF0000FF"/>
      </font>
    </dxf>
    <dxf>
      <font>
        <color rgb="FFFF0000"/>
      </font>
    </dxf>
    <dxf>
      <font>
        <color rgb="FF0000FF"/>
      </font>
    </dxf>
    <dxf>
      <font>
        <color rgb="FFFF0000"/>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readingOrder="0"/>
    </dxf>
    <dxf>
      <alignment horizontal="right" readingOrder="0"/>
    </dxf>
    <dxf>
      <numFmt numFmtId="164" formatCode="_-* #,##0_-;\-* #,##0_-;_-* &quot;-&quot;??_-;_-@_-"/>
    </dxf>
    <dxf>
      <numFmt numFmtId="33" formatCode="_-* #,##0_-;\-* #,##0_-;_-* &quot;-&quot;_-;_-@_-"/>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vertical="center" readingOrder="0"/>
    </dxf>
    <dxf>
      <alignment vertical="center" readingOrder="0"/>
    </dxf>
    <dxf>
      <alignment horizontal="center" readingOrder="0"/>
    </dxf>
    <dxf>
      <alignment horizontal="center" readingOrder="0"/>
    </dxf>
    <dxf>
      <numFmt numFmtId="33" formatCode="_-* #,##0_-;\-* #,##0_-;_-* &quot;-&quot;_-;_-@_-"/>
    </dxf>
  </dxfs>
  <tableStyles count="0" defaultTableStyle="TableStyleMedium2" defaultPivotStyle="PivotStyleLight16"/>
  <colors>
    <mruColors>
      <color rgb="FF4A7430"/>
      <color rgb="FFAAD18F"/>
      <color rgb="FF87BF61"/>
      <color rgb="FFF6FAF4"/>
      <color rgb="FF517F35"/>
      <color rgb="FFECF5E7"/>
      <color rgb="FFEAF4E4"/>
      <color rgb="FF456D2D"/>
      <color rgb="FFD0E5C1"/>
      <color rgb="FFCBCB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Distribuição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1"/>
          <c:order val="0"/>
          <c:tx>
            <c:strRef>
              <c:f>'Gráfico - Curva de Desembolsos'!$B$6</c:f>
              <c:strCache>
                <c:ptCount val="1"/>
                <c:pt idx="0">
                  <c:v>Limite indicativo para investimento (anual)</c:v>
                </c:pt>
              </c:strCache>
            </c:strRef>
          </c:tx>
          <c:spPr>
            <a:solidFill>
              <a:srgbClr val="008000"/>
            </a:solidFill>
            <a:ln>
              <a:noFill/>
            </a:ln>
            <a:effectLst/>
          </c:spPr>
          <c:invertIfNegative val="0"/>
          <c:dLbls>
            <c:dLbl>
              <c:idx val="0"/>
              <c:layout>
                <c:manualLayout>
                  <c:x val="0"/>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
                  <c:y val="9.2592592592591737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6.8471052262407127E-17"/>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8674139067049518E-3"/>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3.7348278134097671E-3"/>
                  <c:y val="9.2592592592591737E-3"/>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4.3557796975054143E-3"/>
                  <c:y val="6.979075532225096E-3"/>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Desembolsos'!$C$6:$H$6</c:f>
              <c:numCache>
                <c:formatCode>_-* #,##0_-;\-* #,##0_-;_-* "-"??_-;_-@_-</c:formatCode>
                <c:ptCount val="6"/>
                <c:pt idx="0">
                  <c:v>50054</c:v>
                </c:pt>
                <c:pt idx="1">
                  <c:v>50054</c:v>
                </c:pt>
                <c:pt idx="2">
                  <c:v>66738</c:v>
                </c:pt>
                <c:pt idx="3">
                  <c:v>83423</c:v>
                </c:pt>
                <c:pt idx="4">
                  <c:v>83422</c:v>
                </c:pt>
                <c:pt idx="5">
                  <c:v>333691</c:v>
                </c:pt>
              </c:numCache>
            </c:numRef>
          </c:val>
        </c:ser>
        <c:ser>
          <c:idx val="0"/>
          <c:order val="1"/>
          <c:tx>
            <c:strRef>
              <c:f>'Gráfico - Curva de Desembolsos'!$B$8</c:f>
              <c:strCache>
                <c:ptCount val="1"/>
                <c:pt idx="0">
                  <c:v>Programa de investimento 2018-2022 (anual)</c:v>
                </c:pt>
              </c:strCache>
            </c:strRef>
          </c:tx>
          <c:spPr>
            <a:solidFill>
              <a:schemeClr val="accent5">
                <a:lumMod val="60000"/>
                <a:lumOff val="40000"/>
              </a:schemeClr>
            </a:solidFill>
            <a:ln>
              <a:noFill/>
            </a:ln>
            <a:effectLst/>
          </c:spPr>
          <c:invertIfNegative val="0"/>
          <c:dLbls>
            <c:dLbl>
              <c:idx val="0"/>
              <c:layout>
                <c:manualLayout>
                  <c:x val="5.602241720114650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1"/>
              <c:layout>
                <c:manualLayout>
                  <c:x val="9.3370695335244173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7.4696556268196027E-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5"/>
              <c:layout>
                <c:manualLayout>
                  <c:x val="-3.7348278134099037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Desembolsos'!$C$8:$H$8</c:f>
              <c:numCache>
                <c:formatCode>_-* #,##0_-;\-* #,##0_-;_-* "-"??_-;_-@_-</c:formatCode>
                <c:ptCount val="6"/>
                <c:pt idx="0">
                  <c:v>0</c:v>
                </c:pt>
                <c:pt idx="1">
                  <c:v>0</c:v>
                </c:pt>
                <c:pt idx="2">
                  <c:v>0</c:v>
                </c:pt>
                <c:pt idx="3">
                  <c:v>0</c:v>
                </c:pt>
                <c:pt idx="4">
                  <c:v>0</c:v>
                </c:pt>
                <c:pt idx="5">
                  <c:v>0</c:v>
                </c:pt>
              </c:numCache>
            </c:numRef>
          </c:val>
        </c:ser>
        <c:dLbls>
          <c:showLegendKey val="0"/>
          <c:showVal val="1"/>
          <c:showCatName val="0"/>
          <c:showSerName val="0"/>
          <c:showPercent val="0"/>
          <c:showBubbleSize val="0"/>
        </c:dLbls>
        <c:gapWidth val="52"/>
        <c:axId val="188462128"/>
        <c:axId val="188462688"/>
      </c:barChart>
      <c:catAx>
        <c:axId val="188462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88462688"/>
        <c:crosses val="autoZero"/>
        <c:auto val="1"/>
        <c:lblAlgn val="ctr"/>
        <c:lblOffset val="100"/>
        <c:noMultiLvlLbl val="0"/>
      </c:catAx>
      <c:valAx>
        <c:axId val="18846268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a:latin typeface="Arial Narrow" panose="020B0606020202030204" pitchFamily="34" charset="0"/>
                  </a:rPr>
                  <a:t>R$MM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88462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Geração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Desembolsos'!$B$64</c:f>
              <c:strCache>
                <c:ptCount val="1"/>
                <c:pt idx="0">
                  <c:v>Limite indicativo para investimento (anual)</c:v>
                </c:pt>
              </c:strCache>
            </c:strRef>
          </c:tx>
          <c:spPr>
            <a:solidFill>
              <a:srgbClr val="008000"/>
            </a:solidFill>
            <a:ln>
              <a:noFill/>
            </a:ln>
            <a:effectLst/>
          </c:spPr>
          <c:invertIfNegative val="0"/>
          <c:dLbls>
            <c:dLbl>
              <c:idx val="0"/>
              <c:layout>
                <c:manualLayout>
                  <c:x val="0"/>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7.469655626819568E-3"/>
                  <c:y val="2.3148148148148147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3.7348278134098356E-3"/>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8674139067048835E-3"/>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1.3694210452481425E-16"/>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3.7348278134097671E-3"/>
                  <c:y val="1.8518518518518517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Desembolsos'!$C$63:$H$63</c:f>
              <c:strCache>
                <c:ptCount val="6"/>
                <c:pt idx="0">
                  <c:v>2018</c:v>
                </c:pt>
                <c:pt idx="1">
                  <c:v>2019</c:v>
                </c:pt>
                <c:pt idx="2">
                  <c:v>2020</c:v>
                </c:pt>
                <c:pt idx="3">
                  <c:v>2021</c:v>
                </c:pt>
                <c:pt idx="4">
                  <c:v>2022</c:v>
                </c:pt>
                <c:pt idx="5">
                  <c:v>Total</c:v>
                </c:pt>
              </c:strCache>
            </c:strRef>
          </c:cat>
          <c:val>
            <c:numRef>
              <c:f>'Gráfico - Curva de Desembolsos'!$C$64:$H$64</c:f>
              <c:numCache>
                <c:formatCode>_-* #,##0_-;\-* #,##0_-;_-* "-"??_-;_-@_-</c:formatCode>
                <c:ptCount val="6"/>
                <c:pt idx="0">
                  <c:v>2456.6</c:v>
                </c:pt>
                <c:pt idx="1">
                  <c:v>2456.6</c:v>
                </c:pt>
                <c:pt idx="2">
                  <c:v>2456.6</c:v>
                </c:pt>
                <c:pt idx="3">
                  <c:v>2456.6</c:v>
                </c:pt>
                <c:pt idx="4">
                  <c:v>2456.6</c:v>
                </c:pt>
                <c:pt idx="5">
                  <c:v>12283</c:v>
                </c:pt>
              </c:numCache>
            </c:numRef>
          </c:val>
        </c:ser>
        <c:ser>
          <c:idx val="1"/>
          <c:order val="1"/>
          <c:tx>
            <c:strRef>
              <c:f>'Gráfico - Curva de Desembolsos'!$B$66</c:f>
              <c:strCache>
                <c:ptCount val="1"/>
                <c:pt idx="0">
                  <c:v>Programa de investimento 2018-2022 (anual)</c:v>
                </c:pt>
              </c:strCache>
            </c:strRef>
          </c:tx>
          <c:spPr>
            <a:solidFill>
              <a:schemeClr val="accent5">
                <a:lumMod val="60000"/>
                <a:lumOff val="40000"/>
              </a:schemeClr>
            </a:solidFill>
            <a:ln>
              <a:noFill/>
            </a:ln>
            <a:effectLst/>
          </c:spPr>
          <c:invertIfNegative val="0"/>
          <c:dLbls>
            <c:dLbl>
              <c:idx val="5"/>
              <c:layout>
                <c:manualLayout>
                  <c:x val="3.8481678122063989E-3"/>
                  <c:y val="1.388888888888888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Desembolsos'!$C$63:$H$63</c:f>
              <c:strCache>
                <c:ptCount val="6"/>
                <c:pt idx="0">
                  <c:v>2018</c:v>
                </c:pt>
                <c:pt idx="1">
                  <c:v>2019</c:v>
                </c:pt>
                <c:pt idx="2">
                  <c:v>2020</c:v>
                </c:pt>
                <c:pt idx="3">
                  <c:v>2021</c:v>
                </c:pt>
                <c:pt idx="4">
                  <c:v>2022</c:v>
                </c:pt>
                <c:pt idx="5">
                  <c:v>Total</c:v>
                </c:pt>
              </c:strCache>
            </c:strRef>
          </c:cat>
          <c:val>
            <c:numRef>
              <c:f>'Gráfico - Curva de Desembolsos'!$C$66:$H$66</c:f>
              <c:numCache>
                <c:formatCode>_-* #,##0_-;\-* #,##0_-;_-* "-"??_-;_-@_-</c:formatCode>
                <c:ptCount val="6"/>
                <c:pt idx="0">
                  <c:v>0</c:v>
                </c:pt>
                <c:pt idx="1">
                  <c:v>0</c:v>
                </c:pt>
                <c:pt idx="2">
                  <c:v>0</c:v>
                </c:pt>
                <c:pt idx="3">
                  <c:v>0</c:v>
                </c:pt>
                <c:pt idx="4">
                  <c:v>0</c:v>
                </c:pt>
                <c:pt idx="5">
                  <c:v>0</c:v>
                </c:pt>
              </c:numCache>
            </c:numRef>
          </c:val>
        </c:ser>
        <c:dLbls>
          <c:showLegendKey val="0"/>
          <c:showVal val="1"/>
          <c:showCatName val="0"/>
          <c:showSerName val="0"/>
          <c:showPercent val="0"/>
          <c:showBubbleSize val="0"/>
        </c:dLbls>
        <c:gapWidth val="50"/>
        <c:axId val="193989216"/>
        <c:axId val="193989776"/>
      </c:barChart>
      <c:catAx>
        <c:axId val="193989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93989776"/>
        <c:crosses val="autoZero"/>
        <c:auto val="1"/>
        <c:lblAlgn val="ctr"/>
        <c:lblOffset val="100"/>
        <c:noMultiLvlLbl val="0"/>
      </c:catAx>
      <c:valAx>
        <c:axId val="19398977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000" b="0" i="0" baseline="0">
                    <a:effectLst/>
                  </a:rPr>
                  <a:t>R$Mil</a:t>
                </a:r>
                <a:endParaRPr lang="pt-BR"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3989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Transmissão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Desembolsos'!$B$103</c:f>
              <c:strCache>
                <c:ptCount val="1"/>
                <c:pt idx="0">
                  <c:v>Limite indicativo para investimento (anual)</c:v>
                </c:pt>
              </c:strCache>
            </c:strRef>
          </c:tx>
          <c:spPr>
            <a:solidFill>
              <a:srgbClr val="00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Desembolsos'!$C$103:$H$103</c:f>
              <c:numCache>
                <c:formatCode>_-* #,##0_-;\-* #,##0_-;_-* "-"??_-;_-@_-</c:formatCode>
                <c:ptCount val="6"/>
                <c:pt idx="0">
                  <c:v>2700</c:v>
                </c:pt>
                <c:pt idx="1">
                  <c:v>2752</c:v>
                </c:pt>
                <c:pt idx="2">
                  <c:v>2846</c:v>
                </c:pt>
                <c:pt idx="3">
                  <c:v>2940</c:v>
                </c:pt>
                <c:pt idx="4">
                  <c:v>3011</c:v>
                </c:pt>
                <c:pt idx="5">
                  <c:v>14249</c:v>
                </c:pt>
              </c:numCache>
            </c:numRef>
          </c:val>
        </c:ser>
        <c:ser>
          <c:idx val="1"/>
          <c:order val="1"/>
          <c:tx>
            <c:strRef>
              <c:f>'Gráfico - Curva de Desembolsos'!$B$105</c:f>
              <c:strCache>
                <c:ptCount val="1"/>
                <c:pt idx="0">
                  <c:v>Programa de investimento 2018-2022 (anual)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Desembolsos'!$C$105:$H$105</c:f>
              <c:numCache>
                <c:formatCode>_-* #,##0_-;\-* #,##0_-;_-* "-"??_-;_-@_-</c:formatCode>
                <c:ptCount val="6"/>
                <c:pt idx="0">
                  <c:v>0</c:v>
                </c:pt>
                <c:pt idx="1">
                  <c:v>0</c:v>
                </c:pt>
                <c:pt idx="2">
                  <c:v>0</c:v>
                </c:pt>
                <c:pt idx="3">
                  <c:v>0</c:v>
                </c:pt>
                <c:pt idx="4">
                  <c:v>0</c:v>
                </c:pt>
                <c:pt idx="5">
                  <c:v>0</c:v>
                </c:pt>
              </c:numCache>
            </c:numRef>
          </c:val>
        </c:ser>
        <c:dLbls>
          <c:showLegendKey val="0"/>
          <c:showVal val="1"/>
          <c:showCatName val="0"/>
          <c:showSerName val="0"/>
          <c:showPercent val="0"/>
          <c:showBubbleSize val="0"/>
        </c:dLbls>
        <c:gapWidth val="50"/>
        <c:axId val="193993136"/>
        <c:axId val="193993696"/>
      </c:barChart>
      <c:catAx>
        <c:axId val="193993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93993696"/>
        <c:crosses val="autoZero"/>
        <c:auto val="1"/>
        <c:lblAlgn val="ctr"/>
        <c:lblOffset val="100"/>
        <c:noMultiLvlLbl val="0"/>
      </c:catAx>
      <c:valAx>
        <c:axId val="19399369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100" b="0" i="0" baseline="0">
                    <a:effectLst/>
                  </a:rPr>
                  <a:t>R$Mil</a:t>
                </a:r>
                <a:endParaRPr lang="pt-BR" sz="6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399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sz="1400" b="1" i="0" baseline="0">
                <a:effectLst/>
              </a:rPr>
              <a:t>Distribuição 2018-2022</a:t>
            </a:r>
            <a:endParaRPr lang="pt-BR" sz="14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1"/>
          <c:tx>
            <c:strRef>
              <c:f>'Gráfico - Curva de Desembolsos'!$B$8</c:f>
              <c:strCache>
                <c:ptCount val="1"/>
                <c:pt idx="0">
                  <c:v>Programa de investimento 2018-2022 (anual)</c:v>
                </c:pt>
              </c:strCache>
            </c:strRef>
          </c:tx>
          <c:spPr>
            <a:solidFill>
              <a:schemeClr val="bg1">
                <a:lumMod val="65000"/>
              </a:schemeClr>
            </a:solidFill>
            <a:ln>
              <a:noFill/>
            </a:ln>
            <a:effectLst/>
          </c:spPr>
          <c:invertIfNegative val="0"/>
          <c:dLbls>
            <c:dLbl>
              <c:idx val="0"/>
              <c:layout>
                <c:manualLayout>
                  <c:x val="5.602241720114650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1"/>
              <c:layout>
                <c:manualLayout>
                  <c:x val="9.3370695335244173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7.4696556268196027E-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3"/>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'Gráfico - Curva de Desembolsos'!$C$5:$G$5</c:f>
              <c:numCache>
                <c:formatCode>General</c:formatCode>
                <c:ptCount val="5"/>
                <c:pt idx="0">
                  <c:v>2018</c:v>
                </c:pt>
                <c:pt idx="1">
                  <c:v>2019</c:v>
                </c:pt>
                <c:pt idx="2">
                  <c:v>2020</c:v>
                </c:pt>
                <c:pt idx="3">
                  <c:v>2021</c:v>
                </c:pt>
                <c:pt idx="4">
                  <c:v>2022</c:v>
                </c:pt>
              </c:numCache>
            </c:numRef>
          </c:cat>
          <c:val>
            <c:numRef>
              <c:f>'Gráfico - Curva de Desembolsos'!$C$8:$G$8</c:f>
              <c:numCache>
                <c:formatCode>_-* #,##0_-;\-* #,##0_-;_-* "-"??_-;_-@_-</c:formatCode>
                <c:ptCount val="5"/>
                <c:pt idx="0">
                  <c:v>0</c:v>
                </c:pt>
                <c:pt idx="1">
                  <c:v>0</c:v>
                </c:pt>
                <c:pt idx="2">
                  <c:v>0</c:v>
                </c:pt>
                <c:pt idx="3">
                  <c:v>0</c:v>
                </c:pt>
                <c:pt idx="4">
                  <c:v>0</c:v>
                </c:pt>
              </c:numCache>
            </c:numRef>
          </c:val>
        </c:ser>
        <c:ser>
          <c:idx val="2"/>
          <c:order val="2"/>
          <c:tx>
            <c:strRef>
              <c:f>'Gráfico - Curva de Desembolsos'!$B$9</c:f>
              <c:strCache>
                <c:ptCount val="1"/>
                <c:pt idx="0">
                  <c:v>Programa de investimento 2018-2022 (acumulado)</c:v>
                </c:pt>
              </c:strCache>
            </c:strRef>
          </c:tx>
          <c:spPr>
            <a:solidFill>
              <a:srgbClr val="00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'Gráfico - Curva de Desembolsos'!$C$5:$G$5</c:f>
              <c:numCache>
                <c:formatCode>General</c:formatCode>
                <c:ptCount val="5"/>
                <c:pt idx="0">
                  <c:v>2018</c:v>
                </c:pt>
                <c:pt idx="1">
                  <c:v>2019</c:v>
                </c:pt>
                <c:pt idx="2">
                  <c:v>2020</c:v>
                </c:pt>
                <c:pt idx="3">
                  <c:v>2021</c:v>
                </c:pt>
                <c:pt idx="4">
                  <c:v>2022</c:v>
                </c:pt>
              </c:numCache>
            </c:numRef>
          </c:cat>
          <c:val>
            <c:numRef>
              <c:f>'Gráfico - Curva de Desembolsos'!$C$9:$G$9</c:f>
              <c:numCache>
                <c:formatCode>_-* #,##0_-;\-* #,##0_-;_-* "-"??_-;_-@_-</c:formatCode>
                <c:ptCount val="5"/>
                <c:pt idx="0">
                  <c:v>0</c:v>
                </c:pt>
                <c:pt idx="1">
                  <c:v>0</c:v>
                </c:pt>
                <c:pt idx="2">
                  <c:v>0</c:v>
                </c:pt>
                <c:pt idx="3">
                  <c:v>0</c:v>
                </c:pt>
                <c:pt idx="4">
                  <c:v>0</c:v>
                </c:pt>
              </c:numCache>
            </c:numRef>
          </c:val>
        </c:ser>
        <c:dLbls>
          <c:showLegendKey val="0"/>
          <c:showVal val="1"/>
          <c:showCatName val="0"/>
          <c:showSerName val="0"/>
          <c:showPercent val="0"/>
          <c:showBubbleSize val="0"/>
        </c:dLbls>
        <c:gapWidth val="52"/>
        <c:axId val="194645056"/>
        <c:axId val="194645616"/>
        <c:extLst>
          <c:ext xmlns:c15="http://schemas.microsoft.com/office/drawing/2012/chart" uri="{02D57815-91ED-43cb-92C2-25804820EDAC}">
            <c15:filteredBarSeries>
              <c15:ser>
                <c:idx val="1"/>
                <c:order val="0"/>
                <c:tx>
                  <c:strRef>
                    <c:extLst>
                      <c:ext uri="{02D57815-91ED-43cb-92C2-25804820EDAC}">
                        <c15:formulaRef>
                          <c15:sqref>'Gráfico - Curva de Desembolsos'!$B$6</c15:sqref>
                        </c15:formulaRef>
                      </c:ext>
                    </c:extLst>
                    <c:strCache>
                      <c:ptCount val="1"/>
                      <c:pt idx="0">
                        <c:v>Limite indicativo para investimento (anual)</c:v>
                      </c:pt>
                    </c:strCache>
                  </c:strRef>
                </c:tx>
                <c:spPr>
                  <a:solidFill>
                    <a:srgbClr val="008000"/>
                  </a:solidFill>
                  <a:ln>
                    <a:solidFill>
                      <a:schemeClr val="accent4">
                        <a:lumMod val="50000"/>
                      </a:schemeClr>
                    </a:solidFill>
                  </a:ln>
                  <a:effectLst/>
                </c:spPr>
                <c:invertIfNegative val="0"/>
                <c:dLbls>
                  <c:dLbl>
                    <c:idx val="0"/>
                    <c:layout>
                      <c:manualLayout>
                        <c:x val="0"/>
                        <c:y val="1.3888888888888805E-2"/>
                      </c:manualLayout>
                    </c:layout>
                    <c:showLegendKey val="0"/>
                    <c:showVal val="1"/>
                    <c:showCatName val="0"/>
                    <c:showSerName val="0"/>
                    <c:showPercent val="0"/>
                    <c:showBubbleSize val="0"/>
                    <c:extLst>
                      <c:ext uri="{CE6537A1-D6FC-4f65-9D91-7224C49458BB}"/>
                    </c:extLst>
                  </c:dLbl>
                  <c:dLbl>
                    <c:idx val="1"/>
                    <c:layout>
                      <c:manualLayout>
                        <c:x val="0"/>
                        <c:y val="9.2592592592591737E-3"/>
                      </c:manualLayout>
                    </c:layout>
                    <c:showLegendKey val="0"/>
                    <c:showVal val="1"/>
                    <c:showCatName val="0"/>
                    <c:showSerName val="0"/>
                    <c:showPercent val="0"/>
                    <c:showBubbleSize val="0"/>
                    <c:extLst>
                      <c:ext uri="{CE6537A1-D6FC-4f65-9D91-7224C49458BB}"/>
                    </c:extLst>
                  </c:dLbl>
                  <c:dLbl>
                    <c:idx val="2"/>
                    <c:layout>
                      <c:manualLayout>
                        <c:x val="-6.8471052262407127E-17"/>
                        <c:y val="1.3888888888888805E-2"/>
                      </c:manualLayout>
                    </c:layout>
                    <c:showLegendKey val="0"/>
                    <c:showVal val="1"/>
                    <c:showCatName val="0"/>
                    <c:showSerName val="0"/>
                    <c:showPercent val="0"/>
                    <c:showBubbleSize val="0"/>
                    <c:extLst>
                      <c:ext uri="{CE6537A1-D6FC-4f65-9D91-7224C49458BB}"/>
                    </c:extLst>
                  </c:dLbl>
                  <c:dLbl>
                    <c:idx val="3"/>
                    <c:layout>
                      <c:manualLayout>
                        <c:x val="-1.8674139067049518E-3"/>
                        <c:y val="1.3888888888888805E-2"/>
                      </c:manualLayout>
                    </c:layout>
                    <c:showLegendKey val="0"/>
                    <c:showVal val="1"/>
                    <c:showCatName val="0"/>
                    <c:showSerName val="0"/>
                    <c:showPercent val="0"/>
                    <c:showBubbleSize val="0"/>
                    <c:extLst>
                      <c:ext uri="{CE6537A1-D6FC-4f65-9D91-7224C49458BB}"/>
                    </c:extLst>
                  </c:dLbl>
                  <c:dLbl>
                    <c:idx val="4"/>
                    <c:layout>
                      <c:manualLayout>
                        <c:x val="-3.7348278134097671E-3"/>
                        <c:y val="9.2592592592591737E-3"/>
                      </c:manualLayout>
                    </c:layout>
                    <c:showLegendKey val="0"/>
                    <c:showVal val="1"/>
                    <c:showCatName val="0"/>
                    <c:showSerName val="0"/>
                    <c:showPercent val="0"/>
                    <c:showBubbleSize val="0"/>
                    <c:extLst>
                      <c:ext uri="{CE6537A1-D6FC-4f65-9D91-7224C49458BB}"/>
                    </c:extLst>
                  </c:dLbl>
                  <c:dLbl>
                    <c:idx val="5"/>
                    <c:layout>
                      <c:manualLayout>
                        <c:x val="-4.3557796975054143E-3"/>
                        <c:y val="6.979075532225096E-3"/>
                      </c:manualLayout>
                    </c:layout>
                    <c:showLegendKey val="0"/>
                    <c:showVal val="1"/>
                    <c:showCatName val="0"/>
                    <c:showSerName val="0"/>
                    <c:showPercent val="0"/>
                    <c:showBubbleSize val="0"/>
                    <c:extLst>
                      <c:ex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'Gráfico - Curva de Desembolsos'!$C$5:$G$5</c15:sqref>
                        </c15:formulaRef>
                      </c:ext>
                    </c:extLst>
                    <c:numCache>
                      <c:formatCode>General</c:formatCode>
                      <c:ptCount val="5"/>
                      <c:pt idx="0">
                        <c:v>2018</c:v>
                      </c:pt>
                      <c:pt idx="1">
                        <c:v>2019</c:v>
                      </c:pt>
                      <c:pt idx="2">
                        <c:v>2020</c:v>
                      </c:pt>
                      <c:pt idx="3">
                        <c:v>2021</c:v>
                      </c:pt>
                      <c:pt idx="4">
                        <c:v>2022</c:v>
                      </c:pt>
                    </c:numCache>
                  </c:numRef>
                </c:cat>
                <c:val>
                  <c:numRef>
                    <c:extLst>
                      <c:ext uri="{02D57815-91ED-43cb-92C2-25804820EDAC}">
                        <c15:formulaRef>
                          <c15:sqref>'Gráfico - Curva de Desembolsos'!$C$6:$H$6</c15:sqref>
                        </c15:formulaRef>
                      </c:ext>
                    </c:extLst>
                    <c:numCache>
                      <c:formatCode>_-* #,##0_-;\-* #,##0_-;_-* "-"??_-;_-@_-</c:formatCode>
                      <c:ptCount val="6"/>
                      <c:pt idx="0">
                        <c:v>50054</c:v>
                      </c:pt>
                      <c:pt idx="1">
                        <c:v>50054</c:v>
                      </c:pt>
                      <c:pt idx="2">
                        <c:v>66738</c:v>
                      </c:pt>
                      <c:pt idx="3">
                        <c:v>83423</c:v>
                      </c:pt>
                      <c:pt idx="4">
                        <c:v>83422</c:v>
                      </c:pt>
                      <c:pt idx="5">
                        <c:v>333691</c:v>
                      </c:pt>
                    </c:numCache>
                  </c:numRef>
                </c:val>
              </c15:ser>
            </c15:filteredBarSeries>
          </c:ext>
        </c:extLst>
      </c:barChart>
      <c:catAx>
        <c:axId val="194645056"/>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94645616"/>
        <c:crosses val="autoZero"/>
        <c:auto val="1"/>
        <c:lblAlgn val="ctr"/>
        <c:lblOffset val="100"/>
        <c:noMultiLvlLbl val="0"/>
      </c:catAx>
      <c:valAx>
        <c:axId val="194645616"/>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4645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Distribuição 2018-2022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Desembolsos'!$B$8</c:f>
              <c:strCache>
                <c:ptCount val="1"/>
                <c:pt idx="0">
                  <c:v>Programa de investimento 2018-2022 (anual)</c:v>
                </c:pt>
              </c:strCache>
            </c:strRef>
          </c:tx>
          <c:spPr>
            <a:solidFill>
              <a:schemeClr val="bg1">
                <a:lumMod val="65000"/>
              </a:schemeClr>
            </a:solidFill>
            <a:ln>
              <a:noFill/>
            </a:ln>
            <a:effectLst/>
          </c:spPr>
          <c:invertIfNegative val="0"/>
          <c:dLbls>
            <c:dLbl>
              <c:idx val="0"/>
              <c:layout>
                <c:manualLayout>
                  <c:x val="5.6022417201146502E-3"/>
                  <c:y val="9.2592592592592587E-3"/>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3092768998280809E-5"/>
                  <c:y val="9.2592592592590887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2536020410035588E-3"/>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4.6620046620047756E-3"/>
                  <c:y val="-8.4875562720133283E-17"/>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6.2160062160063296E-3"/>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Desembolsos'!$C$8:$G$8</c:f>
              <c:numCache>
                <c:formatCode>_-* #,##0_-;\-* #,##0_-;_-* "-"??_-;_-@_-</c:formatCode>
                <c:ptCount val="5"/>
                <c:pt idx="0">
                  <c:v>0</c:v>
                </c:pt>
                <c:pt idx="1">
                  <c:v>0</c:v>
                </c:pt>
                <c:pt idx="2">
                  <c:v>0</c:v>
                </c:pt>
                <c:pt idx="3">
                  <c:v>0</c:v>
                </c:pt>
                <c:pt idx="4">
                  <c:v>0</c:v>
                </c:pt>
              </c:numCache>
            </c:numRef>
          </c:val>
        </c:ser>
        <c:ser>
          <c:idx val="2"/>
          <c:order val="1"/>
          <c:tx>
            <c:strRef>
              <c:f>'Gráfico - Curva de Desembolsos'!$B$9</c:f>
              <c:strCache>
                <c:ptCount val="1"/>
                <c:pt idx="0">
                  <c:v>Programa de investimento 2018-2022 (acumulado)</c:v>
                </c:pt>
              </c:strCache>
            </c:strRef>
          </c:tx>
          <c:spPr>
            <a:solidFill>
              <a:srgbClr val="006600"/>
            </a:solidFill>
            <a:ln>
              <a:noFill/>
            </a:ln>
            <a:effectLst/>
          </c:spPr>
          <c:invertIfNegative val="0"/>
          <c:dLbls>
            <c:dLbl>
              <c:idx val="0"/>
              <c:layout>
                <c:manualLayout>
                  <c:x val="1.3986013986013972E-2"/>
                  <c:y val="0"/>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3.108003108003108E-3"/>
                  <c:y val="4.6296296296297144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5.6979398749180387E-17"/>
                  <c:y val="1.3888888888888888E-2"/>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Desembolsos'!$C$9:$H$9</c:f>
              <c:numCache>
                <c:formatCode>_-* #,##0_-;\-* #,##0_-;_-* "-"??_-;_-@_-</c:formatCode>
                <c:ptCount val="6"/>
                <c:pt idx="0">
                  <c:v>0</c:v>
                </c:pt>
                <c:pt idx="1">
                  <c:v>0</c:v>
                </c:pt>
                <c:pt idx="2">
                  <c:v>0</c:v>
                </c:pt>
                <c:pt idx="3">
                  <c:v>0</c:v>
                </c:pt>
                <c:pt idx="4">
                  <c:v>0</c:v>
                </c:pt>
                <c:pt idx="5">
                  <c:v>0</c:v>
                </c:pt>
              </c:numCache>
            </c:numRef>
          </c:val>
        </c:ser>
        <c:ser>
          <c:idx val="1"/>
          <c:order val="2"/>
          <c:tx>
            <c:strRef>
              <c:f>'Gráfico - Curva de Desembolsos'!$B$7</c:f>
              <c:strCache>
                <c:ptCount val="1"/>
                <c:pt idx="0">
                  <c:v>Limite indicativo para investimento </c:v>
                </c:pt>
              </c:strCache>
            </c:strRef>
          </c:tx>
          <c:spPr>
            <a:solidFill>
              <a:schemeClr val="accent5">
                <a:lumMod val="60000"/>
                <a:lumOff val="40000"/>
              </a:schemeClr>
            </a:solidFill>
            <a:ln>
              <a:noFill/>
            </a:ln>
            <a:effectLst/>
          </c:spPr>
          <c:invertIfNegative val="0"/>
          <c:dLbls>
            <c:dLbl>
              <c:idx val="5"/>
              <c:layout>
                <c:manualLayout>
                  <c:x val="9.3240093240090968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Desembolsos'!$C$7:$H$7</c:f>
              <c:numCache>
                <c:formatCode>_-* #,##0_-;\-* #,##0_-;_-* "-"??_-;_-@_-</c:formatCode>
                <c:ptCount val="6"/>
                <c:pt idx="5">
                  <c:v>333691</c:v>
                </c:pt>
              </c:numCache>
            </c:numRef>
          </c:val>
        </c:ser>
        <c:dLbls>
          <c:showLegendKey val="0"/>
          <c:showVal val="1"/>
          <c:showCatName val="0"/>
          <c:showSerName val="0"/>
          <c:showPercent val="0"/>
          <c:showBubbleSize val="0"/>
        </c:dLbls>
        <c:gapWidth val="0"/>
        <c:axId val="195049232"/>
        <c:axId val="195049792"/>
        <c:extLst/>
      </c:barChart>
      <c:catAx>
        <c:axId val="195049232"/>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95049792"/>
        <c:crosses val="autoZero"/>
        <c:auto val="1"/>
        <c:lblAlgn val="ctr"/>
        <c:lblOffset val="100"/>
        <c:noMultiLvlLbl val="0"/>
      </c:catAx>
      <c:valAx>
        <c:axId val="195049792"/>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5049232"/>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Geração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Desembolsos'!$B$66</c:f>
              <c:strCache>
                <c:ptCount val="1"/>
                <c:pt idx="0">
                  <c:v>Programa de investimento 2018-2022 (anual)</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Desembolsos'!$C$66:$G$66</c15:sqref>
                  </c15:fullRef>
                </c:ext>
              </c:extLst>
              <c:f>'Gráfico - Curva de Desembolsos'!$C$66:$G$66</c:f>
              <c:numCache>
                <c:formatCode>_-* #,##0_-;\-* #,##0_-;_-* "-"??_-;_-@_-</c:formatCode>
                <c:ptCount val="5"/>
                <c:pt idx="0">
                  <c:v>0</c:v>
                </c:pt>
                <c:pt idx="1">
                  <c:v>0</c:v>
                </c:pt>
                <c:pt idx="2">
                  <c:v>0</c:v>
                </c:pt>
                <c:pt idx="3">
                  <c:v>0</c:v>
                </c:pt>
                <c:pt idx="4">
                  <c:v>0</c:v>
                </c:pt>
              </c:numCache>
            </c:numRef>
          </c:val>
        </c:ser>
        <c:ser>
          <c:idx val="2"/>
          <c:order val="1"/>
          <c:tx>
            <c:strRef>
              <c:f>'Gráfico - Curva de Desembolsos'!$B$67</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Desembolsos'!$C$67:$H$67</c15:sqref>
                  </c15:fullRef>
                </c:ext>
              </c:extLst>
              <c:f>'Gráfico - Curva de Desembolsos'!$C$67:$G$67</c:f>
              <c:numCache>
                <c:formatCode>_-* #,##0_-;\-* #,##0_-;_-* "-"??_-;_-@_-</c:formatCode>
                <c:ptCount val="5"/>
                <c:pt idx="0">
                  <c:v>0</c:v>
                </c:pt>
                <c:pt idx="1">
                  <c:v>0</c:v>
                </c:pt>
                <c:pt idx="2">
                  <c:v>0</c:v>
                </c:pt>
                <c:pt idx="3">
                  <c:v>0</c:v>
                </c:pt>
                <c:pt idx="4">
                  <c:v>0</c:v>
                </c:pt>
              </c:numCache>
            </c:numRef>
          </c:val>
        </c:ser>
        <c:dLbls>
          <c:showLegendKey val="0"/>
          <c:showVal val="1"/>
          <c:showCatName val="0"/>
          <c:showSerName val="0"/>
          <c:showPercent val="0"/>
          <c:showBubbleSize val="0"/>
        </c:dLbls>
        <c:gapWidth val="112"/>
        <c:axId val="195053712"/>
        <c:axId val="195054272"/>
        <c:extLst>
          <c:ext xmlns:c15="http://schemas.microsoft.com/office/drawing/2012/chart" uri="{02D57815-91ED-43cb-92C2-25804820EDAC}">
            <c15:filteredBarSeries>
              <c15:ser>
                <c:idx val="1"/>
                <c:order val="2"/>
                <c:tx>
                  <c:strRef>
                    <c:extLst>
                      <c:ext uri="{02D57815-91ED-43cb-92C2-25804820EDAC}">
                        <c15:formulaRef>
                          <c15:sqref>'Gráfico - Curva de Desembolsos'!$B$65</c15:sqref>
                        </c15:formulaRef>
                      </c:ext>
                    </c:extLst>
                    <c:strCache>
                      <c:ptCount val="1"/>
                      <c:pt idx="0">
                        <c:v>Limite indicativo para investimento </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Desembolsos'!$C$65:$H$65</c15:sqref>
                        </c15:fullRef>
                        <c15:formulaRef>
                          <c15:sqref>'Gráfico - Curva de Desembolsos'!$C$65:$G$65</c15:sqref>
                        </c15:formulaRef>
                      </c:ext>
                    </c:extLst>
                    <c:numCache>
                      <c:formatCode>_-* #,##0_-;\-* #,##0_-;_-* "-"??_-;_-@_-</c:formatCode>
                      <c:ptCount val="5"/>
                    </c:numCache>
                  </c:numRef>
                </c:val>
              </c15:ser>
            </c15:filteredBarSeries>
          </c:ext>
        </c:extLst>
      </c:barChart>
      <c:catAx>
        <c:axId val="195053712"/>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95054272"/>
        <c:crosses val="autoZero"/>
        <c:auto val="1"/>
        <c:lblAlgn val="ctr"/>
        <c:lblOffset val="100"/>
        <c:noMultiLvlLbl val="0"/>
      </c:catAx>
      <c:valAx>
        <c:axId val="195054272"/>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5053712"/>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Transmissão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Desembolsos'!$B$105</c:f>
              <c:strCache>
                <c:ptCount val="1"/>
                <c:pt idx="0">
                  <c:v>Programa de investimento 2018-2022 (anual)</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Desembolsos'!$C$105:$G$105</c15:sqref>
                  </c15:fullRef>
                </c:ext>
              </c:extLst>
              <c:f>'Gráfico - Curva de Desembolsos'!$C$105:$G$105</c:f>
              <c:numCache>
                <c:formatCode>_-* #,##0_-;\-* #,##0_-;_-* "-"??_-;_-@_-</c:formatCode>
                <c:ptCount val="5"/>
                <c:pt idx="0">
                  <c:v>0</c:v>
                </c:pt>
                <c:pt idx="1">
                  <c:v>0</c:v>
                </c:pt>
                <c:pt idx="2">
                  <c:v>0</c:v>
                </c:pt>
                <c:pt idx="3">
                  <c:v>0</c:v>
                </c:pt>
                <c:pt idx="4">
                  <c:v>0</c:v>
                </c:pt>
              </c:numCache>
            </c:numRef>
          </c:val>
        </c:ser>
        <c:ser>
          <c:idx val="2"/>
          <c:order val="1"/>
          <c:tx>
            <c:strRef>
              <c:f>'Gráfico - Curva de Desembolsos'!$B$106</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Desembolsos'!$C$106:$H$106</c15:sqref>
                  </c15:fullRef>
                </c:ext>
              </c:extLst>
              <c:f>'Gráfico - Curva de Desembolsos'!$C$106:$G$106</c:f>
              <c:numCache>
                <c:formatCode>_-* #,##0_-;\-* #,##0_-;_-* "-"??_-;_-@_-</c:formatCode>
                <c:ptCount val="5"/>
                <c:pt idx="0">
                  <c:v>0</c:v>
                </c:pt>
                <c:pt idx="1">
                  <c:v>0</c:v>
                </c:pt>
                <c:pt idx="2">
                  <c:v>0</c:v>
                </c:pt>
                <c:pt idx="3">
                  <c:v>0</c:v>
                </c:pt>
                <c:pt idx="4">
                  <c:v>0</c:v>
                </c:pt>
              </c:numCache>
            </c:numRef>
          </c:val>
        </c:ser>
        <c:dLbls>
          <c:showLegendKey val="0"/>
          <c:showVal val="1"/>
          <c:showCatName val="0"/>
          <c:showSerName val="0"/>
          <c:showPercent val="0"/>
          <c:showBubbleSize val="0"/>
        </c:dLbls>
        <c:gapWidth val="112"/>
        <c:axId val="195379440"/>
        <c:axId val="195380000"/>
        <c:extLst>
          <c:ext xmlns:c15="http://schemas.microsoft.com/office/drawing/2012/chart" uri="{02D57815-91ED-43cb-92C2-25804820EDAC}">
            <c15:filteredBarSeries>
              <c15:ser>
                <c:idx val="1"/>
                <c:order val="2"/>
                <c:tx>
                  <c:strRef>
                    <c:extLst>
                      <c:ext uri="{02D57815-91ED-43cb-92C2-25804820EDAC}">
                        <c15:formulaRef>
                          <c15:sqref>'Gráfico - Curva de Desembolsos'!$B$104</c15:sqref>
                        </c15:formulaRef>
                      </c:ext>
                    </c:extLst>
                    <c:strCache>
                      <c:ptCount val="1"/>
                      <c:pt idx="0">
                        <c:v>Limite indicativo para investimento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Desembolsos'!$C$104:$H$104</c15:sqref>
                        </c15:fullRef>
                        <c15:formulaRef>
                          <c15:sqref>'Gráfico - Curva de Desembolsos'!$C$104:$G$104</c15:sqref>
                        </c15:formulaRef>
                      </c:ext>
                    </c:extLst>
                    <c:numCache>
                      <c:formatCode>_-* #,##0_-;\-* #,##0_-;_-* "-"??_-;_-@_-</c:formatCode>
                      <c:ptCount val="5"/>
                    </c:numCache>
                  </c:numRef>
                </c:val>
              </c15:ser>
            </c15:filteredBarSeries>
          </c:ext>
        </c:extLst>
      </c:barChart>
      <c:catAx>
        <c:axId val="195379440"/>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95380000"/>
        <c:crosses val="autoZero"/>
        <c:auto val="1"/>
        <c:lblAlgn val="ctr"/>
        <c:lblOffset val="100"/>
        <c:noMultiLvlLbl val="0"/>
      </c:catAx>
      <c:valAx>
        <c:axId val="195380000"/>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5379440"/>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Holding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Desembolsos'!$B$147</c:f>
              <c:strCache>
                <c:ptCount val="1"/>
                <c:pt idx="0">
                  <c:v>Programa de investimento 2018-2022</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Desembolsos'!$C$147:$G$147</c15:sqref>
                  </c15:fullRef>
                </c:ext>
              </c:extLst>
              <c:f>'Gráfico - Curva de Desembolsos'!$C$147:$G$147</c:f>
              <c:numCache>
                <c:formatCode>_-* #,##0_-;\-* #,##0_-;_-* "-"??_-;_-@_-</c:formatCode>
                <c:ptCount val="5"/>
                <c:pt idx="0">
                  <c:v>0</c:v>
                </c:pt>
                <c:pt idx="1">
                  <c:v>0</c:v>
                </c:pt>
                <c:pt idx="2">
                  <c:v>0</c:v>
                </c:pt>
                <c:pt idx="3">
                  <c:v>0</c:v>
                </c:pt>
                <c:pt idx="4">
                  <c:v>0</c:v>
                </c:pt>
              </c:numCache>
            </c:numRef>
          </c:val>
        </c:ser>
        <c:ser>
          <c:idx val="2"/>
          <c:order val="1"/>
          <c:tx>
            <c:strRef>
              <c:f>'Gráfico - Curva de Desembolsos'!$B$148</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Desembolsos'!$C$148:$H$148</c15:sqref>
                  </c15:fullRef>
                </c:ext>
              </c:extLst>
              <c:f>'Gráfico - Curva de Desembolsos'!$C$148:$G$148</c:f>
              <c:numCache>
                <c:formatCode>_-* #,##0_-;\-* #,##0_-;_-* "-"??_-;_-@_-</c:formatCode>
                <c:ptCount val="5"/>
                <c:pt idx="0">
                  <c:v>0</c:v>
                </c:pt>
                <c:pt idx="1">
                  <c:v>0</c:v>
                </c:pt>
                <c:pt idx="2">
                  <c:v>0</c:v>
                </c:pt>
                <c:pt idx="3">
                  <c:v>0</c:v>
                </c:pt>
                <c:pt idx="4">
                  <c:v>0</c:v>
                </c:pt>
              </c:numCache>
            </c:numRef>
          </c:val>
        </c:ser>
        <c:dLbls>
          <c:showLegendKey val="0"/>
          <c:showVal val="1"/>
          <c:showCatName val="0"/>
          <c:showSerName val="0"/>
          <c:showPercent val="0"/>
          <c:showBubbleSize val="0"/>
        </c:dLbls>
        <c:gapWidth val="112"/>
        <c:axId val="195383920"/>
        <c:axId val="195384480"/>
        <c:extLst>
          <c:ext xmlns:c15="http://schemas.microsoft.com/office/drawing/2012/chart" uri="{02D57815-91ED-43cb-92C2-25804820EDAC}">
            <c15:filteredBarSeries>
              <c15:ser>
                <c:idx val="1"/>
                <c:order val="2"/>
                <c:tx>
                  <c:strRef>
                    <c:extLst>
                      <c:ext uri="{02D57815-91ED-43cb-92C2-25804820EDAC}">
                        <c15:formulaRef>
                          <c15:sqref>'Gráfico - Curva de Desembolsos'!$B$146</c15:sqref>
                        </c15:formulaRef>
                      </c:ext>
                    </c:extLst>
                    <c:strCache>
                      <c:ptCount val="1"/>
                      <c:pt idx="0">
                        <c:v>Limite indicativo para investimento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Desembolsos'!$C$146:$H$146</c15:sqref>
                        </c15:fullRef>
                        <c15:formulaRef>
                          <c15:sqref>'Gráfico - Curva de Desembolsos'!$C$146:$G$146</c15:sqref>
                        </c15:formulaRef>
                      </c:ext>
                    </c:extLst>
                    <c:numCache>
                      <c:formatCode>_-* #,##0_-;\-* #,##0_-;_-* "-"??_-;_-@_-</c:formatCode>
                      <c:ptCount val="5"/>
                    </c:numCache>
                  </c:numRef>
                </c:val>
              </c15:ser>
            </c15:filteredBarSeries>
          </c:ext>
        </c:extLst>
      </c:barChart>
      <c:catAx>
        <c:axId val="195383920"/>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95384480"/>
        <c:crosses val="autoZero"/>
        <c:auto val="1"/>
        <c:lblAlgn val="ctr"/>
        <c:lblOffset val="100"/>
        <c:noMultiLvlLbl val="0"/>
      </c:catAx>
      <c:valAx>
        <c:axId val="195384480"/>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5383920"/>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Holding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view3D>
      <c:rotX val="5"/>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'Gráfico - Curva de Desembolsos'!$B$145</c:f>
              <c:strCache>
                <c:ptCount val="1"/>
                <c:pt idx="0">
                  <c:v>Limite indicativo para investimento (anual)</c:v>
                </c:pt>
              </c:strCache>
            </c:strRef>
          </c:tx>
          <c:spPr>
            <a:solidFill>
              <a:schemeClr val="accent6">
                <a:shade val="76000"/>
              </a:schemeClr>
            </a:solidFill>
            <a:ln>
              <a:noFill/>
            </a:ln>
            <a:effectLst/>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Desembolsos'!$C$145:$H$145</c:f>
              <c:numCache>
                <c:formatCode>_-* #,##0_-;\-* #,##0_-;_-* "-"??_-;_-@_-</c:formatCode>
                <c:ptCount val="6"/>
                <c:pt idx="0">
                  <c:v>0</c:v>
                </c:pt>
                <c:pt idx="1">
                  <c:v>0</c:v>
                </c:pt>
                <c:pt idx="2">
                  <c:v>0</c:v>
                </c:pt>
                <c:pt idx="3">
                  <c:v>0</c:v>
                </c:pt>
                <c:pt idx="4">
                  <c:v>0</c:v>
                </c:pt>
                <c:pt idx="5">
                  <c:v>0</c:v>
                </c:pt>
              </c:numCache>
            </c:numRef>
          </c:val>
        </c:ser>
        <c:ser>
          <c:idx val="1"/>
          <c:order val="1"/>
          <c:tx>
            <c:strRef>
              <c:f>'Gráfico - Curva de Desembolsos'!$B$147</c:f>
              <c:strCache>
                <c:ptCount val="1"/>
                <c:pt idx="0">
                  <c:v>Programa de investimento 2018-2022</c:v>
                </c:pt>
              </c:strCache>
            </c:strRef>
          </c:tx>
          <c:spPr>
            <a:solidFill>
              <a:schemeClr val="accent5">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Desembolsos'!$C$147:$H$147</c:f>
              <c:numCache>
                <c:formatCode>_-* #,##0_-;\-* #,##0_-;_-* "-"??_-;_-@_-</c:formatCode>
                <c:ptCount val="6"/>
                <c:pt idx="0">
                  <c:v>0</c:v>
                </c:pt>
                <c:pt idx="1">
                  <c:v>0</c:v>
                </c:pt>
                <c:pt idx="2">
                  <c:v>0</c:v>
                </c:pt>
                <c:pt idx="3">
                  <c:v>0</c:v>
                </c:pt>
                <c:pt idx="4">
                  <c:v>0</c:v>
                </c:pt>
                <c:pt idx="5">
                  <c:v>0</c:v>
                </c:pt>
              </c:numCache>
            </c:numRef>
          </c:val>
        </c:ser>
        <c:dLbls>
          <c:showLegendKey val="0"/>
          <c:showVal val="1"/>
          <c:showCatName val="0"/>
          <c:showSerName val="0"/>
          <c:showPercent val="0"/>
          <c:showBubbleSize val="0"/>
        </c:dLbls>
        <c:gapWidth val="50"/>
        <c:shape val="box"/>
        <c:axId val="195336032"/>
        <c:axId val="195336592"/>
        <c:axId val="0"/>
      </c:bar3DChart>
      <c:catAx>
        <c:axId val="195336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95336592"/>
        <c:crosses val="autoZero"/>
        <c:auto val="1"/>
        <c:lblAlgn val="ctr"/>
        <c:lblOffset val="100"/>
        <c:noMultiLvlLbl val="0"/>
      </c:catAx>
      <c:valAx>
        <c:axId val="19533659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000" b="0" i="0" baseline="0">
                    <a:effectLst/>
                  </a:rPr>
                  <a:t>R$mil</a:t>
                </a:r>
                <a:endParaRPr lang="pt-BR"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9533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0"/>
    <c:dispBlanksAs val="zero"/>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'Gráfico Tendência 2018-2022'!$A$3</c:f>
              <c:strCache>
                <c:ptCount val="1"/>
                <c:pt idx="0">
                  <c:v>Orçamento Aprovado</c:v>
                </c:pt>
              </c:strCache>
            </c:strRef>
          </c:tx>
          <c:spPr>
            <a:ln w="28575" cap="rnd">
              <a:solidFill>
                <a:schemeClr val="accent1"/>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2018-2022'!$B$3:$M$3</c:f>
              <c:numCache>
                <c:formatCode>_-* #,##0_-;\-* #,##0_-;_-* "-"??_-;_-@_-</c:formatCode>
                <c:ptCount val="12"/>
                <c:pt idx="0">
                  <c:v>71800.275959639883</c:v>
                </c:pt>
                <c:pt idx="1">
                  <c:v>71800.275959639883</c:v>
                </c:pt>
                <c:pt idx="2">
                  <c:v>71800.275959639883</c:v>
                </c:pt>
                <c:pt idx="3">
                  <c:v>71800.275959639883</c:v>
                </c:pt>
                <c:pt idx="4">
                  <c:v>71800.275959639883</c:v>
                </c:pt>
                <c:pt idx="5">
                  <c:v>71800.275959639883</c:v>
                </c:pt>
                <c:pt idx="6">
                  <c:v>71800.275959639883</c:v>
                </c:pt>
                <c:pt idx="7">
                  <c:v>71800.275959639883</c:v>
                </c:pt>
                <c:pt idx="8">
                  <c:v>71800.275959639883</c:v>
                </c:pt>
                <c:pt idx="9">
                  <c:v>71800.275959639883</c:v>
                </c:pt>
                <c:pt idx="10">
                  <c:v>71800.275959639883</c:v>
                </c:pt>
                <c:pt idx="11">
                  <c:v>71800.275959639883</c:v>
                </c:pt>
              </c:numCache>
            </c:numRef>
          </c:val>
          <c:smooth val="0"/>
        </c:ser>
        <c:ser>
          <c:idx val="1"/>
          <c:order val="1"/>
          <c:tx>
            <c:strRef>
              <c:f>'Gráfico Tendência 2018-2022'!$A$4</c:f>
              <c:strCache>
                <c:ptCount val="1"/>
                <c:pt idx="0">
                  <c:v>Realizado Acumulado</c:v>
                </c:pt>
              </c:strCache>
            </c:strRef>
          </c:tx>
          <c:spPr>
            <a:ln w="28575" cap="rnd">
              <a:solidFill>
                <a:schemeClr val="accent2"/>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2018-2022'!$B$4:$M$4</c:f>
              <c:numCache>
                <c:formatCode>_-* #,##0_-;\-* #,##0_-;_-* "-"??_-;_-@_-</c:formatCode>
                <c:ptCount val="12"/>
                <c:pt idx="0">
                  <c:v>418.66537761688232</c:v>
                </c:pt>
                <c:pt idx="1">
                  <c:v>2075.0562953948975</c:v>
                </c:pt>
                <c:pt idx="2">
                  <c:v>6386.83780169487</c:v>
                </c:pt>
                <c:pt idx="3">
                  <c:v>13274.267174243927</c:v>
                </c:pt>
                <c:pt idx="4">
                  <c:v>22196.252348184586</c:v>
                </c:pt>
                <c:pt idx="5">
                  <c:v>32545.133777141571</c:v>
                </c:pt>
              </c:numCache>
            </c:numRef>
          </c:val>
          <c:smooth val="0"/>
        </c:ser>
        <c:ser>
          <c:idx val="2"/>
          <c:order val="2"/>
          <c:tx>
            <c:strRef>
              <c:f>'Gráfico Tendência 2018-2022'!$A$5</c:f>
              <c:strCache>
                <c:ptCount val="1"/>
                <c:pt idx="0">
                  <c:v>Planejado Acumulado</c:v>
                </c:pt>
              </c:strCache>
            </c:strRef>
          </c:tx>
          <c:spPr>
            <a:ln w="28575" cap="rnd">
              <a:solidFill>
                <a:schemeClr val="accent3"/>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2018-2022'!$B$5:$M$5</c:f>
              <c:numCache>
                <c:formatCode>_-* #,##0_-;\-* #,##0_-;_-* "-"??_-;_-@_-</c:formatCode>
                <c:ptCount val="12"/>
                <c:pt idx="0">
                  <c:v>418.66537761688232</c:v>
                </c:pt>
                <c:pt idx="1">
                  <c:v>2075.0562953948975</c:v>
                </c:pt>
                <c:pt idx="2">
                  <c:v>6386.83780169487</c:v>
                </c:pt>
                <c:pt idx="3">
                  <c:v>13274.267174243927</c:v>
                </c:pt>
                <c:pt idx="4">
                  <c:v>22196.252348184586</c:v>
                </c:pt>
                <c:pt idx="5">
                  <c:v>32545.133777141571</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smooth val="0"/>
        <c:axId val="195341072"/>
        <c:axId val="195341632"/>
      </c:lineChart>
      <c:dateAx>
        <c:axId val="19534107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95341632"/>
        <c:crosses val="autoZero"/>
        <c:auto val="1"/>
        <c:lblOffset val="100"/>
        <c:baseTimeUnit val="months"/>
      </c:dateAx>
      <c:valAx>
        <c:axId val="19534163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9534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'Gráfico Tendência 2018-2022'!$A$6</c:f>
              <c:strCache>
                <c:ptCount val="1"/>
                <c:pt idx="0">
                  <c:v>Realizado/Planejado mensal</c:v>
                </c:pt>
              </c:strCache>
            </c:strRef>
          </c:tx>
          <c:spPr>
            <a:ln w="28575" cap="rnd">
              <a:solidFill>
                <a:schemeClr val="accent1"/>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2018-2022'!$B$6:$M$6</c:f>
              <c:numCache>
                <c:formatCode>_-* #,##0_-;\-* #,##0_-;_-* "-"??_-;_-@_-</c:formatCode>
                <c:ptCount val="12"/>
                <c:pt idx="0">
                  <c:v>418.66537761688232</c:v>
                </c:pt>
                <c:pt idx="1">
                  <c:v>1656.3909177780151</c:v>
                </c:pt>
                <c:pt idx="2">
                  <c:v>4311.7815062999725</c:v>
                </c:pt>
                <c:pt idx="3">
                  <c:v>6887.429372549057</c:v>
                </c:pt>
                <c:pt idx="4">
                  <c:v>8921.9851739406586</c:v>
                </c:pt>
                <c:pt idx="5">
                  <c:v>10348.881428956985</c:v>
                </c:pt>
                <c:pt idx="6">
                  <c:v>0</c:v>
                </c:pt>
                <c:pt idx="7">
                  <c:v>1490.1767260283232</c:v>
                </c:pt>
                <c:pt idx="8">
                  <c:v>2641.2976700000004</c:v>
                </c:pt>
                <c:pt idx="9">
                  <c:v>3576.3543100000002</c:v>
                </c:pt>
                <c:pt idx="10">
                  <c:v>10993.088571239776</c:v>
                </c:pt>
                <c:pt idx="11">
                  <c:v>40217.803451039006</c:v>
                </c:pt>
              </c:numCache>
            </c:numRef>
          </c:val>
          <c:smooth val="0"/>
        </c:ser>
        <c:ser>
          <c:idx val="1"/>
          <c:order val="1"/>
          <c:tx>
            <c:strRef>
              <c:f>'Gráfico Tendência 2018-2022'!$A$7</c:f>
              <c:strCache>
                <c:ptCount val="1"/>
                <c:pt idx="0">
                  <c:v>Planejado mensal</c:v>
                </c:pt>
              </c:strCache>
            </c:strRef>
          </c:tx>
          <c:spPr>
            <a:ln w="28575" cap="rnd">
              <a:solidFill>
                <a:schemeClr val="accent2"/>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2018-2022'!$B$7:$M$7</c:f>
              <c:numCache>
                <c:formatCode>_-* #,##0_-;\-* #,##0_-;_-* "-"??_-;_-@_-</c:formatCode>
                <c:ptCount val="12"/>
                <c:pt idx="0">
                  <c:v>418.66537761688232</c:v>
                </c:pt>
                <c:pt idx="1">
                  <c:v>1656.3909177780151</c:v>
                </c:pt>
                <c:pt idx="2">
                  <c:v>4311.7815062999725</c:v>
                </c:pt>
                <c:pt idx="3">
                  <c:v>6887.429372549057</c:v>
                </c:pt>
                <c:pt idx="4">
                  <c:v>8921.9851739406586</c:v>
                </c:pt>
                <c:pt idx="5">
                  <c:v>10348.881428956985</c:v>
                </c:pt>
                <c:pt idx="6">
                  <c:v>0</c:v>
                </c:pt>
                <c:pt idx="7">
                  <c:v>1490.1767260283232</c:v>
                </c:pt>
                <c:pt idx="8">
                  <c:v>2641.2976700000004</c:v>
                </c:pt>
                <c:pt idx="9">
                  <c:v>3576.3543100000002</c:v>
                </c:pt>
                <c:pt idx="10">
                  <c:v>10993.088571239776</c:v>
                </c:pt>
                <c:pt idx="11">
                  <c:v>40217.803451039006</c:v>
                </c:pt>
              </c:numCache>
            </c:numRef>
          </c:val>
          <c:smooth val="0"/>
        </c:ser>
        <c:dLbls>
          <c:showLegendKey val="0"/>
          <c:showVal val="0"/>
          <c:showCatName val="0"/>
          <c:showSerName val="0"/>
          <c:showPercent val="0"/>
          <c:showBubbleSize val="0"/>
        </c:dLbls>
        <c:smooth val="0"/>
        <c:axId val="189256848"/>
        <c:axId val="189257408"/>
      </c:lineChart>
      <c:dateAx>
        <c:axId val="18925684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9257408"/>
        <c:crosses val="autoZero"/>
        <c:auto val="1"/>
        <c:lblOffset val="100"/>
        <c:baseTimeUnit val="months"/>
      </c:dateAx>
      <c:valAx>
        <c:axId val="189257408"/>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925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7</xdr:col>
      <xdr:colOff>857249</xdr:colOff>
      <xdr:row>24</xdr:row>
      <xdr:rowOff>76200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68</xdr:row>
      <xdr:rowOff>0</xdr:rowOff>
    </xdr:from>
    <xdr:to>
      <xdr:col>7</xdr:col>
      <xdr:colOff>857249</xdr:colOff>
      <xdr:row>82</xdr:row>
      <xdr:rowOff>76200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107</xdr:row>
      <xdr:rowOff>0</xdr:rowOff>
    </xdr:from>
    <xdr:to>
      <xdr:col>7</xdr:col>
      <xdr:colOff>857249</xdr:colOff>
      <xdr:row>121</xdr:row>
      <xdr:rowOff>76200</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26</xdr:row>
      <xdr:rowOff>0</xdr:rowOff>
    </xdr:from>
    <xdr:to>
      <xdr:col>7</xdr:col>
      <xdr:colOff>857249</xdr:colOff>
      <xdr:row>40</xdr:row>
      <xdr:rowOff>76200</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42</xdr:row>
      <xdr:rowOff>0</xdr:rowOff>
    </xdr:from>
    <xdr:to>
      <xdr:col>10</xdr:col>
      <xdr:colOff>47625</xdr:colOff>
      <xdr:row>56</xdr:row>
      <xdr:rowOff>76200</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83</xdr:row>
      <xdr:rowOff>0</xdr:rowOff>
    </xdr:from>
    <xdr:to>
      <xdr:col>10</xdr:col>
      <xdr:colOff>47625</xdr:colOff>
      <xdr:row>97</xdr:row>
      <xdr:rowOff>76200</xdr:rowOff>
    </xdr:to>
    <xdr:graphicFrame macro="">
      <xdr:nvGraphicFramePr>
        <xdr:cNvPr id="9" name="Grá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123</xdr:row>
      <xdr:rowOff>0</xdr:rowOff>
    </xdr:from>
    <xdr:to>
      <xdr:col>10</xdr:col>
      <xdr:colOff>47625</xdr:colOff>
      <xdr:row>137</xdr:row>
      <xdr:rowOff>76200</xdr:rowOff>
    </xdr:to>
    <xdr:graphicFrame macro="">
      <xdr:nvGraphicFramePr>
        <xdr:cNvPr id="14" name="Gráfico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323850</xdr:colOff>
      <xdr:row>165</xdr:row>
      <xdr:rowOff>114300</xdr:rowOff>
    </xdr:from>
    <xdr:to>
      <xdr:col>9</xdr:col>
      <xdr:colOff>371475</xdr:colOff>
      <xdr:row>180</xdr:row>
      <xdr:rowOff>0</xdr:rowOff>
    </xdr:to>
    <xdr:graphicFrame macro="">
      <xdr:nvGraphicFramePr>
        <xdr:cNvPr id="15" name="Gráfico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150</xdr:row>
      <xdr:rowOff>0</xdr:rowOff>
    </xdr:from>
    <xdr:to>
      <xdr:col>7</xdr:col>
      <xdr:colOff>857249</xdr:colOff>
      <xdr:row>163</xdr:row>
      <xdr:rowOff>57150</xdr:rowOff>
    </xdr:to>
    <xdr:graphicFrame macro="">
      <xdr:nvGraphicFramePr>
        <xdr:cNvPr id="16" name="Gráfico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1</xdr:col>
      <xdr:colOff>552450</xdr:colOff>
      <xdr:row>4</xdr:row>
      <xdr:rowOff>57150</xdr:rowOff>
    </xdr:to>
    <mc:AlternateContent xmlns:mc="http://schemas.openxmlformats.org/markup-compatibility/2006" xmlns:a14="http://schemas.microsoft.com/office/drawing/2010/main">
      <mc:Choice Requires="a14">
        <xdr:graphicFrame macro="">
          <xdr:nvGraphicFramePr>
            <xdr:cNvPr id="2" name="Empresa"/>
            <xdr:cNvGraphicFramePr/>
          </xdr:nvGraphicFramePr>
          <xdr:xfrm>
            <a:off x="0" y="0"/>
            <a:ext cx="0" cy="0"/>
          </xdr:xfrm>
          <a:graphic>
            <a:graphicData uri="http://schemas.microsoft.com/office/drawing/2010/slicer">
              <sle:slicer xmlns:sle="http://schemas.microsoft.com/office/drawing/2010/slicer" name="Empresa"/>
            </a:graphicData>
          </a:graphic>
        </xdr:graphicFrame>
      </mc:Choice>
      <mc:Fallback xmlns="">
        <xdr:sp macro="" textlink="">
          <xdr:nvSpPr>
            <xdr:cNvPr id="0" name=""/>
            <xdr:cNvSpPr>
              <a:spLocks noTextEdit="1"/>
            </xdr:cNvSpPr>
          </xdr:nvSpPr>
          <xdr:spPr>
            <a:xfrm>
              <a:off x="114300" y="123825"/>
              <a:ext cx="3981450" cy="695325"/>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twoCellAnchor editAs="oneCell">
    <xdr:from>
      <xdr:col>0</xdr:col>
      <xdr:colOff>152400</xdr:colOff>
      <xdr:row>39</xdr:row>
      <xdr:rowOff>0</xdr:rowOff>
    </xdr:from>
    <xdr:to>
      <xdr:col>5</xdr:col>
      <xdr:colOff>1085850</xdr:colOff>
      <xdr:row>52</xdr:row>
      <xdr:rowOff>95250</xdr:rowOff>
    </xdr:to>
    <mc:AlternateContent xmlns:mc="http://schemas.openxmlformats.org/markup-compatibility/2006" xmlns:a14="http://schemas.microsoft.com/office/drawing/2010/main">
      <mc:Choice Requires="a14">
        <xdr:graphicFrame macro="">
          <xdr:nvGraphicFramePr>
            <xdr:cNvPr id="3" name="Macroprojeto"/>
            <xdr:cNvGraphicFramePr/>
          </xdr:nvGraphicFramePr>
          <xdr:xfrm>
            <a:off x="0" y="0"/>
            <a:ext cx="0" cy="0"/>
          </xdr:xfrm>
          <a:graphic>
            <a:graphicData uri="http://schemas.microsoft.com/office/drawing/2010/slicer">
              <sle:slicer xmlns:sle="http://schemas.microsoft.com/office/drawing/2010/slicer" name="Macroprojeto"/>
            </a:graphicData>
          </a:graphic>
        </xdr:graphicFrame>
      </mc:Choice>
      <mc:Fallback xmlns="">
        <xdr:sp macro="" textlink="">
          <xdr:nvSpPr>
            <xdr:cNvPr id="0" name=""/>
            <xdr:cNvSpPr>
              <a:spLocks noTextEdit="1"/>
            </xdr:cNvSpPr>
          </xdr:nvSpPr>
          <xdr:spPr>
            <a:xfrm>
              <a:off x="152400" y="7429500"/>
              <a:ext cx="9315450" cy="2571750"/>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23811</xdr:rowOff>
    </xdr:from>
    <xdr:to>
      <xdr:col>5</xdr:col>
      <xdr:colOff>250031</xdr:colOff>
      <xdr:row>24</xdr:row>
      <xdr:rowOff>67864</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309562</xdr:colOff>
      <xdr:row>10</xdr:row>
      <xdr:rowOff>23813</xdr:rowOff>
    </xdr:from>
    <xdr:to>
      <xdr:col>12</xdr:col>
      <xdr:colOff>523874</xdr:colOff>
      <xdr:row>24</xdr:row>
      <xdr:rowOff>55959</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18/FAP%20Formulario%20Acompanhamento%20Projeto/09_Setembro_Referente_Agosto_2018/FAPs_DGE_20180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A/PPAP/INVESTIMENTOS%20CLIENTES%20DIVERSOS/2018%20Controle%20Exec%20Investim/5%20CEI_2018_Mai_Parcial_at&#233;_14-05.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18/Programa%20Or&#231;amentario_4o_Ciclo_2018_2022/Historico/Programa%20Infraestrutura_Ciclo%202018_2022_ANTES%20UNIR%20PROJETOS_030520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17/Proposta%20Or&#231;ament&#225;ria_4&#176;_Ciclo_2018_2022/ARQUIVOS_CAPTACAO_AREAS/CD_AM_Captacao_Infraestrutura_Ciclo_2018_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E_FAPs"/>
      <sheetName val="Edificacoes Complem (G)"/>
      <sheetName val="Ferramentas Equipam (G)"/>
      <sheetName val="TI Telecom (G)"/>
      <sheetName val="Microinformatica (G)"/>
      <sheetName val="Sistem Inform (G)"/>
      <sheetName val="Veiculos (G)"/>
      <sheetName val="Ferramentas Equipam (T)"/>
      <sheetName val="TI Telecom (T)"/>
      <sheetName val="Microinformatica (T)"/>
      <sheetName val="Sistem Inform (T)"/>
      <sheetName val="Veiculos (T)"/>
      <sheetName val="Ferramentas (D)"/>
      <sheetName val="Edificacoes Complem (D)"/>
      <sheetName val="TI Telecon Ativos Nao-Eletr (D)"/>
      <sheetName val="TI Microinformatica (D)"/>
      <sheetName val="Sistem Inform (D)"/>
      <sheetName val="Veiculos (D)"/>
      <sheetName val="Microinformatica (H)"/>
      <sheetName val="Sistem Inform Sis Jurid (H)"/>
      <sheetName val="DGE_Planejamento_2018"/>
      <sheetName val="DGE_Execucao_2018"/>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2">
          <cell r="E22">
            <v>1815.217365</v>
          </cell>
          <cell r="G22">
            <v>168.60572934150696</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 val="Entrada_Dados"/>
      <sheetName val="Base_Dados"/>
      <sheetName val="Banco_SAP"/>
      <sheetName val="Confere_Total"/>
      <sheetName val="Reserva_Proposta"/>
      <sheetName val="Alter_Proposta"/>
      <sheetName val="Balizamento"/>
      <sheetName val="BlocosP1_ValorAnual"/>
      <sheetName val="Confere_SAP"/>
      <sheetName val="Saldo_NA_SR"/>
      <sheetName val="Orçamento_Atual"/>
      <sheetName val="SaldoJOA"/>
      <sheetName val="Confere_acima"/>
      <sheetName val="Complementar"/>
      <sheetName val="Valor_Real_Plan_P1"/>
      <sheetName val="Valor_Aprovado_P1"/>
      <sheetName val="Atualizacao_Moeda_P1"/>
      <sheetName val="Control_Coligadas"/>
      <sheetName val="Relatórios_Gerenciais"/>
      <sheetName val="Relat_Estado"/>
      <sheetName val="Dados_Painel_Projetos"/>
      <sheetName val="Classes_Custos"/>
      <sheetName val="Conferencia"/>
      <sheetName val="Valor_Real_Historico"/>
      <sheetName val="Relat_Real"/>
      <sheetName val="Relat_JOA"/>
      <sheetName val="Visao_Geral_Cemig"/>
      <sheetName val="Acomp P1"/>
      <sheetName val="Base_Graficos"/>
      <sheetName val="Gráfico (P x R)"/>
      <sheetName val="GRÁFICO_CICLO_ANUAL"/>
      <sheetName val=" CAIXA CEMIG D"/>
      <sheetName val=" CAIXA CEMIG GT"/>
      <sheetName val="Estrut_MacroP1"/>
      <sheetName val="Valores_Realizados"/>
      <sheetName val="Visao_Geral_Cemig (2)"/>
    </sheetNames>
    <sheetDataSet>
      <sheetData sheetId="0">
        <row r="3">
          <cell r="K3">
            <v>43251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o"/>
      <sheetName val="Projetos ciclo 2018-2022"/>
      <sheetName val="Quadros resumo"/>
      <sheetName val="Gráfico - Curva de Desembolsos"/>
      <sheetName val="CEI_032018"/>
      <sheetName val="CEI_042018"/>
      <sheetName val="Macroprojetos"/>
      <sheetName val="Resultado do Seminário-D"/>
      <sheetName val="Linha do Tempo"/>
      <sheetName val="Projetos x Riscos Não Execução"/>
      <sheetName val="Gráfico Tendência 2018-2022"/>
      <sheetName val="TESTE TESTE"/>
      <sheetName val="TESTE TESTE 2"/>
    </sheetNames>
    <sheetDataSet>
      <sheetData sheetId="0"/>
      <sheetData sheetId="1"/>
      <sheetData sheetId="2"/>
      <sheetData sheetId="3"/>
      <sheetData sheetId="4">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row>
        <row r="2">
          <cell r="A2" t="str">
            <v>Nº. 
Projeto</v>
          </cell>
          <cell r="B2" t="str">
            <v>Nome</v>
          </cell>
          <cell r="C2" t="str">
            <v>Coletor</v>
          </cell>
          <cell r="D2" t="str">
            <v>Valor de Execução</v>
          </cell>
          <cell r="E2" t="str">
            <v xml:space="preserve">Real até </v>
          </cell>
          <cell r="I2" t="str">
            <v>EXECUÇÃO ATÉ</v>
          </cell>
          <cell r="J2">
            <v>43190</v>
          </cell>
          <cell r="P2" t="str">
            <v xml:space="preserve">         PLANEJAMENTOS ANOS FUTUROS</v>
          </cell>
        </row>
        <row r="3">
          <cell r="E3">
            <v>2016</v>
          </cell>
          <cell r="F3" t="str">
            <v>Proposta  (a)</v>
          </cell>
          <cell r="G3" t="str">
            <v>Orçam.Lib (b)</v>
          </cell>
          <cell r="H3" t="str">
            <v>Planej.
(d)</v>
          </cell>
          <cell r="I3" t="str">
            <v>Real
(e)</v>
          </cell>
          <cell r="J3" t="str">
            <v>Adiant.
(f)</v>
          </cell>
          <cell r="K3" t="str">
            <v>Total
(g)=(e+f)</v>
          </cell>
          <cell r="L3" t="str">
            <v>Comprom.
(i)</v>
          </cell>
          <cell r="M3" t="str">
            <v>Disposto
(j)=(g+i)</v>
          </cell>
          <cell r="N3" t="str">
            <v>2019</v>
          </cell>
          <cell r="O3">
            <v>2020</v>
          </cell>
          <cell r="P3">
            <v>2021</v>
          </cell>
          <cell r="Q3">
            <v>2022</v>
          </cell>
          <cell r="R3">
            <v>2023</v>
          </cell>
          <cell r="S3">
            <v>2024</v>
          </cell>
          <cell r="T3">
            <v>2025</v>
          </cell>
          <cell r="U3">
            <v>2026</v>
          </cell>
        </row>
        <row r="4">
          <cell r="A4" t="str">
            <v>AM</v>
          </cell>
          <cell r="B4" t="str">
            <v xml:space="preserve">Atual. Moeda - Edificações e complementos </v>
          </cell>
          <cell r="C4" t="str">
            <v>-</v>
          </cell>
          <cell r="D4">
            <v>0</v>
          </cell>
          <cell r="E4">
            <v>0</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row>
        <row r="5">
          <cell r="A5" t="str">
            <v>CI</v>
          </cell>
          <cell r="B5" t="str">
            <v>Captura de Investimentos</v>
          </cell>
          <cell r="C5" t="str">
            <v>-</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row>
        <row r="6">
          <cell r="A6" t="str">
            <v>GE00518</v>
          </cell>
          <cell r="B6" t="str">
            <v>Planejamento Macroprojeto 1-3-1</v>
          </cell>
          <cell r="C6" t="str">
            <v>INFR.131.00618</v>
          </cell>
          <cell r="D6">
            <v>782</v>
          </cell>
          <cell r="E6">
            <v>0</v>
          </cell>
          <cell r="F6">
            <v>782</v>
          </cell>
          <cell r="G6">
            <v>0</v>
          </cell>
          <cell r="H6">
            <v>0</v>
          </cell>
          <cell r="I6">
            <v>0</v>
          </cell>
          <cell r="J6">
            <v>0</v>
          </cell>
          <cell r="K6">
            <v>0</v>
          </cell>
          <cell r="L6">
            <v>0</v>
          </cell>
          <cell r="M6">
            <v>0</v>
          </cell>
          <cell r="N6">
            <v>0</v>
          </cell>
          <cell r="O6">
            <v>0</v>
          </cell>
          <cell r="P6">
            <v>0</v>
          </cell>
          <cell r="Q6">
            <v>0</v>
          </cell>
          <cell r="R6">
            <v>0</v>
          </cell>
          <cell r="S6">
            <v>0</v>
          </cell>
          <cell r="T6">
            <v>0</v>
          </cell>
          <cell r="U6">
            <v>0</v>
          </cell>
        </row>
        <row r="7">
          <cell r="A7" t="str">
            <v>NA</v>
          </cell>
          <cell r="B7" t="str">
            <v>Laudos a Serem Apresentados</v>
          </cell>
          <cell r="C7" t="str">
            <v>-</v>
          </cell>
          <cell r="D7">
            <v>1854</v>
          </cell>
          <cell r="E7">
            <v>0</v>
          </cell>
          <cell r="F7">
            <v>0</v>
          </cell>
          <cell r="G7">
            <v>0</v>
          </cell>
          <cell r="H7">
            <v>0</v>
          </cell>
          <cell r="I7">
            <v>0</v>
          </cell>
          <cell r="J7">
            <v>0</v>
          </cell>
          <cell r="K7">
            <v>0</v>
          </cell>
          <cell r="L7">
            <v>0</v>
          </cell>
          <cell r="M7">
            <v>0</v>
          </cell>
          <cell r="N7">
            <v>634</v>
          </cell>
          <cell r="O7">
            <v>435</v>
          </cell>
          <cell r="P7">
            <v>360</v>
          </cell>
          <cell r="Q7">
            <v>425</v>
          </cell>
          <cell r="R7">
            <v>0</v>
          </cell>
          <cell r="S7">
            <v>0</v>
          </cell>
          <cell r="T7">
            <v>0</v>
          </cell>
          <cell r="U7">
            <v>0</v>
          </cell>
        </row>
        <row r="8">
          <cell r="A8" t="str">
            <v>SR</v>
          </cell>
          <cell r="B8" t="str">
            <v>Saldo Residual</v>
          </cell>
          <cell r="C8" t="str">
            <v>-</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row>
        <row r="9">
          <cell r="A9" t="str">
            <v>AM</v>
          </cell>
          <cell r="B9" t="str">
            <v xml:space="preserve">Atual. Moeda - Telecomunicações </v>
          </cell>
          <cell r="C9" t="str">
            <v>-</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row>
        <row r="10">
          <cell r="A10" t="str">
            <v>CI</v>
          </cell>
          <cell r="B10" t="str">
            <v>Captura de Investimentos</v>
          </cell>
          <cell r="C10" t="str">
            <v>-</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row>
        <row r="11">
          <cell r="A11" t="str">
            <v>NA</v>
          </cell>
          <cell r="B11" t="str">
            <v>Laudos a Serem Apresentados</v>
          </cell>
          <cell r="C11" t="str">
            <v>-</v>
          </cell>
          <cell r="D11">
            <v>139</v>
          </cell>
          <cell r="E11">
            <v>0</v>
          </cell>
          <cell r="F11">
            <v>0</v>
          </cell>
          <cell r="G11">
            <v>0</v>
          </cell>
          <cell r="H11">
            <v>0</v>
          </cell>
          <cell r="I11">
            <v>0</v>
          </cell>
          <cell r="J11">
            <v>0</v>
          </cell>
          <cell r="K11">
            <v>0</v>
          </cell>
          <cell r="L11">
            <v>0</v>
          </cell>
          <cell r="M11">
            <v>0</v>
          </cell>
          <cell r="N11">
            <v>16</v>
          </cell>
          <cell r="O11">
            <v>30</v>
          </cell>
          <cell r="P11">
            <v>50</v>
          </cell>
          <cell r="Q11">
            <v>43</v>
          </cell>
          <cell r="R11">
            <v>0</v>
          </cell>
          <cell r="S11">
            <v>0</v>
          </cell>
          <cell r="T11">
            <v>0</v>
          </cell>
          <cell r="U11">
            <v>0</v>
          </cell>
        </row>
        <row r="12">
          <cell r="A12" t="str">
            <v>SR</v>
          </cell>
          <cell r="B12" t="str">
            <v>Saldo Residual</v>
          </cell>
          <cell r="C12" t="str">
            <v>-</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row>
        <row r="13">
          <cell r="A13" t="str">
            <v>TI03418</v>
          </cell>
          <cell r="B13" t="str">
            <v>Planejamento Macroprojeto 1-3-2</v>
          </cell>
          <cell r="C13" t="str">
            <v>TINV.18.G.054.PP</v>
          </cell>
          <cell r="D13">
            <v>29</v>
          </cell>
          <cell r="E13">
            <v>0</v>
          </cell>
          <cell r="F13">
            <v>29</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row>
        <row r="14">
          <cell r="A14" t="str">
            <v>AM</v>
          </cell>
          <cell r="B14" t="str">
            <v xml:space="preserve">Atual. de Moeda - Microinformática </v>
          </cell>
          <cell r="C14" t="str">
            <v>-</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row>
        <row r="15">
          <cell r="A15" t="str">
            <v>CI</v>
          </cell>
          <cell r="B15" t="str">
            <v>Captura de Investimentos</v>
          </cell>
          <cell r="C15" t="str">
            <v>-</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row>
        <row r="16">
          <cell r="A16" t="str">
            <v>NA</v>
          </cell>
          <cell r="B16" t="str">
            <v>Laudos a Serem Apresentados</v>
          </cell>
          <cell r="C16" t="str">
            <v>-</v>
          </cell>
          <cell r="D16">
            <v>896</v>
          </cell>
          <cell r="E16">
            <v>0</v>
          </cell>
          <cell r="F16">
            <v>0</v>
          </cell>
          <cell r="G16">
            <v>0</v>
          </cell>
          <cell r="H16">
            <v>0</v>
          </cell>
          <cell r="I16">
            <v>0</v>
          </cell>
          <cell r="J16">
            <v>0</v>
          </cell>
          <cell r="K16">
            <v>0</v>
          </cell>
          <cell r="L16">
            <v>0</v>
          </cell>
          <cell r="M16">
            <v>0</v>
          </cell>
          <cell r="N16">
            <v>351.5</v>
          </cell>
          <cell r="O16">
            <v>214.5</v>
          </cell>
          <cell r="P16">
            <v>51.5</v>
          </cell>
          <cell r="Q16">
            <v>278.5</v>
          </cell>
          <cell r="R16">
            <v>0</v>
          </cell>
          <cell r="S16">
            <v>0</v>
          </cell>
          <cell r="T16">
            <v>0</v>
          </cell>
          <cell r="U16">
            <v>0</v>
          </cell>
        </row>
        <row r="17">
          <cell r="A17" t="str">
            <v>SR</v>
          </cell>
          <cell r="B17" t="str">
            <v>Saldo Residual</v>
          </cell>
          <cell r="C17" t="str">
            <v>-</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row>
        <row r="18">
          <cell r="A18" t="str">
            <v>TI03518</v>
          </cell>
          <cell r="B18" t="str">
            <v>Planejamento Macroprojeto 1-3-3</v>
          </cell>
          <cell r="C18" t="str">
            <v>TINV.18.G.045.PP</v>
          </cell>
          <cell r="D18">
            <v>59</v>
          </cell>
          <cell r="E18">
            <v>0</v>
          </cell>
          <cell r="F18">
            <v>59</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row>
        <row r="19">
          <cell r="A19" t="str">
            <v>AM</v>
          </cell>
          <cell r="B19" t="str">
            <v>Atual. Moeda - Sistema de Informática</v>
          </cell>
          <cell r="C19" t="str">
            <v>-</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row>
        <row r="20">
          <cell r="A20" t="str">
            <v>CI</v>
          </cell>
          <cell r="B20" t="str">
            <v>Captura de Investimentos</v>
          </cell>
          <cell r="C20" t="str">
            <v>-</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row>
        <row r="21">
          <cell r="A21" t="str">
            <v>NA</v>
          </cell>
          <cell r="B21" t="str">
            <v>Laudos a Serem Apresentados</v>
          </cell>
          <cell r="C21" t="str">
            <v>-</v>
          </cell>
          <cell r="D21">
            <v>4234</v>
          </cell>
          <cell r="E21">
            <v>0</v>
          </cell>
          <cell r="F21">
            <v>0</v>
          </cell>
          <cell r="G21">
            <v>0</v>
          </cell>
          <cell r="H21">
            <v>0</v>
          </cell>
          <cell r="I21">
            <v>0</v>
          </cell>
          <cell r="J21">
            <v>0</v>
          </cell>
          <cell r="K21">
            <v>0</v>
          </cell>
          <cell r="L21">
            <v>0</v>
          </cell>
          <cell r="M21">
            <v>0</v>
          </cell>
          <cell r="N21">
            <v>1138</v>
          </cell>
          <cell r="O21">
            <v>1210</v>
          </cell>
          <cell r="P21">
            <v>1123</v>
          </cell>
          <cell r="Q21">
            <v>763</v>
          </cell>
          <cell r="R21">
            <v>0</v>
          </cell>
          <cell r="S21">
            <v>0</v>
          </cell>
          <cell r="T21">
            <v>0</v>
          </cell>
          <cell r="U21">
            <v>0</v>
          </cell>
        </row>
        <row r="22">
          <cell r="A22" t="str">
            <v>SR</v>
          </cell>
          <cell r="B22" t="str">
            <v>Saldo Residual</v>
          </cell>
          <cell r="C22" t="str">
            <v>-</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row>
        <row r="23">
          <cell r="A23" t="str">
            <v>TI00218</v>
          </cell>
          <cell r="B23" t="str">
            <v>Licenciamento Oracle</v>
          </cell>
          <cell r="C23" t="str">
            <v>TINV.18.G.042.OR</v>
          </cell>
          <cell r="D23">
            <v>0</v>
          </cell>
          <cell r="E23">
            <v>0</v>
          </cell>
          <cell r="F23">
            <v>0</v>
          </cell>
          <cell r="G23">
            <v>119</v>
          </cell>
          <cell r="H23">
            <v>0</v>
          </cell>
          <cell r="I23">
            <v>119.11103057861328</v>
          </cell>
          <cell r="J23">
            <v>0</v>
          </cell>
          <cell r="K23">
            <v>119.11103057861328</v>
          </cell>
          <cell r="L23">
            <v>0</v>
          </cell>
          <cell r="M23">
            <v>119.11103057861328</v>
          </cell>
          <cell r="N23">
            <v>0</v>
          </cell>
          <cell r="O23">
            <v>0</v>
          </cell>
          <cell r="P23">
            <v>0</v>
          </cell>
          <cell r="Q23">
            <v>0</v>
          </cell>
          <cell r="R23">
            <v>0</v>
          </cell>
          <cell r="S23">
            <v>0</v>
          </cell>
          <cell r="T23">
            <v>0</v>
          </cell>
          <cell r="U23">
            <v>0</v>
          </cell>
        </row>
        <row r="24">
          <cell r="A24" t="str">
            <v>TI02216</v>
          </cell>
          <cell r="B24" t="str">
            <v>Upgrade do Software Inspetor</v>
          </cell>
          <cell r="C24" t="str">
            <v>TINV.16.G.042.IP</v>
          </cell>
          <cell r="D24">
            <v>0</v>
          </cell>
          <cell r="E24">
            <v>0</v>
          </cell>
          <cell r="F24">
            <v>0</v>
          </cell>
          <cell r="G24">
            <v>490</v>
          </cell>
          <cell r="H24">
            <v>0</v>
          </cell>
          <cell r="I24">
            <v>48.300398826599121</v>
          </cell>
          <cell r="J24">
            <v>0</v>
          </cell>
          <cell r="K24">
            <v>48.300398826599121</v>
          </cell>
          <cell r="L24">
            <v>435.47496032714844</v>
          </cell>
          <cell r="M24">
            <v>483.77535915374756</v>
          </cell>
          <cell r="N24">
            <v>0</v>
          </cell>
          <cell r="O24">
            <v>0</v>
          </cell>
          <cell r="P24">
            <v>0</v>
          </cell>
          <cell r="Q24">
            <v>0</v>
          </cell>
          <cell r="R24">
            <v>0</v>
          </cell>
          <cell r="S24">
            <v>0</v>
          </cell>
          <cell r="T24">
            <v>0</v>
          </cell>
          <cell r="U24">
            <v>0</v>
          </cell>
        </row>
        <row r="25">
          <cell r="A25" t="str">
            <v>TI03018</v>
          </cell>
          <cell r="B25" t="str">
            <v>Licenciamento Oracle</v>
          </cell>
          <cell r="C25" t="str">
            <v>TINV.18.G.042.PA</v>
          </cell>
          <cell r="D25">
            <v>0</v>
          </cell>
          <cell r="E25">
            <v>0</v>
          </cell>
          <cell r="F25">
            <v>0</v>
          </cell>
          <cell r="G25">
            <v>115</v>
          </cell>
          <cell r="H25">
            <v>0</v>
          </cell>
          <cell r="I25">
            <v>0</v>
          </cell>
          <cell r="J25">
            <v>0</v>
          </cell>
          <cell r="K25">
            <v>0</v>
          </cell>
          <cell r="L25">
            <v>0</v>
          </cell>
          <cell r="M25">
            <v>0</v>
          </cell>
          <cell r="N25">
            <v>0</v>
          </cell>
          <cell r="O25">
            <v>0</v>
          </cell>
          <cell r="P25">
            <v>0</v>
          </cell>
          <cell r="Q25">
            <v>0</v>
          </cell>
          <cell r="R25">
            <v>0</v>
          </cell>
          <cell r="S25">
            <v>0</v>
          </cell>
          <cell r="T25">
            <v>0</v>
          </cell>
          <cell r="U25">
            <v>0</v>
          </cell>
        </row>
        <row r="26">
          <cell r="A26" t="str">
            <v>TI03618</v>
          </cell>
          <cell r="B26" t="str">
            <v>Planejamento Macroprojeto 1-3-4</v>
          </cell>
          <cell r="C26" t="str">
            <v>TINV.18.G.042.PP</v>
          </cell>
          <cell r="D26">
            <v>1886</v>
          </cell>
          <cell r="E26">
            <v>0</v>
          </cell>
          <cell r="F26">
            <v>1886</v>
          </cell>
          <cell r="G26">
            <v>0</v>
          </cell>
          <cell r="H26">
            <v>167</v>
          </cell>
          <cell r="I26">
            <v>0</v>
          </cell>
          <cell r="J26">
            <v>0</v>
          </cell>
          <cell r="K26">
            <v>0</v>
          </cell>
          <cell r="L26">
            <v>0</v>
          </cell>
          <cell r="M26">
            <v>0</v>
          </cell>
          <cell r="N26">
            <v>0</v>
          </cell>
          <cell r="O26">
            <v>0</v>
          </cell>
          <cell r="P26">
            <v>0</v>
          </cell>
          <cell r="Q26">
            <v>0</v>
          </cell>
          <cell r="R26">
            <v>0</v>
          </cell>
          <cell r="S26">
            <v>0</v>
          </cell>
          <cell r="T26">
            <v>0</v>
          </cell>
          <cell r="U26">
            <v>0</v>
          </cell>
        </row>
        <row r="27">
          <cell r="A27" t="str">
            <v>AM</v>
          </cell>
          <cell r="B27" t="str">
            <v>Atual. Moeda - Veículos</v>
          </cell>
          <cell r="C27" t="str">
            <v>-</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row>
        <row r="28">
          <cell r="A28" t="str">
            <v>CI</v>
          </cell>
          <cell r="B28" t="str">
            <v>Captura de Investimentos</v>
          </cell>
          <cell r="C28" t="str">
            <v>-</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row>
        <row r="29">
          <cell r="A29" t="str">
            <v>GE00618</v>
          </cell>
          <cell r="B29" t="str">
            <v>Planejamento Macroprojeto 1-3-5</v>
          </cell>
          <cell r="C29" t="str">
            <v>INFR.135.00718</v>
          </cell>
          <cell r="D29">
            <v>103</v>
          </cell>
          <cell r="E29">
            <v>0</v>
          </cell>
          <cell r="F29">
            <v>103</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row>
        <row r="30">
          <cell r="A30" t="str">
            <v>NA</v>
          </cell>
          <cell r="B30" t="str">
            <v>Laudos a Serem Apresentados</v>
          </cell>
          <cell r="C30" t="str">
            <v>-</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row>
        <row r="31">
          <cell r="A31" t="str">
            <v>SR</v>
          </cell>
          <cell r="B31" t="str">
            <v>Saldo Residual</v>
          </cell>
          <cell r="C31" t="str">
            <v>-</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row>
        <row r="32">
          <cell r="A32" t="str">
            <v>AM</v>
          </cell>
          <cell r="B32" t="str">
            <v>Atual. Moeda - Ferramentas e Equipamentos - Ciclo (2014/2018)</v>
          </cell>
          <cell r="C32" t="str">
            <v>-</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row>
        <row r="33">
          <cell r="A33" t="str">
            <v>CI</v>
          </cell>
          <cell r="B33" t="str">
            <v>Captura de Investimentos</v>
          </cell>
          <cell r="C33" t="str">
            <v>-</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row>
        <row r="34">
          <cell r="A34" t="str">
            <v>GE00418</v>
          </cell>
          <cell r="B34" t="str">
            <v>Planejamento Macroprojeto 1-3-6</v>
          </cell>
          <cell r="C34" t="str">
            <v>INFR.136.00518</v>
          </cell>
          <cell r="D34">
            <v>518</v>
          </cell>
          <cell r="E34">
            <v>0</v>
          </cell>
          <cell r="F34">
            <v>518</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row>
        <row r="35">
          <cell r="A35" t="str">
            <v>MG00317</v>
          </cell>
          <cell r="B35" t="str">
            <v>Ferramentas e Equipamentos - MG/TA</v>
          </cell>
          <cell r="C35" t="str">
            <v>INGC/17/MGTA/FERR</v>
          </cell>
          <cell r="D35">
            <v>0</v>
          </cell>
          <cell r="E35">
            <v>0</v>
          </cell>
          <cell r="F35">
            <v>0</v>
          </cell>
          <cell r="G35">
            <v>120</v>
          </cell>
          <cell r="H35">
            <v>0</v>
          </cell>
          <cell r="I35">
            <v>118.80000305175781</v>
          </cell>
          <cell r="J35">
            <v>0</v>
          </cell>
          <cell r="K35">
            <v>118.80000305175781</v>
          </cell>
          <cell r="L35">
            <v>0</v>
          </cell>
          <cell r="M35">
            <v>118.80000305175781</v>
          </cell>
          <cell r="N35">
            <v>0</v>
          </cell>
          <cell r="O35">
            <v>0</v>
          </cell>
          <cell r="P35">
            <v>0</v>
          </cell>
          <cell r="Q35">
            <v>0</v>
          </cell>
          <cell r="R35">
            <v>0</v>
          </cell>
          <cell r="S35">
            <v>0</v>
          </cell>
          <cell r="T35">
            <v>0</v>
          </cell>
          <cell r="U35">
            <v>0</v>
          </cell>
        </row>
        <row r="36">
          <cell r="A36" t="str">
            <v>MG00318</v>
          </cell>
          <cell r="B36" t="str">
            <v>Ferramentas Cemig GT MG 2018</v>
          </cell>
          <cell r="C36" t="str">
            <v>INGC/18/FERR/MGCT</v>
          </cell>
          <cell r="D36">
            <v>0</v>
          </cell>
          <cell r="E36">
            <v>0</v>
          </cell>
          <cell r="F36">
            <v>0</v>
          </cell>
          <cell r="G36">
            <v>171</v>
          </cell>
          <cell r="H36">
            <v>0</v>
          </cell>
          <cell r="I36">
            <v>0</v>
          </cell>
          <cell r="J36">
            <v>0</v>
          </cell>
          <cell r="K36">
            <v>0</v>
          </cell>
          <cell r="L36">
            <v>4.503270149230957</v>
          </cell>
          <cell r="M36">
            <v>4.503270149230957</v>
          </cell>
          <cell r="N36">
            <v>0</v>
          </cell>
          <cell r="O36">
            <v>0</v>
          </cell>
          <cell r="P36">
            <v>0</v>
          </cell>
          <cell r="Q36">
            <v>0</v>
          </cell>
          <cell r="R36">
            <v>0</v>
          </cell>
          <cell r="S36">
            <v>0</v>
          </cell>
          <cell r="T36">
            <v>0</v>
          </cell>
          <cell r="U36">
            <v>0</v>
          </cell>
        </row>
        <row r="37">
          <cell r="A37" t="str">
            <v>MG01217</v>
          </cell>
          <cell r="B37" t="str">
            <v>Microhmimetro e Equipamentos - MG/CS</v>
          </cell>
          <cell r="C37" t="str">
            <v>INGC/17/MGCS/FERR</v>
          </cell>
          <cell r="D37">
            <v>0</v>
          </cell>
          <cell r="E37">
            <v>0</v>
          </cell>
          <cell r="F37">
            <v>0</v>
          </cell>
          <cell r="G37">
            <v>17</v>
          </cell>
          <cell r="H37">
            <v>0</v>
          </cell>
          <cell r="I37">
            <v>15.548649787902832</v>
          </cell>
          <cell r="J37">
            <v>0</v>
          </cell>
          <cell r="K37">
            <v>15.548649787902832</v>
          </cell>
          <cell r="L37">
            <v>0</v>
          </cell>
          <cell r="M37">
            <v>15.548649787902832</v>
          </cell>
          <cell r="N37">
            <v>0</v>
          </cell>
          <cell r="O37">
            <v>0</v>
          </cell>
          <cell r="P37">
            <v>0</v>
          </cell>
          <cell r="Q37">
            <v>0</v>
          </cell>
          <cell r="R37">
            <v>0</v>
          </cell>
          <cell r="S37">
            <v>0</v>
          </cell>
          <cell r="T37">
            <v>0</v>
          </cell>
          <cell r="U37">
            <v>0</v>
          </cell>
        </row>
        <row r="38">
          <cell r="A38" t="str">
            <v>NA</v>
          </cell>
          <cell r="B38" t="str">
            <v>Ferramentas e Equipamentos - G</v>
          </cell>
          <cell r="C38" t="str">
            <v>-</v>
          </cell>
          <cell r="D38">
            <v>1783</v>
          </cell>
          <cell r="E38">
            <v>0</v>
          </cell>
          <cell r="F38">
            <v>0</v>
          </cell>
          <cell r="G38">
            <v>0</v>
          </cell>
          <cell r="H38">
            <v>0</v>
          </cell>
          <cell r="I38">
            <v>0</v>
          </cell>
          <cell r="J38">
            <v>0</v>
          </cell>
          <cell r="K38">
            <v>0</v>
          </cell>
          <cell r="L38">
            <v>0</v>
          </cell>
          <cell r="M38">
            <v>0</v>
          </cell>
          <cell r="N38">
            <v>486</v>
          </cell>
          <cell r="O38">
            <v>602</v>
          </cell>
          <cell r="P38">
            <v>498</v>
          </cell>
          <cell r="Q38">
            <v>197</v>
          </cell>
          <cell r="R38">
            <v>0</v>
          </cell>
          <cell r="S38">
            <v>0</v>
          </cell>
          <cell r="T38">
            <v>0</v>
          </cell>
          <cell r="U38">
            <v>0</v>
          </cell>
        </row>
        <row r="39">
          <cell r="A39" t="str">
            <v>PO00117</v>
          </cell>
          <cell r="B39" t="str">
            <v>Aquisição de Ferramentas - PO/MG</v>
          </cell>
          <cell r="C39" t="str">
            <v>INGT/17/781/POMG</v>
          </cell>
          <cell r="D39">
            <v>0</v>
          </cell>
          <cell r="E39">
            <v>0</v>
          </cell>
          <cell r="F39">
            <v>0</v>
          </cell>
          <cell r="G39">
            <v>74</v>
          </cell>
          <cell r="H39">
            <v>0</v>
          </cell>
          <cell r="I39">
            <v>0</v>
          </cell>
          <cell r="J39">
            <v>0</v>
          </cell>
          <cell r="K39">
            <v>0</v>
          </cell>
          <cell r="L39">
            <v>30.149999618530273</v>
          </cell>
          <cell r="M39">
            <v>30.149999618530273</v>
          </cell>
          <cell r="N39">
            <v>0</v>
          </cell>
          <cell r="O39">
            <v>0</v>
          </cell>
          <cell r="P39">
            <v>0</v>
          </cell>
          <cell r="Q39">
            <v>0</v>
          </cell>
          <cell r="R39">
            <v>0</v>
          </cell>
          <cell r="S39">
            <v>0</v>
          </cell>
          <cell r="T39">
            <v>0</v>
          </cell>
          <cell r="U39">
            <v>0</v>
          </cell>
        </row>
        <row r="40">
          <cell r="A40" t="str">
            <v>PO00118</v>
          </cell>
          <cell r="B40" t="str">
            <v>Equipamentos para monitoramento de vibração</v>
          </cell>
          <cell r="C40" t="str">
            <v>INGT/18/FER/POMG</v>
          </cell>
          <cell r="D40">
            <v>0</v>
          </cell>
          <cell r="E40">
            <v>0</v>
          </cell>
          <cell r="F40">
            <v>0</v>
          </cell>
          <cell r="G40">
            <v>270</v>
          </cell>
          <cell r="H40">
            <v>0</v>
          </cell>
          <cell r="I40">
            <v>0</v>
          </cell>
          <cell r="J40">
            <v>0</v>
          </cell>
          <cell r="K40">
            <v>0</v>
          </cell>
          <cell r="L40">
            <v>236.05000114440918</v>
          </cell>
          <cell r="M40">
            <v>236.05000114440918</v>
          </cell>
          <cell r="N40">
            <v>0</v>
          </cell>
          <cell r="O40">
            <v>0</v>
          </cell>
          <cell r="P40">
            <v>0</v>
          </cell>
          <cell r="Q40">
            <v>0</v>
          </cell>
          <cell r="R40">
            <v>0</v>
          </cell>
          <cell r="S40">
            <v>0</v>
          </cell>
          <cell r="T40">
            <v>0</v>
          </cell>
          <cell r="U40">
            <v>0</v>
          </cell>
        </row>
        <row r="41">
          <cell r="A41" t="str">
            <v>SR</v>
          </cell>
          <cell r="B41" t="str">
            <v>Saldo Residual</v>
          </cell>
          <cell r="C41" t="str">
            <v>-</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row>
        <row r="42">
          <cell r="A42" t="str">
            <v>AM</v>
          </cell>
          <cell r="B42" t="str">
            <v xml:space="preserve">Atual. Moeda - Edificações e complementos </v>
          </cell>
          <cell r="C42" t="str">
            <v>-</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row>
        <row r="43">
          <cell r="A43" t="str">
            <v>CI</v>
          </cell>
          <cell r="B43" t="str">
            <v>Captura de Investimentos</v>
          </cell>
          <cell r="C43" t="str">
            <v>-</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row>
        <row r="44">
          <cell r="A44" t="str">
            <v>GE00818</v>
          </cell>
          <cell r="B44" t="str">
            <v>Planejamento Macroprojeto 2-3-1</v>
          </cell>
          <cell r="C44" t="str">
            <v>INFR.231.00918</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row>
        <row r="45">
          <cell r="A45" t="str">
            <v>NA</v>
          </cell>
          <cell r="B45" t="str">
            <v>Laudos a Serem Apresentados</v>
          </cell>
          <cell r="C45" t="str">
            <v>-</v>
          </cell>
          <cell r="D45">
            <v>1911</v>
          </cell>
          <cell r="E45">
            <v>0</v>
          </cell>
          <cell r="F45">
            <v>0</v>
          </cell>
          <cell r="G45">
            <v>0</v>
          </cell>
          <cell r="H45">
            <v>0</v>
          </cell>
          <cell r="I45">
            <v>0</v>
          </cell>
          <cell r="J45">
            <v>0</v>
          </cell>
          <cell r="K45">
            <v>0</v>
          </cell>
          <cell r="L45">
            <v>0</v>
          </cell>
          <cell r="M45">
            <v>0</v>
          </cell>
          <cell r="N45">
            <v>430</v>
          </cell>
          <cell r="O45">
            <v>204</v>
          </cell>
          <cell r="P45">
            <v>1251</v>
          </cell>
          <cell r="Q45">
            <v>26</v>
          </cell>
          <cell r="R45">
            <v>0</v>
          </cell>
          <cell r="S45">
            <v>0</v>
          </cell>
          <cell r="T45">
            <v>0</v>
          </cell>
          <cell r="U45">
            <v>0</v>
          </cell>
        </row>
        <row r="46">
          <cell r="A46" t="str">
            <v>SR</v>
          </cell>
          <cell r="B46" t="str">
            <v>Saldo Residual</v>
          </cell>
          <cell r="C46" t="str">
            <v>-</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row>
        <row r="47">
          <cell r="A47" t="str">
            <v>2264/09</v>
          </cell>
          <cell r="B47" t="str">
            <v>Reformas e Melhorias em EC - T - 2009</v>
          </cell>
          <cell r="C47" t="str">
            <v>2CPO2264</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row>
        <row r="48">
          <cell r="A48" t="str">
            <v>3088/12</v>
          </cell>
          <cell r="B48" t="str">
            <v>Reformas e Melhorias Estação de Telecomunicações da Transmissão</v>
          </cell>
          <cell r="C48" t="str">
            <v>INTC.12.T.054.RM</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row>
        <row r="49">
          <cell r="A49" t="str">
            <v>AM</v>
          </cell>
          <cell r="B49" t="str">
            <v xml:space="preserve">Atual. Moeda - Telecomunicações </v>
          </cell>
          <cell r="C49" t="str">
            <v>-</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row>
        <row r="50">
          <cell r="A50" t="str">
            <v>CI</v>
          </cell>
          <cell r="B50" t="str">
            <v>Captura de Investimentos</v>
          </cell>
          <cell r="C50" t="str">
            <v>-</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row>
        <row r="51">
          <cell r="A51" t="str">
            <v>NA</v>
          </cell>
          <cell r="B51" t="str">
            <v>Laudos a Serem Apresentados</v>
          </cell>
          <cell r="C51" t="str">
            <v>-</v>
          </cell>
          <cell r="D51">
            <v>297</v>
          </cell>
          <cell r="E51">
            <v>0</v>
          </cell>
          <cell r="F51">
            <v>0</v>
          </cell>
          <cell r="G51">
            <v>0</v>
          </cell>
          <cell r="H51">
            <v>0</v>
          </cell>
          <cell r="I51">
            <v>0</v>
          </cell>
          <cell r="J51">
            <v>0</v>
          </cell>
          <cell r="K51">
            <v>0</v>
          </cell>
          <cell r="L51">
            <v>0</v>
          </cell>
          <cell r="M51">
            <v>0</v>
          </cell>
          <cell r="N51">
            <v>46</v>
          </cell>
          <cell r="O51">
            <v>83</v>
          </cell>
          <cell r="P51">
            <v>90</v>
          </cell>
          <cell r="Q51">
            <v>78</v>
          </cell>
          <cell r="R51">
            <v>0</v>
          </cell>
          <cell r="S51">
            <v>0</v>
          </cell>
          <cell r="T51">
            <v>0</v>
          </cell>
          <cell r="U51">
            <v>0</v>
          </cell>
        </row>
        <row r="52">
          <cell r="A52" t="str">
            <v>SR</v>
          </cell>
          <cell r="B52" t="str">
            <v>Saldo Residual</v>
          </cell>
          <cell r="C52" t="str">
            <v>-</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row>
        <row r="53">
          <cell r="A53" t="str">
            <v>TI03718</v>
          </cell>
          <cell r="B53" t="str">
            <v>Planejamento Macroprojeto 2-3-2</v>
          </cell>
          <cell r="C53" t="str">
            <v>TINV.18.T.054.PP</v>
          </cell>
          <cell r="D53">
            <v>142</v>
          </cell>
          <cell r="E53">
            <v>0</v>
          </cell>
          <cell r="F53">
            <v>142</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row>
        <row r="54">
          <cell r="A54" t="str">
            <v>AM</v>
          </cell>
          <cell r="B54" t="str">
            <v>Atual. Moeda - Microinformática</v>
          </cell>
          <cell r="C54" t="str">
            <v>-</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row>
        <row r="55">
          <cell r="A55" t="str">
            <v>CI</v>
          </cell>
          <cell r="B55" t="str">
            <v>Captura de Investimentos</v>
          </cell>
          <cell r="C55" t="str">
            <v>-</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row>
        <row r="56">
          <cell r="A56" t="str">
            <v>NA</v>
          </cell>
          <cell r="B56" t="str">
            <v>Laudos a Serem Apresentados</v>
          </cell>
          <cell r="C56" t="str">
            <v>-</v>
          </cell>
          <cell r="D56">
            <v>529</v>
          </cell>
          <cell r="E56">
            <v>0</v>
          </cell>
          <cell r="F56">
            <v>0</v>
          </cell>
          <cell r="G56">
            <v>0</v>
          </cell>
          <cell r="H56">
            <v>0</v>
          </cell>
          <cell r="I56">
            <v>0</v>
          </cell>
          <cell r="J56">
            <v>0</v>
          </cell>
          <cell r="K56">
            <v>0</v>
          </cell>
          <cell r="L56">
            <v>0</v>
          </cell>
          <cell r="M56">
            <v>0</v>
          </cell>
          <cell r="N56">
            <v>55</v>
          </cell>
          <cell r="O56">
            <v>209</v>
          </cell>
          <cell r="P56">
            <v>55</v>
          </cell>
          <cell r="Q56">
            <v>210</v>
          </cell>
          <cell r="R56">
            <v>0</v>
          </cell>
          <cell r="S56">
            <v>0</v>
          </cell>
          <cell r="T56">
            <v>0</v>
          </cell>
          <cell r="U56">
            <v>0</v>
          </cell>
        </row>
        <row r="57">
          <cell r="A57" t="str">
            <v>SR</v>
          </cell>
          <cell r="B57" t="str">
            <v>Saldo Residual</v>
          </cell>
          <cell r="C57" t="str">
            <v>-</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row>
        <row r="58">
          <cell r="A58" t="str">
            <v>TI03818</v>
          </cell>
          <cell r="B58" t="str">
            <v>Planejamento Macroprojeto 2-3-3</v>
          </cell>
          <cell r="C58" t="str">
            <v>TINV.18.T.045.PP</v>
          </cell>
          <cell r="D58">
            <v>415</v>
          </cell>
          <cell r="E58">
            <v>0</v>
          </cell>
          <cell r="F58">
            <v>415</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row>
        <row r="59">
          <cell r="A59" t="str">
            <v>AM</v>
          </cell>
          <cell r="B59" t="str">
            <v>Atual. Moeda - Sistema de Informática</v>
          </cell>
          <cell r="C59" t="str">
            <v>-</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row>
        <row r="60">
          <cell r="A60" t="str">
            <v>CI</v>
          </cell>
          <cell r="B60" t="str">
            <v>Captura de Investimentos</v>
          </cell>
          <cell r="C60" t="str">
            <v>-</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row>
        <row r="61">
          <cell r="A61" t="str">
            <v>NA</v>
          </cell>
          <cell r="B61" t="str">
            <v>Laudos a Serem Apresentados</v>
          </cell>
          <cell r="C61" t="str">
            <v>-</v>
          </cell>
          <cell r="D61">
            <v>514</v>
          </cell>
          <cell r="E61">
            <v>0</v>
          </cell>
          <cell r="F61">
            <v>0</v>
          </cell>
          <cell r="G61">
            <v>0</v>
          </cell>
          <cell r="H61">
            <v>0</v>
          </cell>
          <cell r="I61">
            <v>0</v>
          </cell>
          <cell r="J61">
            <v>0</v>
          </cell>
          <cell r="K61">
            <v>0</v>
          </cell>
          <cell r="L61">
            <v>0</v>
          </cell>
          <cell r="M61">
            <v>0</v>
          </cell>
          <cell r="N61">
            <v>128.5</v>
          </cell>
          <cell r="O61">
            <v>128.5</v>
          </cell>
          <cell r="P61">
            <v>128.5</v>
          </cell>
          <cell r="Q61">
            <v>128.5</v>
          </cell>
          <cell r="R61">
            <v>0</v>
          </cell>
          <cell r="S61">
            <v>0</v>
          </cell>
          <cell r="T61">
            <v>0</v>
          </cell>
          <cell r="U61">
            <v>0</v>
          </cell>
        </row>
        <row r="62">
          <cell r="A62" t="str">
            <v>SR</v>
          </cell>
          <cell r="B62" t="str">
            <v>Saldo Residual</v>
          </cell>
          <cell r="C62" t="str">
            <v>-</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row>
        <row r="63">
          <cell r="A63" t="str">
            <v>TI03918</v>
          </cell>
          <cell r="B63" t="str">
            <v>Planejamento Macroprojeto 2-3-4</v>
          </cell>
          <cell r="C63" t="str">
            <v>TINV.18.T.042.PP</v>
          </cell>
          <cell r="D63">
            <v>129</v>
          </cell>
          <cell r="E63">
            <v>0</v>
          </cell>
          <cell r="F63">
            <v>129</v>
          </cell>
          <cell r="G63">
            <v>0</v>
          </cell>
          <cell r="H63">
            <v>26</v>
          </cell>
          <cell r="I63">
            <v>0</v>
          </cell>
          <cell r="J63">
            <v>0</v>
          </cell>
          <cell r="K63">
            <v>0</v>
          </cell>
          <cell r="L63">
            <v>0</v>
          </cell>
          <cell r="M63">
            <v>0</v>
          </cell>
          <cell r="N63">
            <v>0</v>
          </cell>
          <cell r="O63">
            <v>0</v>
          </cell>
          <cell r="P63">
            <v>0</v>
          </cell>
          <cell r="Q63">
            <v>0</v>
          </cell>
          <cell r="R63">
            <v>0</v>
          </cell>
          <cell r="S63">
            <v>0</v>
          </cell>
          <cell r="T63">
            <v>0</v>
          </cell>
          <cell r="U63">
            <v>0</v>
          </cell>
        </row>
        <row r="64">
          <cell r="A64" t="str">
            <v>AM</v>
          </cell>
          <cell r="B64" t="str">
            <v>Atual. Moeda - Veículos</v>
          </cell>
          <cell r="C64" t="str">
            <v>-</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row>
        <row r="65">
          <cell r="A65" t="str">
            <v>CI</v>
          </cell>
          <cell r="B65" t="str">
            <v>Captura de Investimentos</v>
          </cell>
          <cell r="C65" t="str">
            <v>-</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row>
        <row r="66">
          <cell r="A66" t="str">
            <v>GE00918</v>
          </cell>
          <cell r="B66" t="str">
            <v>Planejamento Macroprojeto 2-3-5</v>
          </cell>
          <cell r="C66" t="str">
            <v>INFR.235.01018</v>
          </cell>
          <cell r="D66">
            <v>1618</v>
          </cell>
          <cell r="E66">
            <v>0</v>
          </cell>
          <cell r="F66">
            <v>1618</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row>
        <row r="67">
          <cell r="A67" t="str">
            <v>NA</v>
          </cell>
          <cell r="B67" t="str">
            <v>Laudos a Serem Apresentados</v>
          </cell>
          <cell r="C67" t="str">
            <v>-</v>
          </cell>
          <cell r="D67">
            <v>2058</v>
          </cell>
          <cell r="E67">
            <v>0</v>
          </cell>
          <cell r="F67">
            <v>0</v>
          </cell>
          <cell r="G67">
            <v>0</v>
          </cell>
          <cell r="H67">
            <v>0</v>
          </cell>
          <cell r="I67">
            <v>0</v>
          </cell>
          <cell r="J67">
            <v>0</v>
          </cell>
          <cell r="K67">
            <v>0</v>
          </cell>
          <cell r="L67">
            <v>0</v>
          </cell>
          <cell r="M67">
            <v>0</v>
          </cell>
          <cell r="N67">
            <v>0</v>
          </cell>
          <cell r="O67">
            <v>1050</v>
          </cell>
          <cell r="P67">
            <v>1008</v>
          </cell>
          <cell r="Q67">
            <v>0</v>
          </cell>
          <cell r="R67">
            <v>0</v>
          </cell>
          <cell r="S67">
            <v>0</v>
          </cell>
          <cell r="T67">
            <v>0</v>
          </cell>
          <cell r="U67">
            <v>0</v>
          </cell>
        </row>
        <row r="68">
          <cell r="A68" t="str">
            <v>SR</v>
          </cell>
          <cell r="B68" t="str">
            <v>Saldo Residual</v>
          </cell>
          <cell r="C68" t="str">
            <v>-</v>
          </cell>
          <cell r="D68">
            <v>9.9999999999909106E-2</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row>
        <row r="69">
          <cell r="A69" t="str">
            <v>AM</v>
          </cell>
          <cell r="B69" t="str">
            <v xml:space="preserve">Atual. Moeda - Ferramentas e Equipamentos </v>
          </cell>
          <cell r="C69" t="str">
            <v>-</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row>
        <row r="70">
          <cell r="A70" t="str">
            <v>CI</v>
          </cell>
          <cell r="B70" t="str">
            <v>Captura de Investimentos</v>
          </cell>
          <cell r="C70" t="str">
            <v>-</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row>
        <row r="71">
          <cell r="A71" t="str">
            <v>GE00718</v>
          </cell>
          <cell r="B71" t="str">
            <v>Planejamento Macroprojeto 2-3-6</v>
          </cell>
          <cell r="C71" t="str">
            <v>INFR.236.00818</v>
          </cell>
          <cell r="D71">
            <v>1815</v>
          </cell>
          <cell r="E71">
            <v>0</v>
          </cell>
          <cell r="F71">
            <v>1815</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row>
        <row r="72">
          <cell r="A72" t="str">
            <v>MT00516</v>
          </cell>
          <cell r="B72" t="str">
            <v>Ferramentas 2016 - MT</v>
          </cell>
          <cell r="C72" t="str">
            <v>INAT/16/FE</v>
          </cell>
          <cell r="D72">
            <v>0</v>
          </cell>
          <cell r="E72">
            <v>0</v>
          </cell>
          <cell r="F72">
            <v>0</v>
          </cell>
          <cell r="G72">
            <v>5</v>
          </cell>
          <cell r="H72">
            <v>0</v>
          </cell>
          <cell r="I72">
            <v>3.91975998878479</v>
          </cell>
          <cell r="J72">
            <v>0</v>
          </cell>
          <cell r="K72">
            <v>3.91975998878479</v>
          </cell>
          <cell r="L72">
            <v>0</v>
          </cell>
          <cell r="M72">
            <v>3.91975998878479</v>
          </cell>
          <cell r="N72">
            <v>0</v>
          </cell>
          <cell r="O72">
            <v>0</v>
          </cell>
          <cell r="P72">
            <v>0</v>
          </cell>
          <cell r="Q72">
            <v>0</v>
          </cell>
          <cell r="R72">
            <v>0</v>
          </cell>
          <cell r="S72">
            <v>0</v>
          </cell>
          <cell r="T72">
            <v>0</v>
          </cell>
          <cell r="U72">
            <v>0</v>
          </cell>
        </row>
        <row r="73">
          <cell r="A73" t="str">
            <v>MT01017</v>
          </cell>
          <cell r="B73" t="str">
            <v>Ferramentas de Manutenção (Ciclo 2017-2025) - MT</v>
          </cell>
          <cell r="C73" t="str">
            <v>INAT/18/FE</v>
          </cell>
          <cell r="D73">
            <v>0</v>
          </cell>
          <cell r="E73">
            <v>0</v>
          </cell>
          <cell r="F73">
            <v>0</v>
          </cell>
          <cell r="G73">
            <v>1088</v>
          </cell>
          <cell r="H73">
            <v>0</v>
          </cell>
          <cell r="I73">
            <v>0</v>
          </cell>
          <cell r="J73">
            <v>0</v>
          </cell>
          <cell r="K73">
            <v>0</v>
          </cell>
          <cell r="L73">
            <v>2.5</v>
          </cell>
          <cell r="M73">
            <v>2.5</v>
          </cell>
          <cell r="N73">
            <v>0</v>
          </cell>
          <cell r="O73">
            <v>0</v>
          </cell>
          <cell r="P73">
            <v>0</v>
          </cell>
          <cell r="Q73">
            <v>0</v>
          </cell>
          <cell r="R73">
            <v>0</v>
          </cell>
          <cell r="S73">
            <v>0</v>
          </cell>
          <cell r="T73">
            <v>0</v>
          </cell>
          <cell r="U73">
            <v>0</v>
          </cell>
        </row>
        <row r="74">
          <cell r="A74" t="str">
            <v>NA</v>
          </cell>
          <cell r="B74" t="str">
            <v>Ferramentas e Equipamentos - T (Ciclo 2017 - 2025)</v>
          </cell>
          <cell r="C74" t="str">
            <v>-</v>
          </cell>
          <cell r="D74">
            <v>4823</v>
          </cell>
          <cell r="E74">
            <v>0</v>
          </cell>
          <cell r="F74">
            <v>0</v>
          </cell>
          <cell r="G74">
            <v>0</v>
          </cell>
          <cell r="H74">
            <v>0</v>
          </cell>
          <cell r="I74">
            <v>0</v>
          </cell>
          <cell r="J74">
            <v>0</v>
          </cell>
          <cell r="K74">
            <v>0</v>
          </cell>
          <cell r="L74">
            <v>0</v>
          </cell>
          <cell r="M74">
            <v>0</v>
          </cell>
          <cell r="N74">
            <v>1496</v>
          </cell>
          <cell r="O74">
            <v>777</v>
          </cell>
          <cell r="P74">
            <v>2550</v>
          </cell>
          <cell r="Q74">
            <v>0</v>
          </cell>
          <cell r="R74">
            <v>0</v>
          </cell>
          <cell r="S74">
            <v>0</v>
          </cell>
          <cell r="T74">
            <v>0</v>
          </cell>
          <cell r="U74">
            <v>0</v>
          </cell>
        </row>
        <row r="75">
          <cell r="A75" t="str">
            <v>PO00417</v>
          </cell>
          <cell r="B75" t="str">
            <v>Aquisição de Diversos Equipamentos</v>
          </cell>
          <cell r="C75" t="str">
            <v>INGT/18/783/FERR</v>
          </cell>
          <cell r="D75">
            <v>0</v>
          </cell>
          <cell r="E75">
            <v>0</v>
          </cell>
          <cell r="F75">
            <v>0</v>
          </cell>
          <cell r="G75">
            <v>126</v>
          </cell>
          <cell r="H75">
            <v>0</v>
          </cell>
          <cell r="I75">
            <v>0</v>
          </cell>
          <cell r="J75">
            <v>0</v>
          </cell>
          <cell r="K75">
            <v>0</v>
          </cell>
          <cell r="L75">
            <v>106.54799938201904</v>
          </cell>
          <cell r="M75">
            <v>106.54799938201904</v>
          </cell>
          <cell r="N75">
            <v>0</v>
          </cell>
          <cell r="O75">
            <v>0</v>
          </cell>
          <cell r="P75">
            <v>0</v>
          </cell>
          <cell r="Q75">
            <v>0</v>
          </cell>
          <cell r="R75">
            <v>0</v>
          </cell>
          <cell r="S75">
            <v>0</v>
          </cell>
          <cell r="T75">
            <v>0</v>
          </cell>
          <cell r="U75">
            <v>0</v>
          </cell>
        </row>
        <row r="76">
          <cell r="A76" t="str">
            <v>SR</v>
          </cell>
          <cell r="B76" t="str">
            <v>Saldo Residual</v>
          </cell>
          <cell r="C76" t="str">
            <v>-</v>
          </cell>
          <cell r="D76">
            <v>9.9920072216264089E-16</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row>
        <row r="77">
          <cell r="A77" t="str">
            <v>2509/10</v>
          </cell>
          <cell r="B77" t="str">
            <v>Programa de Substituição e Modernização de Ferramentas p/ DDC</v>
          </cell>
          <cell r="C77" t="str">
            <v>PIGD.10.905.O1.GF</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row>
        <row r="78">
          <cell r="A78" t="str">
            <v>2556/10</v>
          </cell>
          <cell r="B78" t="str">
            <v>Ferramentas e Equipamentos para PE</v>
          </cell>
          <cell r="C78" t="str">
            <v>PIGD.10.178.O1.GF</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row>
        <row r="79">
          <cell r="A79" t="str">
            <v>2710/11</v>
          </cell>
          <cell r="B79" t="str">
            <v>Ferramentas p/ Equipes de Inspeções em LT</v>
          </cell>
          <cell r="C79" t="str">
            <v>PIGD.11.856.O1.GF</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row>
        <row r="80">
          <cell r="A80" t="str">
            <v>2716/11</v>
          </cell>
          <cell r="B80" t="str">
            <v>Ferramentas p/ MD, PE, PR</v>
          </cell>
          <cell r="C80" t="str">
            <v>PIGD.11.896.O1.GF</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row>
        <row r="81">
          <cell r="A81" t="str">
            <v>2717/11</v>
          </cell>
          <cell r="B81" t="str">
            <v>Ferramentas Operacionais SD/LS</v>
          </cell>
          <cell r="C81" t="str">
            <v>PIGD.11.896.O2.GF</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row>
        <row r="82">
          <cell r="A82" t="str">
            <v>2854/11</v>
          </cell>
          <cell r="B82" t="str">
            <v>Termovisor para Inspeções em LT</v>
          </cell>
          <cell r="C82" t="str">
            <v>PIGD.11.856.O2.GF</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row>
        <row r="83">
          <cell r="A83" t="str">
            <v>2896/11</v>
          </cell>
          <cell r="B83" t="str">
            <v>Ferramentas Operacionais para CD/DDC</v>
          </cell>
          <cell r="C83" t="str">
            <v>PIGD.11.896.O3.GF</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row>
        <row r="84">
          <cell r="A84" t="str">
            <v>2922/11</v>
          </cell>
          <cell r="B84" t="str">
            <v>Ferramentas DDC 2012</v>
          </cell>
          <cell r="C84" t="str">
            <v>PIGD.11.896.O4.GF</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row>
        <row r="85">
          <cell r="A85" t="str">
            <v>AM</v>
          </cell>
          <cell r="B85" t="str">
            <v xml:space="preserve">Atual. Moeda - Ferramentas </v>
          </cell>
          <cell r="C85" t="str">
            <v>-</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row>
        <row r="86">
          <cell r="A86" t="str">
            <v>CD00116</v>
          </cell>
          <cell r="B86" t="str">
            <v>Notebooks para Manutenção de Rede</v>
          </cell>
          <cell r="C86" t="str">
            <v>PIGD.16.687.O1.GF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row>
        <row r="87">
          <cell r="A87" t="str">
            <v>CD00315</v>
          </cell>
          <cell r="B87" t="str">
            <v>Ferramentas DDC 2015</v>
          </cell>
          <cell r="C87" t="str">
            <v>3CPOCD00315</v>
          </cell>
          <cell r="D87">
            <v>0</v>
          </cell>
          <cell r="E87">
            <v>0</v>
          </cell>
          <cell r="F87">
            <v>0</v>
          </cell>
          <cell r="G87">
            <v>13</v>
          </cell>
          <cell r="H87">
            <v>0</v>
          </cell>
          <cell r="I87">
            <v>12.704649925231934</v>
          </cell>
          <cell r="J87">
            <v>0</v>
          </cell>
          <cell r="K87">
            <v>12.704649925231934</v>
          </cell>
          <cell r="L87">
            <v>0</v>
          </cell>
          <cell r="M87">
            <v>12.704649925231934</v>
          </cell>
          <cell r="N87">
            <v>0</v>
          </cell>
          <cell r="O87">
            <v>0</v>
          </cell>
          <cell r="P87">
            <v>0</v>
          </cell>
          <cell r="Q87">
            <v>0</v>
          </cell>
          <cell r="R87">
            <v>0</v>
          </cell>
          <cell r="S87">
            <v>0</v>
          </cell>
          <cell r="T87">
            <v>0</v>
          </cell>
          <cell r="U87">
            <v>0</v>
          </cell>
        </row>
        <row r="88">
          <cell r="A88" t="str">
            <v>CI</v>
          </cell>
          <cell r="B88" t="str">
            <v>Captura de Investimentos</v>
          </cell>
          <cell r="C88" t="str">
            <v>-</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row>
        <row r="89">
          <cell r="A89" t="str">
            <v>GE00118</v>
          </cell>
          <cell r="B89" t="str">
            <v>Planejamento Macroprojeto 3-4-1</v>
          </cell>
          <cell r="C89" t="str">
            <v>INFR.341.00118</v>
          </cell>
          <cell r="D89">
            <v>2417</v>
          </cell>
          <cell r="E89">
            <v>0</v>
          </cell>
          <cell r="F89">
            <v>2417</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row>
        <row r="90">
          <cell r="A90" t="str">
            <v>NA</v>
          </cell>
          <cell r="B90" t="str">
            <v>Laudos a Serem Apresentados</v>
          </cell>
          <cell r="C90" t="str">
            <v>-</v>
          </cell>
          <cell r="D90">
            <v>11667</v>
          </cell>
          <cell r="E90">
            <v>0</v>
          </cell>
          <cell r="F90">
            <v>0</v>
          </cell>
          <cell r="G90">
            <v>0</v>
          </cell>
          <cell r="H90">
            <v>0</v>
          </cell>
          <cell r="I90">
            <v>0</v>
          </cell>
          <cell r="J90">
            <v>0</v>
          </cell>
          <cell r="K90">
            <v>0</v>
          </cell>
          <cell r="L90">
            <v>0</v>
          </cell>
          <cell r="M90">
            <v>0</v>
          </cell>
          <cell r="N90">
            <v>2235</v>
          </cell>
          <cell r="O90">
            <v>3005</v>
          </cell>
          <cell r="P90">
            <v>3898</v>
          </cell>
          <cell r="Q90">
            <v>2529</v>
          </cell>
          <cell r="R90">
            <v>0</v>
          </cell>
          <cell r="S90">
            <v>0</v>
          </cell>
          <cell r="T90">
            <v>0</v>
          </cell>
          <cell r="U90">
            <v>0</v>
          </cell>
        </row>
        <row r="91">
          <cell r="A91" t="str">
            <v>SR</v>
          </cell>
          <cell r="B91" t="str">
            <v>Saldo Residual</v>
          </cell>
          <cell r="C91" t="str">
            <v>-</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row>
        <row r="92">
          <cell r="A92" t="str">
            <v>AM</v>
          </cell>
          <cell r="B92" t="str">
            <v xml:space="preserve">Atual. Moeda - Edificações e complementos </v>
          </cell>
          <cell r="C92" t="str">
            <v>-</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row>
        <row r="93">
          <cell r="A93" t="str">
            <v>CD00115</v>
          </cell>
          <cell r="B93" t="str">
            <v>Sistema Videowall do COD</v>
          </cell>
          <cell r="C93" t="str">
            <v>PIGD.15.170.O1.GE</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row>
        <row r="94">
          <cell r="A94" t="str">
            <v>CD00215</v>
          </cell>
          <cell r="B94" t="str">
            <v>Equipamentos de Infraestrutura para DDC 2015</v>
          </cell>
          <cell r="C94" t="str">
            <v>PIGD.15.687.O1.GE</v>
          </cell>
          <cell r="D94">
            <v>0</v>
          </cell>
          <cell r="E94">
            <v>0</v>
          </cell>
          <cell r="F94">
            <v>0</v>
          </cell>
          <cell r="G94">
            <v>56</v>
          </cell>
          <cell r="H94">
            <v>0</v>
          </cell>
          <cell r="I94">
            <v>54.296999216079712</v>
          </cell>
          <cell r="J94">
            <v>0</v>
          </cell>
          <cell r="K94">
            <v>54.296999216079712</v>
          </cell>
          <cell r="L94">
            <v>0</v>
          </cell>
          <cell r="M94">
            <v>54.296999216079712</v>
          </cell>
          <cell r="N94">
            <v>0</v>
          </cell>
          <cell r="O94">
            <v>0</v>
          </cell>
          <cell r="P94">
            <v>0</v>
          </cell>
          <cell r="Q94">
            <v>0</v>
          </cell>
          <cell r="R94">
            <v>0</v>
          </cell>
          <cell r="S94">
            <v>0</v>
          </cell>
          <cell r="T94">
            <v>0</v>
          </cell>
          <cell r="U94">
            <v>0</v>
          </cell>
        </row>
        <row r="95">
          <cell r="A95" t="str">
            <v>CI</v>
          </cell>
          <cell r="B95" t="str">
            <v>Captura de Investimentos</v>
          </cell>
          <cell r="C95" t="str">
            <v>-</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row>
        <row r="96">
          <cell r="A96" t="str">
            <v>GE00214</v>
          </cell>
          <cell r="B96" t="str">
            <v>Projeto de CFTV e Conectividade do Edifício Julio Soares</v>
          </cell>
          <cell r="C96" t="str">
            <v>INFR.342.00414</v>
          </cell>
          <cell r="D96">
            <v>0</v>
          </cell>
          <cell r="E96">
            <v>0</v>
          </cell>
          <cell r="F96">
            <v>0</v>
          </cell>
          <cell r="G96">
            <v>2</v>
          </cell>
          <cell r="H96">
            <v>0</v>
          </cell>
          <cell r="I96">
            <v>1.7749999761581421</v>
          </cell>
          <cell r="J96">
            <v>0</v>
          </cell>
          <cell r="K96">
            <v>1.7749999761581421</v>
          </cell>
          <cell r="L96">
            <v>0</v>
          </cell>
          <cell r="M96">
            <v>1.7749999761581421</v>
          </cell>
          <cell r="N96">
            <v>0</v>
          </cell>
          <cell r="O96">
            <v>0</v>
          </cell>
          <cell r="P96">
            <v>0</v>
          </cell>
          <cell r="Q96">
            <v>0</v>
          </cell>
          <cell r="R96">
            <v>0</v>
          </cell>
          <cell r="S96">
            <v>0</v>
          </cell>
          <cell r="T96">
            <v>0</v>
          </cell>
          <cell r="U96">
            <v>0</v>
          </cell>
        </row>
        <row r="97">
          <cell r="A97" t="str">
            <v>GE00218</v>
          </cell>
          <cell r="B97" t="str">
            <v>Planejamento Macroprojeto 3-4-2</v>
          </cell>
          <cell r="C97" t="str">
            <v>INFR.341.00218</v>
          </cell>
          <cell r="D97">
            <v>6259</v>
          </cell>
          <cell r="E97">
            <v>0</v>
          </cell>
          <cell r="F97">
            <v>6259</v>
          </cell>
          <cell r="G97">
            <v>0</v>
          </cell>
          <cell r="H97">
            <v>62</v>
          </cell>
          <cell r="I97">
            <v>0</v>
          </cell>
          <cell r="J97">
            <v>0</v>
          </cell>
          <cell r="K97">
            <v>0</v>
          </cell>
          <cell r="L97">
            <v>0</v>
          </cell>
          <cell r="M97">
            <v>0</v>
          </cell>
          <cell r="N97">
            <v>0</v>
          </cell>
          <cell r="O97">
            <v>0</v>
          </cell>
          <cell r="P97">
            <v>0</v>
          </cell>
          <cell r="Q97">
            <v>0</v>
          </cell>
          <cell r="R97">
            <v>0</v>
          </cell>
          <cell r="S97">
            <v>0</v>
          </cell>
          <cell r="T97">
            <v>0</v>
          </cell>
          <cell r="U97">
            <v>0</v>
          </cell>
        </row>
        <row r="98">
          <cell r="A98" t="str">
            <v>NA</v>
          </cell>
          <cell r="B98" t="str">
            <v>Laudos a Serem Apresentados</v>
          </cell>
          <cell r="C98" t="str">
            <v>-</v>
          </cell>
          <cell r="D98">
            <v>34192</v>
          </cell>
          <cell r="E98">
            <v>0</v>
          </cell>
          <cell r="F98">
            <v>0</v>
          </cell>
          <cell r="G98">
            <v>0</v>
          </cell>
          <cell r="H98">
            <v>0</v>
          </cell>
          <cell r="I98">
            <v>0</v>
          </cell>
          <cell r="J98">
            <v>0</v>
          </cell>
          <cell r="K98">
            <v>0</v>
          </cell>
          <cell r="L98">
            <v>0</v>
          </cell>
          <cell r="M98">
            <v>0</v>
          </cell>
          <cell r="N98">
            <v>8703</v>
          </cell>
          <cell r="O98">
            <v>9836</v>
          </cell>
          <cell r="P98">
            <v>9596</v>
          </cell>
          <cell r="Q98">
            <v>6057</v>
          </cell>
          <cell r="R98">
            <v>0</v>
          </cell>
          <cell r="S98">
            <v>0</v>
          </cell>
          <cell r="T98">
            <v>0</v>
          </cell>
          <cell r="U98">
            <v>0</v>
          </cell>
        </row>
        <row r="99">
          <cell r="A99" t="str">
            <v>SC00117</v>
          </cell>
          <cell r="B99" t="str">
            <v>CDI - Sete Lagoas - Execução de reforço do talude e obra de drenagem</v>
          </cell>
          <cell r="C99" t="str">
            <v>INFR.342.00117</v>
          </cell>
          <cell r="D99">
            <v>0</v>
          </cell>
          <cell r="E99">
            <v>0</v>
          </cell>
          <cell r="F99">
            <v>0</v>
          </cell>
          <cell r="G99">
            <v>250</v>
          </cell>
          <cell r="H99">
            <v>0</v>
          </cell>
          <cell r="I99">
            <v>0</v>
          </cell>
          <cell r="J99">
            <v>0</v>
          </cell>
          <cell r="K99">
            <v>0</v>
          </cell>
          <cell r="L99">
            <v>51.18402099609375</v>
          </cell>
          <cell r="M99">
            <v>51.18402099609375</v>
          </cell>
          <cell r="N99">
            <v>0</v>
          </cell>
          <cell r="O99">
            <v>0</v>
          </cell>
          <cell r="P99">
            <v>0</v>
          </cell>
          <cell r="Q99">
            <v>0</v>
          </cell>
          <cell r="R99">
            <v>0</v>
          </cell>
          <cell r="S99">
            <v>0</v>
          </cell>
          <cell r="T99">
            <v>0</v>
          </cell>
          <cell r="U99">
            <v>0</v>
          </cell>
        </row>
        <row r="100">
          <cell r="A100" t="str">
            <v>SR</v>
          </cell>
          <cell r="B100" t="str">
            <v>Saldo Residual</v>
          </cell>
          <cell r="C100" t="str">
            <v>-</v>
          </cell>
          <cell r="D100">
            <v>0.5</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row>
        <row r="101">
          <cell r="A101" t="str">
            <v>AM</v>
          </cell>
          <cell r="B101" t="str">
            <v xml:space="preserve">Atual. Moeda - Telecomunicações (Aureliano Chaves) </v>
          </cell>
          <cell r="C101" t="str">
            <v>-</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row>
        <row r="102">
          <cell r="A102" t="str">
            <v>CI</v>
          </cell>
          <cell r="B102" t="str">
            <v>Captura de Investimentos</v>
          </cell>
          <cell r="C102" t="str">
            <v>-</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row>
        <row r="103">
          <cell r="A103" t="str">
            <v>NA</v>
          </cell>
          <cell r="B103" t="str">
            <v>Laudos a Serem Apresentados</v>
          </cell>
          <cell r="C103" t="str">
            <v>-</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row>
        <row r="104">
          <cell r="A104" t="str">
            <v>SR</v>
          </cell>
          <cell r="B104" t="str">
            <v>Saldo Residual</v>
          </cell>
          <cell r="C104" t="str">
            <v>-</v>
          </cell>
          <cell r="D104">
            <v>-1</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row>
        <row r="105">
          <cell r="A105" t="str">
            <v>TI01518</v>
          </cell>
          <cell r="B105" t="str">
            <v>Planejamento Macroprojeto 3-4-3-1</v>
          </cell>
          <cell r="C105" t="str">
            <v>TINV.18.D.054.PP</v>
          </cell>
          <cell r="D105">
            <v>34563</v>
          </cell>
          <cell r="E105">
            <v>0</v>
          </cell>
          <cell r="F105">
            <v>4112</v>
          </cell>
          <cell r="G105">
            <v>0</v>
          </cell>
          <cell r="H105">
            <v>0</v>
          </cell>
          <cell r="I105">
            <v>0</v>
          </cell>
          <cell r="J105">
            <v>0</v>
          </cell>
          <cell r="K105">
            <v>0</v>
          </cell>
          <cell r="L105">
            <v>0</v>
          </cell>
          <cell r="M105">
            <v>0</v>
          </cell>
          <cell r="N105">
            <v>5203</v>
          </cell>
          <cell r="O105">
            <v>8313</v>
          </cell>
          <cell r="P105">
            <v>9847</v>
          </cell>
          <cell r="Q105">
            <v>7088</v>
          </cell>
          <cell r="R105">
            <v>0</v>
          </cell>
          <cell r="S105">
            <v>0</v>
          </cell>
          <cell r="T105">
            <v>0</v>
          </cell>
          <cell r="U105">
            <v>0</v>
          </cell>
        </row>
        <row r="106">
          <cell r="A106" t="str">
            <v>TI02918</v>
          </cell>
          <cell r="B106" t="str">
            <v>Plano de Atendimento de Telecom da Base Operativa de São Gabriel</v>
          </cell>
          <cell r="C106" t="str">
            <v>TINV.18.D.054.SG</v>
          </cell>
          <cell r="D106">
            <v>0</v>
          </cell>
          <cell r="E106">
            <v>0</v>
          </cell>
          <cell r="F106">
            <v>0</v>
          </cell>
          <cell r="G106">
            <v>367</v>
          </cell>
          <cell r="H106">
            <v>0</v>
          </cell>
          <cell r="I106">
            <v>0</v>
          </cell>
          <cell r="J106">
            <v>0</v>
          </cell>
          <cell r="K106">
            <v>0</v>
          </cell>
          <cell r="L106">
            <v>341.78379249572754</v>
          </cell>
          <cell r="M106">
            <v>341.78379249572754</v>
          </cell>
          <cell r="N106">
            <v>0</v>
          </cell>
          <cell r="O106">
            <v>0</v>
          </cell>
          <cell r="P106">
            <v>0</v>
          </cell>
          <cell r="Q106">
            <v>0</v>
          </cell>
          <cell r="R106">
            <v>0</v>
          </cell>
          <cell r="S106">
            <v>0</v>
          </cell>
          <cell r="T106">
            <v>0</v>
          </cell>
          <cell r="U106">
            <v>0</v>
          </cell>
        </row>
        <row r="107">
          <cell r="A107" t="str">
            <v>TI03118</v>
          </cell>
          <cell r="B107" t="str">
            <v>Projeto Sigma - Substituição dos Gateways Mediant 1000</v>
          </cell>
          <cell r="C107" t="str">
            <v>TINV.18.D.054.PS</v>
          </cell>
          <cell r="D107">
            <v>0</v>
          </cell>
          <cell r="E107">
            <v>0</v>
          </cell>
          <cell r="F107">
            <v>0</v>
          </cell>
          <cell r="G107">
            <v>108</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row>
        <row r="108">
          <cell r="A108" t="str">
            <v>AM</v>
          </cell>
          <cell r="B108" t="str">
            <v xml:space="preserve">Atual. Moeda - Microinformática </v>
          </cell>
          <cell r="C108" t="str">
            <v>-</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row>
        <row r="109">
          <cell r="A109" t="str">
            <v>CI</v>
          </cell>
          <cell r="B109" t="str">
            <v>Captura de Investimentos</v>
          </cell>
          <cell r="C109" t="str">
            <v>-</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row>
        <row r="110">
          <cell r="A110" t="str">
            <v>NA</v>
          </cell>
          <cell r="B110" t="str">
            <v>Modernização do Parque de Microinformática - D</v>
          </cell>
          <cell r="C110" t="str">
            <v>-</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row>
        <row r="111">
          <cell r="A111" t="str">
            <v>SR</v>
          </cell>
          <cell r="B111" t="str">
            <v>Saldo Residual</v>
          </cell>
          <cell r="C111" t="str">
            <v>-</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row>
        <row r="112">
          <cell r="A112" t="str">
            <v>TI01318</v>
          </cell>
          <cell r="B112" t="str">
            <v>Planejamento Macroprojeto 3-4-4</v>
          </cell>
          <cell r="C112" t="str">
            <v>TINV.18.D.045.PP</v>
          </cell>
          <cell r="D112">
            <v>25864</v>
          </cell>
          <cell r="E112">
            <v>0</v>
          </cell>
          <cell r="F112">
            <v>4684</v>
          </cell>
          <cell r="G112">
            <v>0</v>
          </cell>
          <cell r="H112">
            <v>0</v>
          </cell>
          <cell r="I112">
            <v>0</v>
          </cell>
          <cell r="J112">
            <v>0</v>
          </cell>
          <cell r="K112">
            <v>0</v>
          </cell>
          <cell r="L112">
            <v>0</v>
          </cell>
          <cell r="M112">
            <v>0</v>
          </cell>
          <cell r="N112">
            <v>15470</v>
          </cell>
          <cell r="O112">
            <v>2660</v>
          </cell>
          <cell r="P112">
            <v>390</v>
          </cell>
          <cell r="Q112">
            <v>2660</v>
          </cell>
          <cell r="R112">
            <v>0</v>
          </cell>
          <cell r="S112">
            <v>0</v>
          </cell>
          <cell r="T112">
            <v>0</v>
          </cell>
          <cell r="U112">
            <v>0</v>
          </cell>
        </row>
        <row r="113">
          <cell r="A113" t="str">
            <v>TI01816</v>
          </cell>
          <cell r="B113" t="str">
            <v>Aquisição Equipamentos Móvel em Campo</v>
          </cell>
          <cell r="C113" t="str">
            <v>TINV.16.D.045.TB</v>
          </cell>
          <cell r="D113">
            <v>0</v>
          </cell>
          <cell r="E113">
            <v>0</v>
          </cell>
          <cell r="F113">
            <v>0</v>
          </cell>
          <cell r="G113">
            <v>280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row>
        <row r="114">
          <cell r="A114" t="str">
            <v>TI04318</v>
          </cell>
          <cell r="B114" t="str">
            <v>Modernização do Parque de Microinformática</v>
          </cell>
          <cell r="C114" t="str">
            <v>TINV.18.D.045.MP</v>
          </cell>
          <cell r="D114">
            <v>0</v>
          </cell>
          <cell r="E114">
            <v>0</v>
          </cell>
          <cell r="F114">
            <v>0</v>
          </cell>
          <cell r="G114">
            <v>4184</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row>
        <row r="115">
          <cell r="A115" t="str">
            <v>AM</v>
          </cell>
          <cell r="B115" t="str">
            <v>Sistema de Informática - Atualização Moeda</v>
          </cell>
          <cell r="C115" t="str">
            <v>-</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row>
        <row r="116">
          <cell r="A116" t="str">
            <v>CI</v>
          </cell>
          <cell r="B116" t="str">
            <v>Captura de Investimentos</v>
          </cell>
          <cell r="C116" t="str">
            <v>-</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row>
        <row r="117">
          <cell r="A117" t="str">
            <v>NA</v>
          </cell>
          <cell r="B117" t="str">
            <v>Atualização Tecnológica p/ Modern. da Infraestrutura da Rede Corporativa</v>
          </cell>
          <cell r="C117" t="str">
            <v>-</v>
          </cell>
          <cell r="D117">
            <v>146128</v>
          </cell>
          <cell r="E117">
            <v>0</v>
          </cell>
          <cell r="F117">
            <v>0</v>
          </cell>
          <cell r="G117">
            <v>0</v>
          </cell>
          <cell r="H117">
            <v>0</v>
          </cell>
          <cell r="I117">
            <v>0</v>
          </cell>
          <cell r="J117">
            <v>0</v>
          </cell>
          <cell r="K117">
            <v>0</v>
          </cell>
          <cell r="L117">
            <v>0</v>
          </cell>
          <cell r="M117">
            <v>0</v>
          </cell>
          <cell r="N117">
            <v>47870</v>
          </cell>
          <cell r="O117">
            <v>49321</v>
          </cell>
          <cell r="P117">
            <v>22590</v>
          </cell>
          <cell r="Q117">
            <v>26347</v>
          </cell>
          <cell r="R117">
            <v>0</v>
          </cell>
          <cell r="S117">
            <v>0</v>
          </cell>
          <cell r="T117">
            <v>0</v>
          </cell>
          <cell r="U117">
            <v>0</v>
          </cell>
        </row>
        <row r="118">
          <cell r="A118" t="str">
            <v>SR</v>
          </cell>
          <cell r="B118" t="str">
            <v>Saldo Residual</v>
          </cell>
          <cell r="C118" t="str">
            <v>-</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row>
        <row r="119">
          <cell r="A119" t="str">
            <v>TI00118</v>
          </cell>
          <cell r="B119" t="str">
            <v>Licenciamento Oracle</v>
          </cell>
          <cell r="C119" t="str">
            <v>TINV.18.D.042.OR</v>
          </cell>
          <cell r="D119">
            <v>0</v>
          </cell>
          <cell r="E119">
            <v>0</v>
          </cell>
          <cell r="F119">
            <v>0</v>
          </cell>
          <cell r="G119">
            <v>479</v>
          </cell>
          <cell r="H119">
            <v>0</v>
          </cell>
          <cell r="I119">
            <v>479.32675170898437</v>
          </cell>
          <cell r="J119">
            <v>0</v>
          </cell>
          <cell r="K119">
            <v>479.32675170898437</v>
          </cell>
          <cell r="L119">
            <v>0</v>
          </cell>
          <cell r="M119">
            <v>479.32675170898437</v>
          </cell>
          <cell r="N119">
            <v>0</v>
          </cell>
          <cell r="O119">
            <v>0</v>
          </cell>
          <cell r="P119">
            <v>0</v>
          </cell>
          <cell r="Q119">
            <v>0</v>
          </cell>
          <cell r="R119">
            <v>0</v>
          </cell>
          <cell r="S119">
            <v>0</v>
          </cell>
          <cell r="T119">
            <v>0</v>
          </cell>
          <cell r="U119">
            <v>0</v>
          </cell>
        </row>
        <row r="120">
          <cell r="A120" t="str">
            <v>TI00216</v>
          </cell>
          <cell r="B120" t="str">
            <v>Desenvolvimento do Módulo Gestão da Inadimplência</v>
          </cell>
          <cell r="C120" t="str">
            <v>TINV.15.D.042.NE</v>
          </cell>
          <cell r="D120">
            <v>0</v>
          </cell>
          <cell r="E120">
            <v>0</v>
          </cell>
          <cell r="F120">
            <v>0</v>
          </cell>
          <cell r="G120">
            <v>14</v>
          </cell>
          <cell r="H120">
            <v>0</v>
          </cell>
          <cell r="I120">
            <v>14.010740280151367</v>
          </cell>
          <cell r="J120">
            <v>0</v>
          </cell>
          <cell r="K120">
            <v>14.010740280151367</v>
          </cell>
          <cell r="L120">
            <v>0</v>
          </cell>
          <cell r="M120">
            <v>14.010740280151367</v>
          </cell>
          <cell r="N120">
            <v>0</v>
          </cell>
          <cell r="O120">
            <v>0</v>
          </cell>
          <cell r="P120">
            <v>0</v>
          </cell>
          <cell r="Q120">
            <v>0</v>
          </cell>
          <cell r="R120">
            <v>0</v>
          </cell>
          <cell r="S120">
            <v>0</v>
          </cell>
          <cell r="T120">
            <v>0</v>
          </cell>
          <cell r="U120">
            <v>0</v>
          </cell>
        </row>
        <row r="121">
          <cell r="A121" t="str">
            <v>TI00316</v>
          </cell>
          <cell r="B121" t="str">
            <v>Desenvolvimento do Módulo Negociação da Inadimplência</v>
          </cell>
          <cell r="C121" t="str">
            <v>TINV.15.D.042.NC</v>
          </cell>
          <cell r="D121">
            <v>0</v>
          </cell>
          <cell r="E121">
            <v>0</v>
          </cell>
          <cell r="F121">
            <v>0</v>
          </cell>
          <cell r="G121">
            <v>10</v>
          </cell>
          <cell r="H121">
            <v>0</v>
          </cell>
          <cell r="I121">
            <v>9.5870800018310547</v>
          </cell>
          <cell r="J121">
            <v>0</v>
          </cell>
          <cell r="K121">
            <v>9.5870800018310547</v>
          </cell>
          <cell r="L121">
            <v>0</v>
          </cell>
          <cell r="M121">
            <v>9.5870800018310547</v>
          </cell>
          <cell r="N121">
            <v>0</v>
          </cell>
          <cell r="O121">
            <v>0</v>
          </cell>
          <cell r="P121">
            <v>0</v>
          </cell>
          <cell r="Q121">
            <v>0</v>
          </cell>
          <cell r="R121">
            <v>0</v>
          </cell>
          <cell r="S121">
            <v>0</v>
          </cell>
          <cell r="T121">
            <v>0</v>
          </cell>
          <cell r="U121">
            <v>0</v>
          </cell>
        </row>
        <row r="122">
          <cell r="A122" t="str">
            <v>TI00416</v>
          </cell>
          <cell r="B122" t="str">
            <v>Desenvolvimento de Melhorias do Sistema Part-APR</v>
          </cell>
          <cell r="C122" t="str">
            <v>TINV.15.D.042.PT</v>
          </cell>
          <cell r="D122">
            <v>0</v>
          </cell>
          <cell r="E122">
            <v>0</v>
          </cell>
          <cell r="F122">
            <v>0</v>
          </cell>
          <cell r="G122">
            <v>11</v>
          </cell>
          <cell r="H122">
            <v>0</v>
          </cell>
          <cell r="I122">
            <v>10.502650260925293</v>
          </cell>
          <cell r="J122">
            <v>0</v>
          </cell>
          <cell r="K122">
            <v>10.502650260925293</v>
          </cell>
          <cell r="L122">
            <v>0</v>
          </cell>
          <cell r="M122">
            <v>10.502650260925293</v>
          </cell>
          <cell r="N122">
            <v>0</v>
          </cell>
          <cell r="O122">
            <v>0</v>
          </cell>
          <cell r="P122">
            <v>0</v>
          </cell>
          <cell r="Q122">
            <v>0</v>
          </cell>
          <cell r="R122">
            <v>0</v>
          </cell>
          <cell r="S122">
            <v>0</v>
          </cell>
          <cell r="T122">
            <v>0</v>
          </cell>
          <cell r="U122">
            <v>0</v>
          </cell>
        </row>
        <row r="123">
          <cell r="A123" t="str">
            <v>TI00417</v>
          </cell>
          <cell r="B123" t="str">
            <v>Desenvolvimento do Sistema PIC</v>
          </cell>
          <cell r="C123" t="str">
            <v>TINV.17.D.042.PI</v>
          </cell>
          <cell r="D123">
            <v>0</v>
          </cell>
          <cell r="E123">
            <v>0</v>
          </cell>
          <cell r="F123">
            <v>0</v>
          </cell>
          <cell r="G123">
            <v>51</v>
          </cell>
          <cell r="H123">
            <v>0</v>
          </cell>
          <cell r="I123">
            <v>50.69175910949707</v>
          </cell>
          <cell r="J123">
            <v>0</v>
          </cell>
          <cell r="K123">
            <v>50.69175910949707</v>
          </cell>
          <cell r="L123">
            <v>0</v>
          </cell>
          <cell r="M123">
            <v>50.69175910949707</v>
          </cell>
          <cell r="N123">
            <v>0</v>
          </cell>
          <cell r="O123">
            <v>0</v>
          </cell>
          <cell r="P123">
            <v>0</v>
          </cell>
          <cell r="Q123">
            <v>0</v>
          </cell>
          <cell r="R123">
            <v>0</v>
          </cell>
          <cell r="S123">
            <v>0</v>
          </cell>
          <cell r="T123">
            <v>0</v>
          </cell>
          <cell r="U123">
            <v>0</v>
          </cell>
        </row>
        <row r="124">
          <cell r="A124" t="str">
            <v>TI00516</v>
          </cell>
          <cell r="B124" t="str">
            <v>Desenvolvimento de Portais e Mapas Geográficos</v>
          </cell>
          <cell r="C124" t="str">
            <v>TINV.16.D.042.MG</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row>
        <row r="125">
          <cell r="A125" t="str">
            <v>TI00517</v>
          </cell>
          <cell r="B125" t="str">
            <v>Construção de Framework de Desenvolvimento</v>
          </cell>
          <cell r="C125" t="str">
            <v>TINV.17.D.042.FR</v>
          </cell>
          <cell r="D125">
            <v>0</v>
          </cell>
          <cell r="E125">
            <v>0</v>
          </cell>
          <cell r="F125">
            <v>0</v>
          </cell>
          <cell r="G125">
            <v>38</v>
          </cell>
          <cell r="H125">
            <v>0</v>
          </cell>
          <cell r="I125">
            <v>38.371688842773438</v>
          </cell>
          <cell r="J125">
            <v>0</v>
          </cell>
          <cell r="K125">
            <v>38.371688842773438</v>
          </cell>
          <cell r="L125">
            <v>0</v>
          </cell>
          <cell r="M125">
            <v>38.371688842773438</v>
          </cell>
          <cell r="N125">
            <v>0</v>
          </cell>
          <cell r="O125">
            <v>0</v>
          </cell>
          <cell r="P125">
            <v>0</v>
          </cell>
          <cell r="Q125">
            <v>0</v>
          </cell>
          <cell r="R125">
            <v>0</v>
          </cell>
          <cell r="S125">
            <v>0</v>
          </cell>
          <cell r="T125">
            <v>0</v>
          </cell>
          <cell r="U125">
            <v>0</v>
          </cell>
        </row>
        <row r="126">
          <cell r="A126" t="str">
            <v>TI00617</v>
          </cell>
          <cell r="B126" t="str">
            <v>Expansão AGV</v>
          </cell>
          <cell r="C126" t="str">
            <v>TINV.17.D.042.AG</v>
          </cell>
          <cell r="D126">
            <v>0</v>
          </cell>
          <cell r="E126">
            <v>0</v>
          </cell>
          <cell r="F126">
            <v>0</v>
          </cell>
          <cell r="G126">
            <v>440</v>
          </cell>
          <cell r="H126">
            <v>0</v>
          </cell>
          <cell r="I126">
            <v>67.5806884765625</v>
          </cell>
          <cell r="J126">
            <v>0</v>
          </cell>
          <cell r="K126">
            <v>67.5806884765625</v>
          </cell>
          <cell r="L126">
            <v>370.58047485351563</v>
          </cell>
          <cell r="M126">
            <v>438.16116333007812</v>
          </cell>
          <cell r="N126">
            <v>0</v>
          </cell>
          <cell r="O126">
            <v>0</v>
          </cell>
          <cell r="P126">
            <v>0</v>
          </cell>
          <cell r="Q126">
            <v>0</v>
          </cell>
          <cell r="R126">
            <v>0</v>
          </cell>
          <cell r="S126">
            <v>0</v>
          </cell>
          <cell r="T126">
            <v>0</v>
          </cell>
          <cell r="U126">
            <v>0</v>
          </cell>
        </row>
        <row r="127">
          <cell r="A127" t="str">
            <v>TI00716</v>
          </cell>
          <cell r="B127" t="str">
            <v>Licenciamento Antivirus</v>
          </cell>
          <cell r="C127" t="str">
            <v>TINV.16.D.045.SY</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row>
        <row r="128">
          <cell r="A128" t="str">
            <v>TI00818</v>
          </cell>
          <cell r="B128" t="str">
            <v>Gateway de Acesso à Internet e Acesso a Email</v>
          </cell>
          <cell r="C128" t="str">
            <v>TINV.18.D.054.GW</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row>
        <row r="129">
          <cell r="A129" t="str">
            <v>TI00914</v>
          </cell>
          <cell r="B129" t="str">
            <v>Evolução e Sustentação Sap</v>
          </cell>
          <cell r="C129" t="str">
            <v>TINV.14.D.042.ES</v>
          </cell>
          <cell r="D129">
            <v>0</v>
          </cell>
          <cell r="E129">
            <v>0</v>
          </cell>
          <cell r="F129">
            <v>0</v>
          </cell>
          <cell r="G129">
            <v>1</v>
          </cell>
          <cell r="H129">
            <v>0</v>
          </cell>
          <cell r="I129">
            <v>0.70899999141693115</v>
          </cell>
          <cell r="J129">
            <v>0</v>
          </cell>
          <cell r="K129">
            <v>0.70899999141693115</v>
          </cell>
          <cell r="L129">
            <v>0</v>
          </cell>
          <cell r="M129">
            <v>0.70899999141693115</v>
          </cell>
          <cell r="N129">
            <v>0</v>
          </cell>
          <cell r="O129">
            <v>0</v>
          </cell>
          <cell r="P129">
            <v>0</v>
          </cell>
          <cell r="Q129">
            <v>0</v>
          </cell>
          <cell r="R129">
            <v>0</v>
          </cell>
          <cell r="S129">
            <v>0</v>
          </cell>
          <cell r="T129">
            <v>0</v>
          </cell>
          <cell r="U129">
            <v>0</v>
          </cell>
        </row>
        <row r="130">
          <cell r="A130" t="str">
            <v>TI00918</v>
          </cell>
          <cell r="B130" t="str">
            <v>Proteção Gateway Exchange</v>
          </cell>
          <cell r="C130" t="str">
            <v>TINV.18.D.054.EX</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row>
        <row r="131">
          <cell r="A131" t="str">
            <v>TI01016</v>
          </cell>
          <cell r="B131" t="str">
            <v>Modernização do Sistema de Aquisição de Dados e Monitoramento do COD e aquisição de EMS</v>
          </cell>
          <cell r="C131" t="str">
            <v>TINV.16.D.042.SC</v>
          </cell>
          <cell r="D131">
            <v>0</v>
          </cell>
          <cell r="E131">
            <v>0</v>
          </cell>
          <cell r="F131">
            <v>0</v>
          </cell>
          <cell r="G131">
            <v>66</v>
          </cell>
          <cell r="H131">
            <v>0</v>
          </cell>
          <cell r="I131">
            <v>66.024219512939453</v>
          </cell>
          <cell r="J131">
            <v>0</v>
          </cell>
          <cell r="K131">
            <v>66.024219512939453</v>
          </cell>
          <cell r="L131">
            <v>0</v>
          </cell>
          <cell r="M131">
            <v>66.024219512939453</v>
          </cell>
          <cell r="N131">
            <v>0</v>
          </cell>
          <cell r="O131">
            <v>0</v>
          </cell>
          <cell r="P131">
            <v>0</v>
          </cell>
          <cell r="Q131">
            <v>0</v>
          </cell>
          <cell r="R131">
            <v>0</v>
          </cell>
          <cell r="S131">
            <v>0</v>
          </cell>
          <cell r="T131">
            <v>0</v>
          </cell>
          <cell r="U131">
            <v>0</v>
          </cell>
        </row>
        <row r="132">
          <cell r="A132" t="str">
            <v>TI01018</v>
          </cell>
          <cell r="B132" t="str">
            <v>Solução de APT</v>
          </cell>
          <cell r="C132" t="str">
            <v>TINV.18.D.054.AP</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row>
        <row r="133">
          <cell r="A133" t="str">
            <v>TI01118</v>
          </cell>
          <cell r="B133" t="str">
            <v>Aquisição de Produtos e Serviços de Segurança da Informação</v>
          </cell>
          <cell r="C133" t="str">
            <v>TINV.18.D.054.SO</v>
          </cell>
          <cell r="D133">
            <v>0</v>
          </cell>
          <cell r="E133">
            <v>0</v>
          </cell>
          <cell r="F133">
            <v>0</v>
          </cell>
          <cell r="G133">
            <v>1606</v>
          </cell>
          <cell r="H133">
            <v>0</v>
          </cell>
          <cell r="I133">
            <v>0</v>
          </cell>
          <cell r="J133">
            <v>0</v>
          </cell>
          <cell r="K133">
            <v>0</v>
          </cell>
          <cell r="L133">
            <v>1236.459716796875</v>
          </cell>
          <cell r="M133">
            <v>1236.459716796875</v>
          </cell>
          <cell r="N133">
            <v>0</v>
          </cell>
          <cell r="O133">
            <v>0</v>
          </cell>
          <cell r="P133">
            <v>0</v>
          </cell>
          <cell r="Q133">
            <v>0</v>
          </cell>
          <cell r="R133">
            <v>0</v>
          </cell>
          <cell r="S133">
            <v>0</v>
          </cell>
          <cell r="T133">
            <v>0</v>
          </cell>
          <cell r="U133">
            <v>0</v>
          </cell>
        </row>
        <row r="134">
          <cell r="A134" t="str">
            <v>TI01213</v>
          </cell>
          <cell r="B134" t="str">
            <v xml:space="preserve">Edifício Aureliano Chaves - Infraestrutura de Conectividade de Rede, Wireless e Segurança </v>
          </cell>
          <cell r="C134" t="str">
            <v>TINV.13.D.045.AC</v>
          </cell>
          <cell r="D134">
            <v>0</v>
          </cell>
          <cell r="E134">
            <v>0</v>
          </cell>
          <cell r="F134">
            <v>0</v>
          </cell>
          <cell r="G134">
            <v>0</v>
          </cell>
          <cell r="H134">
            <v>0</v>
          </cell>
          <cell r="I134">
            <v>-0.51274001598358154</v>
          </cell>
          <cell r="J134">
            <v>0</v>
          </cell>
          <cell r="K134">
            <v>-0.51274001598358154</v>
          </cell>
          <cell r="L134">
            <v>0</v>
          </cell>
          <cell r="M134">
            <v>-0.51274001598358154</v>
          </cell>
          <cell r="N134">
            <v>0</v>
          </cell>
          <cell r="O134">
            <v>0</v>
          </cell>
          <cell r="P134">
            <v>0</v>
          </cell>
          <cell r="Q134">
            <v>0</v>
          </cell>
          <cell r="R134">
            <v>0</v>
          </cell>
          <cell r="S134">
            <v>0</v>
          </cell>
          <cell r="T134">
            <v>0</v>
          </cell>
          <cell r="U134">
            <v>0</v>
          </cell>
        </row>
        <row r="135">
          <cell r="A135" t="str">
            <v>TI01218</v>
          </cell>
          <cell r="B135" t="str">
            <v>Softwares de gerência de rede Cisco</v>
          </cell>
          <cell r="C135" t="str">
            <v>TINV.18.D.054.GR</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row>
        <row r="136">
          <cell r="A136" t="str">
            <v>TI01317</v>
          </cell>
          <cell r="B136" t="str">
            <v>Portal Geográfico de Meteorologia</v>
          </cell>
          <cell r="C136" t="str">
            <v>TINV.17.D.042.PG</v>
          </cell>
          <cell r="D136">
            <v>0</v>
          </cell>
          <cell r="E136">
            <v>0</v>
          </cell>
          <cell r="F136">
            <v>0</v>
          </cell>
          <cell r="G136">
            <v>85</v>
          </cell>
          <cell r="H136">
            <v>0</v>
          </cell>
          <cell r="I136">
            <v>84.535680770874023</v>
          </cell>
          <cell r="J136">
            <v>0</v>
          </cell>
          <cell r="K136">
            <v>84.535680770874023</v>
          </cell>
          <cell r="L136">
            <v>0</v>
          </cell>
          <cell r="M136">
            <v>84.535680770874023</v>
          </cell>
          <cell r="N136">
            <v>0</v>
          </cell>
          <cell r="O136">
            <v>0</v>
          </cell>
          <cell r="P136">
            <v>0</v>
          </cell>
          <cell r="Q136">
            <v>0</v>
          </cell>
          <cell r="R136">
            <v>0</v>
          </cell>
          <cell r="S136">
            <v>0</v>
          </cell>
          <cell r="T136">
            <v>0</v>
          </cell>
          <cell r="U136">
            <v>0</v>
          </cell>
        </row>
        <row r="137">
          <cell r="A137" t="str">
            <v>TI01418</v>
          </cell>
          <cell r="B137" t="str">
            <v>Planejamento Macroprojeto 3-4-5</v>
          </cell>
          <cell r="C137" t="str">
            <v>TINV.18.D.042.PP</v>
          </cell>
          <cell r="D137">
            <v>57967</v>
          </cell>
          <cell r="E137">
            <v>0</v>
          </cell>
          <cell r="F137">
            <v>54226</v>
          </cell>
          <cell r="G137">
            <v>0</v>
          </cell>
          <cell r="H137">
            <v>4242</v>
          </cell>
          <cell r="I137">
            <v>0</v>
          </cell>
          <cell r="J137">
            <v>0</v>
          </cell>
          <cell r="K137">
            <v>0</v>
          </cell>
          <cell r="L137">
            <v>0</v>
          </cell>
          <cell r="M137">
            <v>0</v>
          </cell>
          <cell r="N137">
            <v>3441</v>
          </cell>
          <cell r="O137">
            <v>300</v>
          </cell>
          <cell r="P137">
            <v>0</v>
          </cell>
          <cell r="Q137">
            <v>0</v>
          </cell>
          <cell r="R137">
            <v>0</v>
          </cell>
          <cell r="S137">
            <v>0</v>
          </cell>
          <cell r="T137">
            <v>0</v>
          </cell>
          <cell r="U137">
            <v>0</v>
          </cell>
        </row>
        <row r="138">
          <cell r="A138" t="str">
            <v>TI01616</v>
          </cell>
          <cell r="B138" t="str">
            <v>Desenvolvimento Sistema Volt</v>
          </cell>
          <cell r="C138" t="str">
            <v>TINV.16.D.042.VL</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row>
        <row r="139">
          <cell r="A139" t="str">
            <v>TI01715</v>
          </cell>
          <cell r="B139" t="str">
            <v>Sustentação e Evolução G-DIS</v>
          </cell>
          <cell r="C139" t="str">
            <v>TINV.15.D.042.GS</v>
          </cell>
          <cell r="D139">
            <v>0</v>
          </cell>
          <cell r="E139">
            <v>0</v>
          </cell>
          <cell r="F139">
            <v>0</v>
          </cell>
          <cell r="G139">
            <v>1800</v>
          </cell>
          <cell r="H139">
            <v>0</v>
          </cell>
          <cell r="I139">
            <v>1705.1062276363373</v>
          </cell>
          <cell r="J139">
            <v>0</v>
          </cell>
          <cell r="K139">
            <v>1705.1062276363373</v>
          </cell>
          <cell r="L139">
            <v>0</v>
          </cell>
          <cell r="M139">
            <v>1705.1062276363373</v>
          </cell>
          <cell r="N139">
            <v>0</v>
          </cell>
          <cell r="O139">
            <v>0</v>
          </cell>
          <cell r="P139">
            <v>0</v>
          </cell>
          <cell r="Q139">
            <v>0</v>
          </cell>
          <cell r="R139">
            <v>0</v>
          </cell>
          <cell r="S139">
            <v>0</v>
          </cell>
          <cell r="T139">
            <v>0</v>
          </cell>
          <cell r="U139">
            <v>0</v>
          </cell>
        </row>
        <row r="140">
          <cell r="A140" t="str">
            <v>TI01813</v>
          </cell>
          <cell r="B140" t="str">
            <v>Projeto de implantação do e-social # SIS</v>
          </cell>
          <cell r="C140" t="str">
            <v>TINV.14.D.042.SO</v>
          </cell>
          <cell r="D140">
            <v>0</v>
          </cell>
          <cell r="E140">
            <v>0</v>
          </cell>
          <cell r="F140">
            <v>0</v>
          </cell>
          <cell r="G140">
            <v>23</v>
          </cell>
          <cell r="H140">
            <v>0</v>
          </cell>
          <cell r="I140">
            <v>23.278350830078125</v>
          </cell>
          <cell r="J140">
            <v>0</v>
          </cell>
          <cell r="K140">
            <v>23.278350830078125</v>
          </cell>
          <cell r="L140">
            <v>0</v>
          </cell>
          <cell r="M140">
            <v>23.278350830078125</v>
          </cell>
          <cell r="N140">
            <v>0</v>
          </cell>
          <cell r="O140">
            <v>0</v>
          </cell>
          <cell r="P140">
            <v>0</v>
          </cell>
          <cell r="Q140">
            <v>0</v>
          </cell>
          <cell r="R140">
            <v>0</v>
          </cell>
          <cell r="S140">
            <v>0</v>
          </cell>
          <cell r="T140">
            <v>0</v>
          </cell>
          <cell r="U140">
            <v>0</v>
          </cell>
        </row>
        <row r="141">
          <cell r="A141" t="str">
            <v>TI02115</v>
          </cell>
          <cell r="B141" t="str">
            <v>Projeto Atlantis - Nova versão dos módulos GDIS CP</v>
          </cell>
          <cell r="C141" t="str">
            <v>TINV.15.D.042.AT</v>
          </cell>
          <cell r="D141">
            <v>0</v>
          </cell>
          <cell r="E141">
            <v>0</v>
          </cell>
          <cell r="F141">
            <v>0</v>
          </cell>
          <cell r="G141">
            <v>163</v>
          </cell>
          <cell r="H141">
            <v>0</v>
          </cell>
          <cell r="I141">
            <v>160.23846435546875</v>
          </cell>
          <cell r="J141">
            <v>0</v>
          </cell>
          <cell r="K141">
            <v>160.23846435546875</v>
          </cell>
          <cell r="L141">
            <v>2.3477599620819092</v>
          </cell>
          <cell r="M141">
            <v>162.58622431755066</v>
          </cell>
          <cell r="N141">
            <v>0</v>
          </cell>
          <cell r="O141">
            <v>0</v>
          </cell>
          <cell r="P141">
            <v>0</v>
          </cell>
          <cell r="Q141">
            <v>0</v>
          </cell>
          <cell r="R141">
            <v>0</v>
          </cell>
          <cell r="S141">
            <v>0</v>
          </cell>
          <cell r="T141">
            <v>0</v>
          </cell>
          <cell r="U141">
            <v>0</v>
          </cell>
        </row>
        <row r="142">
          <cell r="A142" t="str">
            <v>TI02217</v>
          </cell>
          <cell r="B142" t="str">
            <v>Desenvolvimento GEDEX</v>
          </cell>
          <cell r="C142" t="str">
            <v>TINV.17.D.042.GX</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row>
        <row r="143">
          <cell r="A143" t="str">
            <v>TI02316</v>
          </cell>
          <cell r="B143" t="str">
            <v xml:space="preserve">Desenvolvimento do Sistema de Gestão de Fornecedores (SGF) </v>
          </cell>
          <cell r="C143" t="str">
            <v>TINV.16.D.042.SG</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row>
        <row r="144">
          <cell r="A144" t="str">
            <v>TI02318</v>
          </cell>
          <cell r="B144" t="str">
            <v>Portal Geográfico Cemig - GeoPortal</v>
          </cell>
          <cell r="C144" t="str">
            <v>TINV.18.D.042.GP</v>
          </cell>
          <cell r="D144">
            <v>0</v>
          </cell>
          <cell r="E144">
            <v>0</v>
          </cell>
          <cell r="F144">
            <v>0</v>
          </cell>
          <cell r="G144">
            <v>300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row>
        <row r="145">
          <cell r="A145" t="str">
            <v>TI02416</v>
          </cell>
          <cell r="B145" t="str">
            <v>Sistema de Inteligência de Negócios da Engenharia de Operação - SINEOP</v>
          </cell>
          <cell r="C145" t="str">
            <v>TINV.16.D.042.SI</v>
          </cell>
          <cell r="D145">
            <v>0</v>
          </cell>
          <cell r="E145">
            <v>0</v>
          </cell>
          <cell r="F145">
            <v>0</v>
          </cell>
          <cell r="G145">
            <v>373</v>
          </cell>
          <cell r="H145">
            <v>0</v>
          </cell>
          <cell r="I145">
            <v>22.68235969543457</v>
          </cell>
          <cell r="J145">
            <v>0</v>
          </cell>
          <cell r="K145">
            <v>22.68235969543457</v>
          </cell>
          <cell r="L145">
            <v>176.40750122070312</v>
          </cell>
          <cell r="M145">
            <v>199.0898609161377</v>
          </cell>
          <cell r="N145">
            <v>0</v>
          </cell>
          <cell r="O145">
            <v>0</v>
          </cell>
          <cell r="P145">
            <v>0</v>
          </cell>
          <cell r="Q145">
            <v>0</v>
          </cell>
          <cell r="R145">
            <v>0</v>
          </cell>
          <cell r="S145">
            <v>0</v>
          </cell>
          <cell r="T145">
            <v>0</v>
          </cell>
          <cell r="U145">
            <v>0</v>
          </cell>
        </row>
        <row r="146">
          <cell r="A146" t="str">
            <v>TI02418</v>
          </cell>
          <cell r="B146" t="str">
            <v>Licenciamento SAS</v>
          </cell>
          <cell r="C146" t="str">
            <v>TINV.18.D.042.SA</v>
          </cell>
          <cell r="D146">
            <v>0</v>
          </cell>
          <cell r="E146">
            <v>0</v>
          </cell>
          <cell r="F146">
            <v>0</v>
          </cell>
          <cell r="G146">
            <v>693</v>
          </cell>
          <cell r="H146">
            <v>0</v>
          </cell>
          <cell r="I146">
            <v>0</v>
          </cell>
          <cell r="J146">
            <v>0</v>
          </cell>
          <cell r="K146">
            <v>0</v>
          </cell>
          <cell r="L146">
            <v>693.4403076171875</v>
          </cell>
          <cell r="M146">
            <v>693.4403076171875</v>
          </cell>
          <cell r="N146">
            <v>0</v>
          </cell>
          <cell r="O146">
            <v>0</v>
          </cell>
          <cell r="P146">
            <v>0</v>
          </cell>
          <cell r="Q146">
            <v>0</v>
          </cell>
          <cell r="R146">
            <v>0</v>
          </cell>
          <cell r="S146">
            <v>0</v>
          </cell>
          <cell r="T146">
            <v>0</v>
          </cell>
          <cell r="U146">
            <v>0</v>
          </cell>
        </row>
        <row r="147">
          <cell r="A147" t="str">
            <v>TI02515</v>
          </cell>
          <cell r="B147" t="str">
            <v>Evolução PEC</v>
          </cell>
          <cell r="C147" t="str">
            <v>TINV.15.D.042.PE</v>
          </cell>
          <cell r="D147">
            <v>0</v>
          </cell>
          <cell r="E147">
            <v>0</v>
          </cell>
          <cell r="F147">
            <v>0</v>
          </cell>
          <cell r="G147">
            <v>350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row>
        <row r="148">
          <cell r="A148" t="str">
            <v>TI02516</v>
          </cell>
          <cell r="B148" t="str">
            <v>Versionamento GeoÁrvores - Adequação e Integração ao G-DIS MN e Atlântis</v>
          </cell>
          <cell r="C148" t="str">
            <v>TINV.16.D.042.GA</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row>
        <row r="149">
          <cell r="A149" t="str">
            <v>TI02616</v>
          </cell>
          <cell r="B149" t="str">
            <v>Sistema de Gestão de Serviços Corporativos em BPMS</v>
          </cell>
          <cell r="C149" t="str">
            <v>TINV.16.D.042.CS</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row>
        <row r="150">
          <cell r="A150" t="str">
            <v>TI02618</v>
          </cell>
          <cell r="B150" t="str">
            <v>Equipamentos e Softwares da Rede de Dados Cisco IE-3000-8TC-E</v>
          </cell>
          <cell r="C150" t="str">
            <v>TINV.18.D.054.RD</v>
          </cell>
          <cell r="D150">
            <v>0</v>
          </cell>
          <cell r="E150">
            <v>0</v>
          </cell>
          <cell r="F150">
            <v>0</v>
          </cell>
          <cell r="G150">
            <v>1080</v>
          </cell>
          <cell r="H150">
            <v>0</v>
          </cell>
          <cell r="I150">
            <v>0</v>
          </cell>
          <cell r="J150">
            <v>0</v>
          </cell>
          <cell r="K150">
            <v>0</v>
          </cell>
          <cell r="L150">
            <v>1080</v>
          </cell>
          <cell r="M150">
            <v>1080</v>
          </cell>
          <cell r="N150">
            <v>0</v>
          </cell>
          <cell r="O150">
            <v>0</v>
          </cell>
          <cell r="P150">
            <v>0</v>
          </cell>
          <cell r="Q150">
            <v>0</v>
          </cell>
          <cell r="R150">
            <v>0</v>
          </cell>
          <cell r="S150">
            <v>0</v>
          </cell>
          <cell r="T150">
            <v>0</v>
          </cell>
          <cell r="U150">
            <v>0</v>
          </cell>
        </row>
        <row r="151">
          <cell r="A151" t="str">
            <v>TI02718</v>
          </cell>
          <cell r="B151" t="str">
            <v>Solução para proteção da rede Cemig contra ataques pela internet.</v>
          </cell>
          <cell r="C151" t="str">
            <v>TINV.18.D.054.IP</v>
          </cell>
          <cell r="D151">
            <v>0</v>
          </cell>
          <cell r="E151">
            <v>0</v>
          </cell>
          <cell r="F151">
            <v>0</v>
          </cell>
          <cell r="G151">
            <v>2841</v>
          </cell>
          <cell r="H151">
            <v>0</v>
          </cell>
          <cell r="I151">
            <v>0</v>
          </cell>
          <cell r="J151">
            <v>0</v>
          </cell>
          <cell r="K151">
            <v>0</v>
          </cell>
          <cell r="L151">
            <v>2841</v>
          </cell>
          <cell r="M151">
            <v>2841</v>
          </cell>
          <cell r="N151">
            <v>0</v>
          </cell>
          <cell r="O151">
            <v>0</v>
          </cell>
          <cell r="P151">
            <v>0</v>
          </cell>
          <cell r="Q151">
            <v>0</v>
          </cell>
          <cell r="R151">
            <v>0</v>
          </cell>
          <cell r="S151">
            <v>0</v>
          </cell>
          <cell r="T151">
            <v>0</v>
          </cell>
          <cell r="U151">
            <v>0</v>
          </cell>
        </row>
        <row r="152">
          <cell r="A152" t="str">
            <v>TI02817</v>
          </cell>
          <cell r="B152" t="str">
            <v>Análise e Desenvolvimento Sistema Retrocálculo</v>
          </cell>
          <cell r="C152" t="str">
            <v>TINV.17.D.042.RT</v>
          </cell>
          <cell r="D152">
            <v>0</v>
          </cell>
          <cell r="E152">
            <v>0</v>
          </cell>
          <cell r="F152">
            <v>0</v>
          </cell>
          <cell r="G152">
            <v>600</v>
          </cell>
          <cell r="H152">
            <v>0</v>
          </cell>
          <cell r="I152">
            <v>599.97772216796875</v>
          </cell>
          <cell r="J152">
            <v>0</v>
          </cell>
          <cell r="K152">
            <v>599.97772216796875</v>
          </cell>
          <cell r="L152">
            <v>0</v>
          </cell>
          <cell r="M152">
            <v>599.97772216796875</v>
          </cell>
          <cell r="N152">
            <v>0</v>
          </cell>
          <cell r="O152">
            <v>0</v>
          </cell>
          <cell r="P152">
            <v>0</v>
          </cell>
          <cell r="Q152">
            <v>0</v>
          </cell>
          <cell r="R152">
            <v>0</v>
          </cell>
          <cell r="S152">
            <v>0</v>
          </cell>
          <cell r="T152">
            <v>0</v>
          </cell>
          <cell r="U152">
            <v>0</v>
          </cell>
        </row>
        <row r="153">
          <cell r="A153" t="str">
            <v>TI03015</v>
          </cell>
          <cell r="B153" t="str">
            <v>Barramento de Serviços G-DIS</v>
          </cell>
          <cell r="C153" t="str">
            <v>TINV.15.D.042.BR</v>
          </cell>
          <cell r="D153">
            <v>0</v>
          </cell>
          <cell r="E153">
            <v>0</v>
          </cell>
          <cell r="F153">
            <v>0</v>
          </cell>
          <cell r="G153">
            <v>52</v>
          </cell>
          <cell r="H153">
            <v>0</v>
          </cell>
          <cell r="I153">
            <v>52.127998352050781</v>
          </cell>
          <cell r="J153">
            <v>0</v>
          </cell>
          <cell r="K153">
            <v>52.127998352050781</v>
          </cell>
          <cell r="L153">
            <v>0</v>
          </cell>
          <cell r="M153">
            <v>52.127998352050781</v>
          </cell>
          <cell r="N153">
            <v>0</v>
          </cell>
          <cell r="O153">
            <v>0</v>
          </cell>
          <cell r="P153">
            <v>0</v>
          </cell>
          <cell r="Q153">
            <v>0</v>
          </cell>
          <cell r="R153">
            <v>0</v>
          </cell>
          <cell r="S153">
            <v>0</v>
          </cell>
          <cell r="T153">
            <v>0</v>
          </cell>
          <cell r="U153">
            <v>0</v>
          </cell>
        </row>
        <row r="154">
          <cell r="A154" t="str">
            <v>TI03117</v>
          </cell>
          <cell r="B154" t="str">
            <v>Desenvolvimento do Barramento Comercial</v>
          </cell>
          <cell r="C154" t="str">
            <v>TINV.17.D.042.BC</v>
          </cell>
          <cell r="D154">
            <v>0</v>
          </cell>
          <cell r="E154">
            <v>0</v>
          </cell>
          <cell r="F154">
            <v>0</v>
          </cell>
          <cell r="G154">
            <v>216</v>
          </cell>
          <cell r="H154">
            <v>0</v>
          </cell>
          <cell r="I154">
            <v>0</v>
          </cell>
          <cell r="J154">
            <v>0</v>
          </cell>
          <cell r="K154">
            <v>0</v>
          </cell>
          <cell r="L154">
            <v>216</v>
          </cell>
          <cell r="M154">
            <v>216</v>
          </cell>
          <cell r="N154">
            <v>0</v>
          </cell>
          <cell r="O154">
            <v>0</v>
          </cell>
          <cell r="P154">
            <v>0</v>
          </cell>
          <cell r="Q154">
            <v>0</v>
          </cell>
          <cell r="R154">
            <v>0</v>
          </cell>
          <cell r="S154">
            <v>0</v>
          </cell>
          <cell r="T154">
            <v>0</v>
          </cell>
          <cell r="U154">
            <v>0</v>
          </cell>
        </row>
        <row r="155">
          <cell r="A155" t="str">
            <v>TI03217</v>
          </cell>
          <cell r="B155" t="str">
            <v>Evolução e Sustentação Sap</v>
          </cell>
          <cell r="C155" t="str">
            <v>TINV.17.D.042.ES</v>
          </cell>
          <cell r="D155">
            <v>0</v>
          </cell>
          <cell r="E155">
            <v>0</v>
          </cell>
          <cell r="F155">
            <v>0</v>
          </cell>
          <cell r="G155">
            <v>1500</v>
          </cell>
          <cell r="H155">
            <v>0</v>
          </cell>
          <cell r="I155">
            <v>0</v>
          </cell>
          <cell r="J155">
            <v>0</v>
          </cell>
          <cell r="K155">
            <v>0</v>
          </cell>
          <cell r="L155">
            <v>1460.2259750366211</v>
          </cell>
          <cell r="M155">
            <v>1460.2259750366211</v>
          </cell>
          <cell r="N155">
            <v>0</v>
          </cell>
          <cell r="O155">
            <v>0</v>
          </cell>
          <cell r="P155">
            <v>0</v>
          </cell>
          <cell r="Q155">
            <v>0</v>
          </cell>
          <cell r="R155">
            <v>0</v>
          </cell>
          <cell r="S155">
            <v>0</v>
          </cell>
          <cell r="T155">
            <v>0</v>
          </cell>
          <cell r="U155">
            <v>0</v>
          </cell>
        </row>
        <row r="156">
          <cell r="A156" t="str">
            <v>TI03317</v>
          </cell>
          <cell r="B156" t="str">
            <v>Novo Sistema de Controle de Documentos Regulatórios</v>
          </cell>
          <cell r="C156" t="str">
            <v>TINV.17.D.042.DR</v>
          </cell>
          <cell r="D156">
            <v>0</v>
          </cell>
          <cell r="E156">
            <v>0</v>
          </cell>
          <cell r="F156">
            <v>0</v>
          </cell>
          <cell r="G156">
            <v>45</v>
          </cell>
          <cell r="H156">
            <v>0</v>
          </cell>
          <cell r="I156">
            <v>44.575801849365234</v>
          </cell>
          <cell r="J156">
            <v>0</v>
          </cell>
          <cell r="K156">
            <v>44.575801849365234</v>
          </cell>
          <cell r="L156">
            <v>0</v>
          </cell>
          <cell r="M156">
            <v>44.575801849365234</v>
          </cell>
          <cell r="N156">
            <v>0</v>
          </cell>
          <cell r="O156">
            <v>0</v>
          </cell>
          <cell r="P156">
            <v>0</v>
          </cell>
          <cell r="Q156">
            <v>0</v>
          </cell>
          <cell r="R156">
            <v>0</v>
          </cell>
          <cell r="S156">
            <v>0</v>
          </cell>
          <cell r="T156">
            <v>0</v>
          </cell>
          <cell r="U156">
            <v>0</v>
          </cell>
        </row>
        <row r="157">
          <cell r="A157" t="str">
            <v>TI03318</v>
          </cell>
          <cell r="B157" t="str">
            <v>Solução de Firewall Check Point</v>
          </cell>
          <cell r="C157" t="str">
            <v>TINV.18.D.054.FW</v>
          </cell>
          <cell r="D157">
            <v>0</v>
          </cell>
          <cell r="E157">
            <v>0</v>
          </cell>
          <cell r="F157">
            <v>0</v>
          </cell>
          <cell r="G157">
            <v>245</v>
          </cell>
          <cell r="H157">
            <v>0</v>
          </cell>
          <cell r="I157">
            <v>0</v>
          </cell>
          <cell r="J157">
            <v>0</v>
          </cell>
          <cell r="K157">
            <v>0</v>
          </cell>
          <cell r="L157">
            <v>244.84255981445312</v>
          </cell>
          <cell r="M157">
            <v>244.84255981445312</v>
          </cell>
          <cell r="N157">
            <v>0</v>
          </cell>
          <cell r="O157">
            <v>0</v>
          </cell>
          <cell r="P157">
            <v>0</v>
          </cell>
          <cell r="Q157">
            <v>0</v>
          </cell>
          <cell r="R157">
            <v>0</v>
          </cell>
          <cell r="S157">
            <v>0</v>
          </cell>
          <cell r="T157">
            <v>0</v>
          </cell>
          <cell r="U157">
            <v>0</v>
          </cell>
        </row>
        <row r="158">
          <cell r="A158" t="str">
            <v>TI03417</v>
          </cell>
          <cell r="B158" t="str">
            <v>Desenvolvimento Sistema SAM</v>
          </cell>
          <cell r="C158" t="str">
            <v>TINV.17.D.042.SS</v>
          </cell>
          <cell r="D158">
            <v>0</v>
          </cell>
          <cell r="E158">
            <v>0</v>
          </cell>
          <cell r="F158">
            <v>0</v>
          </cell>
          <cell r="G158">
            <v>814</v>
          </cell>
          <cell r="H158">
            <v>0</v>
          </cell>
          <cell r="I158">
            <v>813.67767333984375</v>
          </cell>
          <cell r="J158">
            <v>0</v>
          </cell>
          <cell r="K158">
            <v>813.67767333984375</v>
          </cell>
          <cell r="L158">
            <v>0</v>
          </cell>
          <cell r="M158">
            <v>813.67767333984375</v>
          </cell>
          <cell r="N158">
            <v>0</v>
          </cell>
          <cell r="O158">
            <v>0</v>
          </cell>
          <cell r="P158">
            <v>0</v>
          </cell>
          <cell r="Q158">
            <v>0</v>
          </cell>
          <cell r="R158">
            <v>0</v>
          </cell>
          <cell r="S158">
            <v>0</v>
          </cell>
          <cell r="T158">
            <v>0</v>
          </cell>
          <cell r="U158">
            <v>0</v>
          </cell>
        </row>
        <row r="159">
          <cell r="A159" t="str">
            <v>TI03517</v>
          </cell>
          <cell r="B159" t="str">
            <v>Evolução do Sistema de Gestão - Cemig Fácil</v>
          </cell>
          <cell r="C159" t="str">
            <v>TINV.17.D.042.CF</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row>
        <row r="160">
          <cell r="A160" t="str">
            <v>TI03617</v>
          </cell>
          <cell r="B160" t="str">
            <v>Desenvolvimento do Sistema de Recuperação de Perdas Comerciais</v>
          </cell>
          <cell r="C160" t="str">
            <v>TINV.17.D.042.RP</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row>
        <row r="161">
          <cell r="A161" t="str">
            <v>TI04117</v>
          </cell>
          <cell r="B161" t="str">
            <v>Aquisição de Solução EFD REINF</v>
          </cell>
          <cell r="C161" t="str">
            <v>TINV.17.D.042.RE</v>
          </cell>
          <cell r="D161">
            <v>0</v>
          </cell>
          <cell r="E161">
            <v>0</v>
          </cell>
          <cell r="F161">
            <v>0</v>
          </cell>
          <cell r="G161">
            <v>871</v>
          </cell>
          <cell r="H161">
            <v>0</v>
          </cell>
          <cell r="I161">
            <v>0</v>
          </cell>
          <cell r="J161">
            <v>0</v>
          </cell>
          <cell r="K161">
            <v>0</v>
          </cell>
          <cell r="L161">
            <v>384.39999389648437</v>
          </cell>
          <cell r="M161">
            <v>384.39999389648437</v>
          </cell>
          <cell r="N161">
            <v>0</v>
          </cell>
          <cell r="O161">
            <v>0</v>
          </cell>
          <cell r="P161">
            <v>0</v>
          </cell>
          <cell r="Q161">
            <v>0</v>
          </cell>
          <cell r="R161">
            <v>0</v>
          </cell>
          <cell r="S161">
            <v>0</v>
          </cell>
          <cell r="T161">
            <v>0</v>
          </cell>
          <cell r="U161">
            <v>0</v>
          </cell>
        </row>
        <row r="162">
          <cell r="A162" t="str">
            <v>AM</v>
          </cell>
          <cell r="B162" t="str">
            <v xml:space="preserve">Atual. Moeda - Veículos </v>
          </cell>
          <cell r="C162" t="str">
            <v>-</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row>
        <row r="163">
          <cell r="A163" t="str">
            <v>CI</v>
          </cell>
          <cell r="B163" t="str">
            <v>Captura de Investimentos</v>
          </cell>
          <cell r="C163" t="str">
            <v>-</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row>
        <row r="164">
          <cell r="A164" t="str">
            <v>GE00318</v>
          </cell>
          <cell r="B164" t="str">
            <v>Planejamento Macroprojeto 3-4-6</v>
          </cell>
          <cell r="C164" t="str">
            <v>INFR.341.00318</v>
          </cell>
          <cell r="D164">
            <v>3182</v>
          </cell>
          <cell r="E164">
            <v>0</v>
          </cell>
          <cell r="F164">
            <v>3182</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row>
        <row r="165">
          <cell r="A165" t="str">
            <v>NA</v>
          </cell>
          <cell r="B165" t="str">
            <v>Laudos a Serem Apresentados</v>
          </cell>
          <cell r="C165" t="str">
            <v>-</v>
          </cell>
          <cell r="D165">
            <v>5366</v>
          </cell>
          <cell r="E165">
            <v>0</v>
          </cell>
          <cell r="F165">
            <v>0</v>
          </cell>
          <cell r="G165">
            <v>0</v>
          </cell>
          <cell r="H165">
            <v>0</v>
          </cell>
          <cell r="I165">
            <v>0</v>
          </cell>
          <cell r="J165">
            <v>0</v>
          </cell>
          <cell r="K165">
            <v>0</v>
          </cell>
          <cell r="L165">
            <v>0</v>
          </cell>
          <cell r="M165">
            <v>0</v>
          </cell>
          <cell r="N165">
            <v>1864</v>
          </cell>
          <cell r="O165">
            <v>2982</v>
          </cell>
          <cell r="P165">
            <v>350</v>
          </cell>
          <cell r="Q165">
            <v>170</v>
          </cell>
          <cell r="R165">
            <v>0</v>
          </cell>
          <cell r="S165">
            <v>0</v>
          </cell>
          <cell r="T165">
            <v>0</v>
          </cell>
          <cell r="U165">
            <v>0</v>
          </cell>
        </row>
        <row r="166">
          <cell r="A166" t="str">
            <v>SR</v>
          </cell>
          <cell r="B166" t="str">
            <v>Saldo Residual</v>
          </cell>
          <cell r="C166" t="str">
            <v>-</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row>
        <row r="167">
          <cell r="A167" t="str">
            <v>AM</v>
          </cell>
          <cell r="B167" t="str">
            <v xml:space="preserve">Atual. Moeda - Microinformática </v>
          </cell>
          <cell r="C167" t="str">
            <v>-</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row>
        <row r="168">
          <cell r="A168" t="str">
            <v>CI</v>
          </cell>
          <cell r="B168" t="str">
            <v>Captura de Investimentos</v>
          </cell>
          <cell r="C168" t="str">
            <v>-</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row>
        <row r="169">
          <cell r="A169" t="str">
            <v>NA</v>
          </cell>
          <cell r="B169" t="str">
            <v>Modernização do Parque de Informática - Holding</v>
          </cell>
          <cell r="C169" t="str">
            <v>-</v>
          </cell>
          <cell r="D169">
            <v>625</v>
          </cell>
          <cell r="E169">
            <v>0</v>
          </cell>
          <cell r="F169">
            <v>0</v>
          </cell>
          <cell r="G169">
            <v>0</v>
          </cell>
          <cell r="H169">
            <v>0</v>
          </cell>
          <cell r="I169">
            <v>0</v>
          </cell>
          <cell r="J169">
            <v>0</v>
          </cell>
          <cell r="K169">
            <v>0</v>
          </cell>
          <cell r="L169">
            <v>0</v>
          </cell>
          <cell r="M169">
            <v>0</v>
          </cell>
          <cell r="N169">
            <v>75</v>
          </cell>
          <cell r="O169">
            <v>150</v>
          </cell>
          <cell r="P169">
            <v>150</v>
          </cell>
          <cell r="Q169">
            <v>250</v>
          </cell>
          <cell r="R169">
            <v>0</v>
          </cell>
          <cell r="S169">
            <v>0</v>
          </cell>
          <cell r="T169">
            <v>0</v>
          </cell>
          <cell r="U169">
            <v>0</v>
          </cell>
        </row>
        <row r="170">
          <cell r="A170" t="str">
            <v>SR</v>
          </cell>
          <cell r="B170" t="str">
            <v>Saldo Residual</v>
          </cell>
          <cell r="C170" t="str">
            <v>-</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row>
        <row r="171">
          <cell r="A171" t="str">
            <v>TI04018</v>
          </cell>
          <cell r="B171" t="str">
            <v>Planejamento Macroprojeto 4-1-2</v>
          </cell>
          <cell r="C171" t="str">
            <v>TINV.18.H.045.PP</v>
          </cell>
          <cell r="D171">
            <v>75</v>
          </cell>
          <cell r="E171">
            <v>0</v>
          </cell>
          <cell r="F171">
            <v>75</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row>
        <row r="172">
          <cell r="A172" t="str">
            <v>AM</v>
          </cell>
          <cell r="B172" t="str">
            <v xml:space="preserve">Atual. Moeda - Sistema de Informática </v>
          </cell>
          <cell r="C172" t="str">
            <v>-</v>
          </cell>
          <cell r="D172">
            <v>0</v>
          </cell>
          <cell r="E172">
            <v>0</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row>
        <row r="173">
          <cell r="A173" t="str">
            <v>CI</v>
          </cell>
          <cell r="B173" t="str">
            <v>Captura de Investimentos</v>
          </cell>
          <cell r="C173" t="str">
            <v>-</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row>
        <row r="174">
          <cell r="A174" t="str">
            <v>NA</v>
          </cell>
          <cell r="B174" t="str">
            <v>Sistema de Informática</v>
          </cell>
          <cell r="C174" t="str">
            <v>-</v>
          </cell>
          <cell r="D174">
            <v>600</v>
          </cell>
          <cell r="E174">
            <v>0</v>
          </cell>
          <cell r="F174">
            <v>0</v>
          </cell>
          <cell r="G174">
            <v>0</v>
          </cell>
          <cell r="H174">
            <v>0</v>
          </cell>
          <cell r="I174">
            <v>0</v>
          </cell>
          <cell r="J174">
            <v>0</v>
          </cell>
          <cell r="K174">
            <v>0</v>
          </cell>
          <cell r="L174">
            <v>0</v>
          </cell>
          <cell r="M174">
            <v>0</v>
          </cell>
          <cell r="N174">
            <v>150</v>
          </cell>
          <cell r="O174">
            <v>150</v>
          </cell>
          <cell r="P174">
            <v>150</v>
          </cell>
          <cell r="Q174">
            <v>150</v>
          </cell>
          <cell r="R174">
            <v>0</v>
          </cell>
          <cell r="S174">
            <v>0</v>
          </cell>
          <cell r="T174">
            <v>0</v>
          </cell>
          <cell r="U174">
            <v>0</v>
          </cell>
        </row>
        <row r="175">
          <cell r="A175" t="str">
            <v>SR</v>
          </cell>
          <cell r="B175" t="str">
            <v>Saldo Residual</v>
          </cell>
          <cell r="C175" t="str">
            <v>-</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row>
        <row r="176">
          <cell r="A176" t="str">
            <v>TI01113</v>
          </cell>
          <cell r="B176" t="str">
            <v>Edifício Aureliano Chaves - Infraestrutura de Conectividade de Rede, Wireless e Segurança</v>
          </cell>
          <cell r="C176" t="str">
            <v>TINV.13.H.045.AC</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row>
        <row r="177">
          <cell r="A177" t="str">
            <v>TI01114</v>
          </cell>
          <cell r="B177" t="str">
            <v>Sistema de Gestão Jurídica para o Grupo Cemig</v>
          </cell>
          <cell r="C177" t="str">
            <v>TINV.14.H.042.SJ</v>
          </cell>
          <cell r="D177">
            <v>0</v>
          </cell>
          <cell r="E177">
            <v>0</v>
          </cell>
          <cell r="F177">
            <v>0</v>
          </cell>
          <cell r="G177">
            <v>8</v>
          </cell>
          <cell r="H177">
            <v>0</v>
          </cell>
          <cell r="I177">
            <v>7.60504150390625</v>
          </cell>
          <cell r="J177">
            <v>0</v>
          </cell>
          <cell r="K177">
            <v>7.60504150390625</v>
          </cell>
          <cell r="L177">
            <v>0</v>
          </cell>
          <cell r="M177">
            <v>7.60504150390625</v>
          </cell>
          <cell r="N177">
            <v>0</v>
          </cell>
          <cell r="O177">
            <v>0</v>
          </cell>
          <cell r="P177">
            <v>0</v>
          </cell>
          <cell r="Q177">
            <v>0</v>
          </cell>
          <cell r="R177">
            <v>0</v>
          </cell>
          <cell r="S177">
            <v>0</v>
          </cell>
          <cell r="T177">
            <v>0</v>
          </cell>
          <cell r="U177">
            <v>0</v>
          </cell>
        </row>
        <row r="178">
          <cell r="A178" t="str">
            <v>TI04018</v>
          </cell>
          <cell r="B178" t="str">
            <v>Planejamento Macroprojeto 4-1-3</v>
          </cell>
          <cell r="C178" t="str">
            <v>TINV.18.H.042.PP</v>
          </cell>
          <cell r="D178">
            <v>1289</v>
          </cell>
          <cell r="E178">
            <v>0</v>
          </cell>
          <cell r="F178">
            <v>1289</v>
          </cell>
          <cell r="G178">
            <v>0</v>
          </cell>
          <cell r="H178">
            <v>8</v>
          </cell>
          <cell r="I178">
            <v>0</v>
          </cell>
          <cell r="J178">
            <v>0</v>
          </cell>
          <cell r="K178">
            <v>0</v>
          </cell>
          <cell r="L178">
            <v>0</v>
          </cell>
          <cell r="M178">
            <v>0</v>
          </cell>
          <cell r="N178">
            <v>0</v>
          </cell>
          <cell r="O178">
            <v>0</v>
          </cell>
          <cell r="P178">
            <v>0</v>
          </cell>
          <cell r="Q178">
            <v>0</v>
          </cell>
          <cell r="R178">
            <v>0</v>
          </cell>
          <cell r="S178">
            <v>0</v>
          </cell>
          <cell r="T178">
            <v>0</v>
          </cell>
          <cell r="U178">
            <v>0</v>
          </cell>
        </row>
        <row r="179">
          <cell r="D179">
            <v>356727.6</v>
          </cell>
          <cell r="E179">
            <v>0</v>
          </cell>
          <cell r="F179">
            <v>83740</v>
          </cell>
          <cell r="G179">
            <v>22630</v>
          </cell>
          <cell r="H179">
            <v>4505</v>
          </cell>
          <cell r="I179">
            <v>4624.553650021553</v>
          </cell>
          <cell r="J179">
            <v>0</v>
          </cell>
          <cell r="K179">
            <v>4624.553650021553</v>
          </cell>
          <cell r="L179">
            <v>9913.8983333110809</v>
          </cell>
          <cell r="M179">
            <v>14538.451983332634</v>
          </cell>
          <cell r="N179">
            <v>89792</v>
          </cell>
          <cell r="O179">
            <v>81660</v>
          </cell>
          <cell r="P179">
            <v>54136</v>
          </cell>
          <cell r="Q179">
            <v>47400</v>
          </cell>
          <cell r="R179">
            <v>0</v>
          </cell>
          <cell r="S179">
            <v>0</v>
          </cell>
          <cell r="T179">
            <v>0</v>
          </cell>
          <cell r="U179">
            <v>0</v>
          </cell>
        </row>
      </sheetData>
      <sheetData sheetId="5">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row>
        <row r="2">
          <cell r="A2" t="str">
            <v>Nº. 
Projeto</v>
          </cell>
          <cell r="B2" t="str">
            <v>Nome</v>
          </cell>
          <cell r="C2" t="str">
            <v>Coletor</v>
          </cell>
          <cell r="D2" t="str">
            <v>Valor de Execução</v>
          </cell>
          <cell r="E2" t="str">
            <v xml:space="preserve">Real até </v>
          </cell>
          <cell r="I2" t="str">
            <v>EXECUÇÃO ATÉ</v>
          </cell>
          <cell r="J2">
            <v>43190</v>
          </cell>
          <cell r="P2" t="str">
            <v xml:space="preserve">         PLANEJAMENTOS ANOS FUTUROS</v>
          </cell>
        </row>
        <row r="3">
          <cell r="E3">
            <v>2016</v>
          </cell>
          <cell r="F3" t="str">
            <v>Proposta  (a)</v>
          </cell>
          <cell r="G3" t="str">
            <v>Orçam.Lib (b)</v>
          </cell>
          <cell r="H3" t="str">
            <v>Planej.
(d)</v>
          </cell>
          <cell r="I3" t="str">
            <v>Real
(e)</v>
          </cell>
          <cell r="J3" t="str">
            <v>Adiant.
(f)</v>
          </cell>
          <cell r="K3" t="str">
            <v>Total
(g)=(e+f)</v>
          </cell>
          <cell r="L3" t="str">
            <v>Comprom.
(i)</v>
          </cell>
          <cell r="M3" t="str">
            <v>Disposto
(j)=(g+i)</v>
          </cell>
          <cell r="N3" t="str">
            <v>2019</v>
          </cell>
          <cell r="O3">
            <v>2020</v>
          </cell>
          <cell r="P3">
            <v>2021</v>
          </cell>
          <cell r="Q3">
            <v>2022</v>
          </cell>
          <cell r="R3">
            <v>2023</v>
          </cell>
          <cell r="S3">
            <v>2024</v>
          </cell>
          <cell r="T3">
            <v>2025</v>
          </cell>
          <cell r="U3">
            <v>2026</v>
          </cell>
        </row>
        <row r="4">
          <cell r="A4" t="str">
            <v>AM</v>
          </cell>
          <cell r="B4" t="str">
            <v xml:space="preserve">Atual. Moeda - Edificações e complementos </v>
          </cell>
          <cell r="C4" t="str">
            <v>-</v>
          </cell>
          <cell r="D4">
            <v>0</v>
          </cell>
          <cell r="E4">
            <v>0</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row>
        <row r="5">
          <cell r="A5" t="str">
            <v>CI</v>
          </cell>
          <cell r="B5" t="str">
            <v>Captura de Investimentos</v>
          </cell>
          <cell r="C5" t="str">
            <v>-</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row>
        <row r="6">
          <cell r="A6" t="str">
            <v>GE00518</v>
          </cell>
          <cell r="B6" t="str">
            <v>Planejamento Macroprojeto 1-3-1</v>
          </cell>
          <cell r="C6" t="str">
            <v>INFR.131.00618</v>
          </cell>
          <cell r="D6">
            <v>782</v>
          </cell>
          <cell r="E6">
            <v>0</v>
          </cell>
          <cell r="F6">
            <v>782</v>
          </cell>
          <cell r="G6">
            <v>0</v>
          </cell>
          <cell r="H6">
            <v>0</v>
          </cell>
          <cell r="I6">
            <v>0</v>
          </cell>
          <cell r="J6">
            <v>0</v>
          </cell>
          <cell r="K6">
            <v>0</v>
          </cell>
          <cell r="L6">
            <v>0</v>
          </cell>
          <cell r="M6">
            <v>0</v>
          </cell>
          <cell r="N6">
            <v>0</v>
          </cell>
          <cell r="O6">
            <v>0</v>
          </cell>
          <cell r="P6">
            <v>0</v>
          </cell>
          <cell r="Q6">
            <v>0</v>
          </cell>
          <cell r="R6">
            <v>0</v>
          </cell>
          <cell r="S6">
            <v>0</v>
          </cell>
          <cell r="T6">
            <v>0</v>
          </cell>
          <cell r="U6">
            <v>0</v>
          </cell>
        </row>
        <row r="7">
          <cell r="A7" t="str">
            <v>NA</v>
          </cell>
          <cell r="B7" t="str">
            <v>Laudos a Serem Apresentados</v>
          </cell>
          <cell r="C7" t="str">
            <v>-</v>
          </cell>
          <cell r="D7">
            <v>1854</v>
          </cell>
          <cell r="E7">
            <v>0</v>
          </cell>
          <cell r="F7">
            <v>0</v>
          </cell>
          <cell r="G7">
            <v>0</v>
          </cell>
          <cell r="H7">
            <v>0</v>
          </cell>
          <cell r="I7">
            <v>0</v>
          </cell>
          <cell r="J7">
            <v>0</v>
          </cell>
          <cell r="K7">
            <v>0</v>
          </cell>
          <cell r="L7">
            <v>0</v>
          </cell>
          <cell r="M7">
            <v>0</v>
          </cell>
          <cell r="N7">
            <v>634</v>
          </cell>
          <cell r="O7">
            <v>435</v>
          </cell>
          <cell r="P7">
            <v>360</v>
          </cell>
          <cell r="Q7">
            <v>425</v>
          </cell>
          <cell r="R7">
            <v>0</v>
          </cell>
          <cell r="S7">
            <v>0</v>
          </cell>
          <cell r="T7">
            <v>0</v>
          </cell>
          <cell r="U7">
            <v>0</v>
          </cell>
        </row>
        <row r="8">
          <cell r="A8" t="str">
            <v>SR</v>
          </cell>
          <cell r="B8" t="str">
            <v>Saldo Residual</v>
          </cell>
          <cell r="C8" t="str">
            <v>-</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row>
        <row r="9">
          <cell r="A9" t="str">
            <v>AM</v>
          </cell>
          <cell r="B9" t="str">
            <v xml:space="preserve">Atual. Moeda - Edificações e complementos (Irapé) </v>
          </cell>
          <cell r="C9" t="str">
            <v>-</v>
          </cell>
          <cell r="D9">
            <v>1408.5332552744051</v>
          </cell>
          <cell r="E9">
            <v>1408.5332552744051</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row>
        <row r="10">
          <cell r="A10" t="str">
            <v>CI</v>
          </cell>
          <cell r="B10" t="str">
            <v>Captura de Investimentos</v>
          </cell>
          <cell r="C10" t="str">
            <v>-</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row>
        <row r="11">
          <cell r="A11" t="str">
            <v>NA</v>
          </cell>
          <cell r="B11" t="str">
            <v>Laudos a Serem Apresentados</v>
          </cell>
          <cell r="C11" t="str">
            <v>-</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row>
        <row r="12">
          <cell r="A12" t="str">
            <v>SR</v>
          </cell>
          <cell r="B12" t="str">
            <v>Saldo Residual</v>
          </cell>
          <cell r="C12" t="str">
            <v>-</v>
          </cell>
          <cell r="D12">
            <v>248.326267838478</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row>
        <row r="13">
          <cell r="A13" t="str">
            <v>AM</v>
          </cell>
          <cell r="B13" t="str">
            <v xml:space="preserve">Atual. Moeda - Telecomunicações </v>
          </cell>
          <cell r="C13" t="str">
            <v>-</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row>
        <row r="14">
          <cell r="A14" t="str">
            <v>CI</v>
          </cell>
          <cell r="B14" t="str">
            <v>Captura de Investimentos</v>
          </cell>
          <cell r="C14" t="str">
            <v>-</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row>
        <row r="15">
          <cell r="A15" t="str">
            <v>NA</v>
          </cell>
          <cell r="B15" t="str">
            <v>Laudos a Serem Apresentados</v>
          </cell>
          <cell r="C15" t="str">
            <v>-</v>
          </cell>
          <cell r="D15">
            <v>139</v>
          </cell>
          <cell r="E15">
            <v>0</v>
          </cell>
          <cell r="F15">
            <v>0</v>
          </cell>
          <cell r="G15">
            <v>0</v>
          </cell>
          <cell r="H15">
            <v>0</v>
          </cell>
          <cell r="I15">
            <v>0</v>
          </cell>
          <cell r="J15">
            <v>0</v>
          </cell>
          <cell r="K15">
            <v>0</v>
          </cell>
          <cell r="L15">
            <v>0</v>
          </cell>
          <cell r="M15">
            <v>0</v>
          </cell>
          <cell r="N15">
            <v>16</v>
          </cell>
          <cell r="O15">
            <v>30</v>
          </cell>
          <cell r="P15">
            <v>50</v>
          </cell>
          <cell r="Q15">
            <v>43</v>
          </cell>
          <cell r="R15">
            <v>0</v>
          </cell>
          <cell r="S15">
            <v>0</v>
          </cell>
          <cell r="T15">
            <v>0</v>
          </cell>
          <cell r="U15">
            <v>0</v>
          </cell>
        </row>
        <row r="16">
          <cell r="A16" t="str">
            <v>SR</v>
          </cell>
          <cell r="B16" t="str">
            <v>Saldo Residual</v>
          </cell>
          <cell r="C16" t="str">
            <v>-</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row>
        <row r="17">
          <cell r="A17" t="str">
            <v>TI03418</v>
          </cell>
          <cell r="B17" t="str">
            <v>Planejamento Macroprojeto 1-3-2</v>
          </cell>
          <cell r="C17" t="str">
            <v>TINV.18.G.054.PP</v>
          </cell>
          <cell r="D17">
            <v>29</v>
          </cell>
          <cell r="E17">
            <v>0</v>
          </cell>
          <cell r="F17">
            <v>29</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row>
        <row r="18">
          <cell r="A18" t="str">
            <v>AM</v>
          </cell>
          <cell r="B18" t="str">
            <v xml:space="preserve">Atual. de Moeda - Microinformática </v>
          </cell>
          <cell r="C18" t="str">
            <v>-</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row>
        <row r="19">
          <cell r="A19" t="str">
            <v>CI</v>
          </cell>
          <cell r="B19" t="str">
            <v>Captura de Investimentos</v>
          </cell>
          <cell r="C19" t="str">
            <v>-</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row>
        <row r="20">
          <cell r="A20" t="str">
            <v>NA</v>
          </cell>
          <cell r="B20" t="str">
            <v>Laudos a Serem Apresentados</v>
          </cell>
          <cell r="C20" t="str">
            <v>-</v>
          </cell>
          <cell r="D20">
            <v>896</v>
          </cell>
          <cell r="E20">
            <v>0</v>
          </cell>
          <cell r="F20">
            <v>0</v>
          </cell>
          <cell r="G20">
            <v>0</v>
          </cell>
          <cell r="H20">
            <v>0</v>
          </cell>
          <cell r="I20">
            <v>0</v>
          </cell>
          <cell r="J20">
            <v>0</v>
          </cell>
          <cell r="K20">
            <v>0</v>
          </cell>
          <cell r="L20">
            <v>0</v>
          </cell>
          <cell r="M20">
            <v>0</v>
          </cell>
          <cell r="N20">
            <v>351.5</v>
          </cell>
          <cell r="O20">
            <v>214.5</v>
          </cell>
          <cell r="P20">
            <v>51.5</v>
          </cell>
          <cell r="Q20">
            <v>278.5</v>
          </cell>
          <cell r="R20">
            <v>0</v>
          </cell>
          <cell r="S20">
            <v>0</v>
          </cell>
          <cell r="T20">
            <v>0</v>
          </cell>
          <cell r="U20">
            <v>0</v>
          </cell>
        </row>
        <row r="21">
          <cell r="A21" t="str">
            <v>SR</v>
          </cell>
          <cell r="B21" t="str">
            <v>Saldo Residual</v>
          </cell>
          <cell r="C21" t="str">
            <v>-</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row>
        <row r="22">
          <cell r="A22" t="str">
            <v>TI03218</v>
          </cell>
          <cell r="B22" t="str">
            <v>Aquisição de tablets MG/SB</v>
          </cell>
          <cell r="C22" t="str">
            <v>TINV.18.G.045.TB</v>
          </cell>
          <cell r="D22">
            <v>0</v>
          </cell>
          <cell r="E22">
            <v>0</v>
          </cell>
          <cell r="F22">
            <v>0</v>
          </cell>
          <cell r="G22">
            <v>59</v>
          </cell>
          <cell r="H22">
            <v>0</v>
          </cell>
          <cell r="I22">
            <v>0</v>
          </cell>
          <cell r="J22">
            <v>0</v>
          </cell>
          <cell r="K22">
            <v>0</v>
          </cell>
          <cell r="L22">
            <v>0</v>
          </cell>
          <cell r="M22">
            <v>0</v>
          </cell>
          <cell r="N22">
            <v>0</v>
          </cell>
          <cell r="O22">
            <v>0</v>
          </cell>
          <cell r="P22">
            <v>0</v>
          </cell>
          <cell r="Q22">
            <v>0</v>
          </cell>
          <cell r="R22">
            <v>0</v>
          </cell>
          <cell r="S22">
            <v>0</v>
          </cell>
          <cell r="T22">
            <v>0</v>
          </cell>
          <cell r="U22">
            <v>0</v>
          </cell>
        </row>
        <row r="23">
          <cell r="A23" t="str">
            <v>TI03518</v>
          </cell>
          <cell r="B23" t="str">
            <v>Planejamento Macroprojeto 1-3-3</v>
          </cell>
          <cell r="C23" t="str">
            <v>TINV.18.G.045.PP</v>
          </cell>
          <cell r="D23">
            <v>59</v>
          </cell>
          <cell r="E23">
            <v>0</v>
          </cell>
          <cell r="F23">
            <v>59</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row>
        <row r="24">
          <cell r="A24" t="str">
            <v>AM</v>
          </cell>
          <cell r="B24" t="str">
            <v>Atual. Moeda - Sistema de Informática</v>
          </cell>
          <cell r="C24" t="str">
            <v>-</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row>
        <row r="25">
          <cell r="A25" t="str">
            <v>CI</v>
          </cell>
          <cell r="B25" t="str">
            <v>Captura de Investimentos</v>
          </cell>
          <cell r="C25" t="str">
            <v>-</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row>
        <row r="26">
          <cell r="A26" t="str">
            <v>NA</v>
          </cell>
          <cell r="B26" t="str">
            <v>Laudos a Serem Apresentados</v>
          </cell>
          <cell r="C26" t="str">
            <v>-</v>
          </cell>
          <cell r="D26">
            <v>4234</v>
          </cell>
          <cell r="E26">
            <v>0</v>
          </cell>
          <cell r="F26">
            <v>0</v>
          </cell>
          <cell r="G26">
            <v>0</v>
          </cell>
          <cell r="H26">
            <v>0</v>
          </cell>
          <cell r="I26">
            <v>0</v>
          </cell>
          <cell r="J26">
            <v>0</v>
          </cell>
          <cell r="K26">
            <v>0</v>
          </cell>
          <cell r="L26">
            <v>0</v>
          </cell>
          <cell r="M26">
            <v>0</v>
          </cell>
          <cell r="N26">
            <v>1138</v>
          </cell>
          <cell r="O26">
            <v>1210</v>
          </cell>
          <cell r="P26">
            <v>1123</v>
          </cell>
          <cell r="Q26">
            <v>763</v>
          </cell>
          <cell r="R26">
            <v>0</v>
          </cell>
          <cell r="S26">
            <v>0</v>
          </cell>
          <cell r="T26">
            <v>0</v>
          </cell>
          <cell r="U26">
            <v>0</v>
          </cell>
        </row>
        <row r="27">
          <cell r="A27" t="str">
            <v>SR</v>
          </cell>
          <cell r="B27" t="str">
            <v>Saldo Residual</v>
          </cell>
          <cell r="C27" t="str">
            <v>-</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row>
        <row r="28">
          <cell r="A28" t="str">
            <v>TI00218</v>
          </cell>
          <cell r="B28" t="str">
            <v>Licenciamento Oracle</v>
          </cell>
          <cell r="C28" t="str">
            <v>TINV.18.G.042.OR</v>
          </cell>
          <cell r="D28">
            <v>0</v>
          </cell>
          <cell r="E28">
            <v>0</v>
          </cell>
          <cell r="F28">
            <v>0</v>
          </cell>
          <cell r="G28">
            <v>119</v>
          </cell>
          <cell r="H28">
            <v>0</v>
          </cell>
          <cell r="I28">
            <v>119.11103057861328</v>
          </cell>
          <cell r="J28">
            <v>0</v>
          </cell>
          <cell r="K28">
            <v>119.11103057861328</v>
          </cell>
          <cell r="L28">
            <v>0</v>
          </cell>
          <cell r="M28">
            <v>119.11103057861328</v>
          </cell>
          <cell r="N28">
            <v>0</v>
          </cell>
          <cell r="O28">
            <v>0</v>
          </cell>
          <cell r="P28">
            <v>0</v>
          </cell>
          <cell r="Q28">
            <v>0</v>
          </cell>
          <cell r="R28">
            <v>0</v>
          </cell>
          <cell r="S28">
            <v>0</v>
          </cell>
          <cell r="T28">
            <v>0</v>
          </cell>
          <cell r="U28">
            <v>0</v>
          </cell>
        </row>
        <row r="29">
          <cell r="A29" t="str">
            <v>TI02216</v>
          </cell>
          <cell r="B29" t="str">
            <v>Upgrade do Software Inspetor</v>
          </cell>
          <cell r="C29" t="str">
            <v>TINV.16.G.042.IP</v>
          </cell>
          <cell r="D29">
            <v>0</v>
          </cell>
          <cell r="E29">
            <v>0</v>
          </cell>
          <cell r="F29">
            <v>0</v>
          </cell>
          <cell r="G29">
            <v>490</v>
          </cell>
          <cell r="H29">
            <v>0</v>
          </cell>
          <cell r="I29">
            <v>48.300398826599121</v>
          </cell>
          <cell r="J29">
            <v>0</v>
          </cell>
          <cell r="K29">
            <v>48.300398826599121</v>
          </cell>
          <cell r="L29">
            <v>435.47285461425781</v>
          </cell>
          <cell r="M29">
            <v>483.77325344085693</v>
          </cell>
          <cell r="N29">
            <v>0</v>
          </cell>
          <cell r="O29">
            <v>0</v>
          </cell>
          <cell r="P29">
            <v>0</v>
          </cell>
          <cell r="Q29">
            <v>0</v>
          </cell>
          <cell r="R29">
            <v>0</v>
          </cell>
          <cell r="S29">
            <v>0</v>
          </cell>
          <cell r="T29">
            <v>0</v>
          </cell>
          <cell r="U29">
            <v>0</v>
          </cell>
        </row>
        <row r="30">
          <cell r="A30" t="str">
            <v>TI03018</v>
          </cell>
          <cell r="B30" t="str">
            <v>Licenciamento Oracle</v>
          </cell>
          <cell r="C30" t="str">
            <v>TINV.18.G.042.PA</v>
          </cell>
          <cell r="D30">
            <v>0</v>
          </cell>
          <cell r="E30">
            <v>0</v>
          </cell>
          <cell r="F30">
            <v>0</v>
          </cell>
          <cell r="G30">
            <v>115</v>
          </cell>
          <cell r="H30">
            <v>0</v>
          </cell>
          <cell r="I30">
            <v>0</v>
          </cell>
          <cell r="J30">
            <v>0</v>
          </cell>
          <cell r="K30">
            <v>0</v>
          </cell>
          <cell r="L30">
            <v>115.19999694824219</v>
          </cell>
          <cell r="M30">
            <v>115.19999694824219</v>
          </cell>
          <cell r="N30">
            <v>0</v>
          </cell>
          <cell r="O30">
            <v>0</v>
          </cell>
          <cell r="P30">
            <v>0</v>
          </cell>
          <cell r="Q30">
            <v>0</v>
          </cell>
          <cell r="R30">
            <v>0</v>
          </cell>
          <cell r="S30">
            <v>0</v>
          </cell>
          <cell r="T30">
            <v>0</v>
          </cell>
          <cell r="U30">
            <v>0</v>
          </cell>
        </row>
        <row r="31">
          <cell r="A31" t="str">
            <v>TI03618</v>
          </cell>
          <cell r="B31" t="str">
            <v>Planejamento Macroprojeto 1-3-4</v>
          </cell>
          <cell r="C31" t="str">
            <v>TINV.18.G.042.PP</v>
          </cell>
          <cell r="D31">
            <v>1886</v>
          </cell>
          <cell r="E31">
            <v>0</v>
          </cell>
          <cell r="F31">
            <v>1886</v>
          </cell>
          <cell r="G31">
            <v>0</v>
          </cell>
          <cell r="H31">
            <v>217</v>
          </cell>
          <cell r="I31">
            <v>0</v>
          </cell>
          <cell r="J31">
            <v>0</v>
          </cell>
          <cell r="K31">
            <v>0</v>
          </cell>
          <cell r="L31">
            <v>0</v>
          </cell>
          <cell r="M31">
            <v>0</v>
          </cell>
          <cell r="N31">
            <v>0</v>
          </cell>
          <cell r="O31">
            <v>0</v>
          </cell>
          <cell r="P31">
            <v>0</v>
          </cell>
          <cell r="Q31">
            <v>0</v>
          </cell>
          <cell r="R31">
            <v>0</v>
          </cell>
          <cell r="S31">
            <v>0</v>
          </cell>
          <cell r="T31">
            <v>0</v>
          </cell>
          <cell r="U31">
            <v>0</v>
          </cell>
        </row>
        <row r="32">
          <cell r="A32" t="str">
            <v>TI04818</v>
          </cell>
          <cell r="B32" t="str">
            <v>Licença de Software Logic Linx Hardkey</v>
          </cell>
          <cell r="C32" t="str">
            <v>TINV.18.G.045.LH</v>
          </cell>
          <cell r="D32">
            <v>0</v>
          </cell>
          <cell r="E32">
            <v>0</v>
          </cell>
          <cell r="F32">
            <v>0</v>
          </cell>
          <cell r="G32">
            <v>27</v>
          </cell>
          <cell r="H32">
            <v>0</v>
          </cell>
          <cell r="I32">
            <v>0</v>
          </cell>
          <cell r="J32">
            <v>0</v>
          </cell>
          <cell r="K32">
            <v>0</v>
          </cell>
          <cell r="L32">
            <v>27.339330673217773</v>
          </cell>
          <cell r="M32">
            <v>27.339330673217773</v>
          </cell>
          <cell r="N32">
            <v>0</v>
          </cell>
          <cell r="O32">
            <v>0</v>
          </cell>
          <cell r="P32">
            <v>0</v>
          </cell>
          <cell r="Q32">
            <v>0</v>
          </cell>
          <cell r="R32">
            <v>0</v>
          </cell>
          <cell r="S32">
            <v>0</v>
          </cell>
          <cell r="T32">
            <v>0</v>
          </cell>
          <cell r="U32">
            <v>0</v>
          </cell>
        </row>
        <row r="33">
          <cell r="A33" t="str">
            <v>TI04918</v>
          </cell>
          <cell r="B33" t="str">
            <v>Aquisição Pacote Software Elipse</v>
          </cell>
          <cell r="C33" t="str">
            <v>TINV.18.G.045.SE</v>
          </cell>
          <cell r="D33">
            <v>0</v>
          </cell>
          <cell r="E33">
            <v>0</v>
          </cell>
          <cell r="F33">
            <v>0</v>
          </cell>
          <cell r="G33">
            <v>32</v>
          </cell>
          <cell r="H33">
            <v>0</v>
          </cell>
          <cell r="I33">
            <v>0</v>
          </cell>
          <cell r="J33">
            <v>0</v>
          </cell>
          <cell r="K33">
            <v>0</v>
          </cell>
          <cell r="L33">
            <v>32.383308410644531</v>
          </cell>
          <cell r="M33">
            <v>32.383308410644531</v>
          </cell>
          <cell r="N33">
            <v>0</v>
          </cell>
          <cell r="O33">
            <v>0</v>
          </cell>
          <cell r="P33">
            <v>0</v>
          </cell>
          <cell r="Q33">
            <v>0</v>
          </cell>
          <cell r="R33">
            <v>0</v>
          </cell>
          <cell r="S33">
            <v>0</v>
          </cell>
          <cell r="T33">
            <v>0</v>
          </cell>
          <cell r="U33">
            <v>0</v>
          </cell>
        </row>
        <row r="34">
          <cell r="A34" t="str">
            <v>AM</v>
          </cell>
          <cell r="B34" t="str">
            <v>Atual. Moeda - Veículos</v>
          </cell>
          <cell r="C34" t="str">
            <v>-</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row>
        <row r="35">
          <cell r="A35" t="str">
            <v>CI</v>
          </cell>
          <cell r="B35" t="str">
            <v>Captura de Investimentos</v>
          </cell>
          <cell r="C35" t="str">
            <v>-</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row>
        <row r="36">
          <cell r="A36" t="str">
            <v>GE00618</v>
          </cell>
          <cell r="B36" t="str">
            <v>Planejamento Macroprojeto 1-3-5</v>
          </cell>
          <cell r="C36" t="str">
            <v>INFR.135.00718</v>
          </cell>
          <cell r="D36">
            <v>103</v>
          </cell>
          <cell r="E36">
            <v>0</v>
          </cell>
          <cell r="F36">
            <v>103</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row>
        <row r="37">
          <cell r="A37" t="str">
            <v>NA</v>
          </cell>
          <cell r="B37" t="str">
            <v>Laudos a Serem Apresentados</v>
          </cell>
          <cell r="C37" t="str">
            <v>-</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row>
        <row r="38">
          <cell r="A38" t="str">
            <v>SR</v>
          </cell>
          <cell r="B38" t="str">
            <v>Saldo Residual</v>
          </cell>
          <cell r="C38" t="str">
            <v>-</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row>
        <row r="39">
          <cell r="A39" t="str">
            <v>AM</v>
          </cell>
          <cell r="B39" t="str">
            <v>Atual. Moeda - Ferramentas e Equipamentos - Ciclo (2014/2018)</v>
          </cell>
          <cell r="C39" t="str">
            <v>-</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row>
        <row r="40">
          <cell r="A40" t="str">
            <v>CI</v>
          </cell>
          <cell r="B40" t="str">
            <v>Captura de Investimentos</v>
          </cell>
          <cell r="C40" t="str">
            <v>-</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row>
        <row r="41">
          <cell r="A41" t="str">
            <v>GE00418</v>
          </cell>
          <cell r="B41" t="str">
            <v>Planejamento Macroprojeto 1-3-6</v>
          </cell>
          <cell r="C41" t="str">
            <v>INFR.136.00518</v>
          </cell>
          <cell r="D41">
            <v>518</v>
          </cell>
          <cell r="E41">
            <v>0</v>
          </cell>
          <cell r="F41">
            <v>518</v>
          </cell>
          <cell r="G41">
            <v>0</v>
          </cell>
          <cell r="H41">
            <v>10</v>
          </cell>
          <cell r="I41">
            <v>0</v>
          </cell>
          <cell r="J41">
            <v>0</v>
          </cell>
          <cell r="K41">
            <v>0</v>
          </cell>
          <cell r="L41">
            <v>0</v>
          </cell>
          <cell r="M41">
            <v>0</v>
          </cell>
          <cell r="N41">
            <v>0</v>
          </cell>
          <cell r="O41">
            <v>0</v>
          </cell>
          <cell r="P41">
            <v>0</v>
          </cell>
          <cell r="Q41">
            <v>0</v>
          </cell>
          <cell r="R41">
            <v>0</v>
          </cell>
          <cell r="S41">
            <v>0</v>
          </cell>
          <cell r="T41">
            <v>0</v>
          </cell>
          <cell r="U41">
            <v>0</v>
          </cell>
        </row>
        <row r="42">
          <cell r="A42" t="str">
            <v>MG00318</v>
          </cell>
          <cell r="B42" t="str">
            <v>Ferramentas Cemig GT MG 2018</v>
          </cell>
          <cell r="C42" t="str">
            <v>INGC/18/FERR/MGCT</v>
          </cell>
          <cell r="D42">
            <v>0</v>
          </cell>
          <cell r="E42">
            <v>0</v>
          </cell>
          <cell r="F42">
            <v>0</v>
          </cell>
          <cell r="G42">
            <v>171</v>
          </cell>
          <cell r="H42">
            <v>0</v>
          </cell>
          <cell r="I42">
            <v>0</v>
          </cell>
          <cell r="J42">
            <v>0</v>
          </cell>
          <cell r="K42">
            <v>0</v>
          </cell>
          <cell r="L42">
            <v>10.594230175018311</v>
          </cell>
          <cell r="M42">
            <v>10.594230175018311</v>
          </cell>
          <cell r="N42">
            <v>0</v>
          </cell>
          <cell r="O42">
            <v>0</v>
          </cell>
          <cell r="P42">
            <v>0</v>
          </cell>
          <cell r="Q42">
            <v>0</v>
          </cell>
          <cell r="R42">
            <v>0</v>
          </cell>
          <cell r="S42">
            <v>0</v>
          </cell>
          <cell r="T42">
            <v>0</v>
          </cell>
          <cell r="U42">
            <v>0</v>
          </cell>
        </row>
        <row r="43">
          <cell r="A43" t="str">
            <v>NA</v>
          </cell>
          <cell r="B43" t="str">
            <v>Ferramentas e Equipamentos - G</v>
          </cell>
          <cell r="C43" t="str">
            <v>-</v>
          </cell>
          <cell r="D43">
            <v>1783</v>
          </cell>
          <cell r="E43">
            <v>0</v>
          </cell>
          <cell r="F43">
            <v>0</v>
          </cell>
          <cell r="G43">
            <v>0</v>
          </cell>
          <cell r="H43">
            <v>0</v>
          </cell>
          <cell r="I43">
            <v>0</v>
          </cell>
          <cell r="J43">
            <v>0</v>
          </cell>
          <cell r="K43">
            <v>0</v>
          </cell>
          <cell r="L43">
            <v>0</v>
          </cell>
          <cell r="M43">
            <v>0</v>
          </cell>
          <cell r="N43">
            <v>486</v>
          </cell>
          <cell r="O43">
            <v>602</v>
          </cell>
          <cell r="P43">
            <v>498</v>
          </cell>
          <cell r="Q43">
            <v>197</v>
          </cell>
          <cell r="R43">
            <v>0</v>
          </cell>
          <cell r="S43">
            <v>0</v>
          </cell>
          <cell r="T43">
            <v>0</v>
          </cell>
          <cell r="U43">
            <v>0</v>
          </cell>
        </row>
        <row r="44">
          <cell r="A44" t="str">
            <v>PO00117</v>
          </cell>
          <cell r="B44" t="str">
            <v>Aquisição de Ferramentas - PO/MG</v>
          </cell>
          <cell r="C44" t="str">
            <v>INGT/17/781/POMG</v>
          </cell>
          <cell r="D44">
            <v>0</v>
          </cell>
          <cell r="E44">
            <v>0</v>
          </cell>
          <cell r="F44">
            <v>0</v>
          </cell>
          <cell r="G44">
            <v>74</v>
          </cell>
          <cell r="H44">
            <v>0</v>
          </cell>
          <cell r="I44">
            <v>0</v>
          </cell>
          <cell r="J44">
            <v>0</v>
          </cell>
          <cell r="K44">
            <v>0</v>
          </cell>
          <cell r="L44">
            <v>30.149999618530273</v>
          </cell>
          <cell r="M44">
            <v>30.149999618530273</v>
          </cell>
          <cell r="N44">
            <v>0</v>
          </cell>
          <cell r="O44">
            <v>0</v>
          </cell>
          <cell r="P44">
            <v>0</v>
          </cell>
          <cell r="Q44">
            <v>0</v>
          </cell>
          <cell r="R44">
            <v>0</v>
          </cell>
          <cell r="S44">
            <v>0</v>
          </cell>
          <cell r="T44">
            <v>0</v>
          </cell>
          <cell r="U44">
            <v>0</v>
          </cell>
        </row>
        <row r="45">
          <cell r="A45" t="str">
            <v>PO00118</v>
          </cell>
          <cell r="B45" t="str">
            <v>Equipamentos para monitoramento de vibração</v>
          </cell>
          <cell r="C45" t="str">
            <v>INGT/18/FER/POMG</v>
          </cell>
          <cell r="D45">
            <v>0</v>
          </cell>
          <cell r="E45">
            <v>0</v>
          </cell>
          <cell r="F45">
            <v>0</v>
          </cell>
          <cell r="G45">
            <v>270</v>
          </cell>
          <cell r="H45">
            <v>0</v>
          </cell>
          <cell r="I45">
            <v>9.8500003814697266</v>
          </cell>
          <cell r="J45">
            <v>0</v>
          </cell>
          <cell r="K45">
            <v>9.8500003814697266</v>
          </cell>
          <cell r="L45">
            <v>226.20000076293945</v>
          </cell>
          <cell r="M45">
            <v>236.05000114440918</v>
          </cell>
          <cell r="N45">
            <v>0</v>
          </cell>
          <cell r="O45">
            <v>0</v>
          </cell>
          <cell r="P45">
            <v>0</v>
          </cell>
          <cell r="Q45">
            <v>0</v>
          </cell>
          <cell r="R45">
            <v>0</v>
          </cell>
          <cell r="S45">
            <v>0</v>
          </cell>
          <cell r="T45">
            <v>0</v>
          </cell>
          <cell r="U45">
            <v>0</v>
          </cell>
        </row>
        <row r="46">
          <cell r="A46" t="str">
            <v>SR</v>
          </cell>
          <cell r="B46" t="str">
            <v>Saldo Residual</v>
          </cell>
          <cell r="C46" t="str">
            <v>-</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row>
        <row r="47">
          <cell r="A47" t="str">
            <v>AM</v>
          </cell>
          <cell r="B47" t="str">
            <v xml:space="preserve">Atual. Moeda - Edificações e complementos </v>
          </cell>
          <cell r="C47" t="str">
            <v>-</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row>
        <row r="48">
          <cell r="A48" t="str">
            <v>CI</v>
          </cell>
          <cell r="B48" t="str">
            <v>Captura de Investimentos</v>
          </cell>
          <cell r="C48" t="str">
            <v>-</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row>
        <row r="49">
          <cell r="A49" t="str">
            <v>GE00818</v>
          </cell>
          <cell r="B49" t="str">
            <v>Planejamento Macroprojeto 2-3-1</v>
          </cell>
          <cell r="C49" t="str">
            <v>INFR.231.00918</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row>
        <row r="50">
          <cell r="A50" t="str">
            <v>NA</v>
          </cell>
          <cell r="B50" t="str">
            <v>Laudos a Serem Apresentados</v>
          </cell>
          <cell r="C50" t="str">
            <v>-</v>
          </cell>
          <cell r="D50">
            <v>1911</v>
          </cell>
          <cell r="E50">
            <v>0</v>
          </cell>
          <cell r="F50">
            <v>0</v>
          </cell>
          <cell r="G50">
            <v>0</v>
          </cell>
          <cell r="H50">
            <v>0</v>
          </cell>
          <cell r="I50">
            <v>0</v>
          </cell>
          <cell r="J50">
            <v>0</v>
          </cell>
          <cell r="K50">
            <v>0</v>
          </cell>
          <cell r="L50">
            <v>0</v>
          </cell>
          <cell r="M50">
            <v>0</v>
          </cell>
          <cell r="N50">
            <v>430</v>
          </cell>
          <cell r="O50">
            <v>204</v>
          </cell>
          <cell r="P50">
            <v>1251</v>
          </cell>
          <cell r="Q50">
            <v>26</v>
          </cell>
          <cell r="R50">
            <v>0</v>
          </cell>
          <cell r="S50">
            <v>0</v>
          </cell>
          <cell r="T50">
            <v>0</v>
          </cell>
          <cell r="U50">
            <v>0</v>
          </cell>
        </row>
        <row r="51">
          <cell r="A51" t="str">
            <v>SR</v>
          </cell>
          <cell r="B51" t="str">
            <v>Saldo Residual</v>
          </cell>
          <cell r="C51" t="str">
            <v>-</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row>
        <row r="52">
          <cell r="A52" t="str">
            <v>2264/09</v>
          </cell>
          <cell r="B52" t="str">
            <v>Reformas e Melhorias em EC - T - 2009</v>
          </cell>
          <cell r="C52" t="str">
            <v>2CPO2264</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row>
        <row r="53">
          <cell r="A53" t="str">
            <v>3088/12</v>
          </cell>
          <cell r="B53" t="str">
            <v>Reformas e Melhorias Estação de Telecomunicações da Transmissão</v>
          </cell>
          <cell r="C53" t="str">
            <v>INTC.12.T.054.RM</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row>
        <row r="54">
          <cell r="A54" t="str">
            <v>AM</v>
          </cell>
          <cell r="B54" t="str">
            <v xml:space="preserve">Atual. Moeda - Telecomunicações </v>
          </cell>
          <cell r="C54" t="str">
            <v>-</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row>
        <row r="55">
          <cell r="A55" t="str">
            <v>CI</v>
          </cell>
          <cell r="B55" t="str">
            <v>Captura de Investimentos</v>
          </cell>
          <cell r="C55" t="str">
            <v>-</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row>
        <row r="56">
          <cell r="A56" t="str">
            <v>NA</v>
          </cell>
          <cell r="B56" t="str">
            <v>Laudos a Serem Apresentados</v>
          </cell>
          <cell r="C56" t="str">
            <v>-</v>
          </cell>
          <cell r="D56">
            <v>297</v>
          </cell>
          <cell r="E56">
            <v>0</v>
          </cell>
          <cell r="F56">
            <v>0</v>
          </cell>
          <cell r="G56">
            <v>0</v>
          </cell>
          <cell r="H56">
            <v>0</v>
          </cell>
          <cell r="I56">
            <v>0</v>
          </cell>
          <cell r="J56">
            <v>0</v>
          </cell>
          <cell r="K56">
            <v>0</v>
          </cell>
          <cell r="L56">
            <v>0</v>
          </cell>
          <cell r="M56">
            <v>0</v>
          </cell>
          <cell r="N56">
            <v>46</v>
          </cell>
          <cell r="O56">
            <v>83</v>
          </cell>
          <cell r="P56">
            <v>90</v>
          </cell>
          <cell r="Q56">
            <v>78</v>
          </cell>
          <cell r="R56">
            <v>0</v>
          </cell>
          <cell r="S56">
            <v>0</v>
          </cell>
          <cell r="T56">
            <v>0</v>
          </cell>
          <cell r="U56">
            <v>0</v>
          </cell>
        </row>
        <row r="57">
          <cell r="A57" t="str">
            <v>SR</v>
          </cell>
          <cell r="B57" t="str">
            <v>Saldo Residual</v>
          </cell>
          <cell r="C57" t="str">
            <v>-</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row>
        <row r="58">
          <cell r="A58" t="str">
            <v>TI03718</v>
          </cell>
          <cell r="B58" t="str">
            <v>Planejamento Macroprojeto 2-3-2</v>
          </cell>
          <cell r="C58" t="str">
            <v>TINV.18.T.054.PP</v>
          </cell>
          <cell r="D58">
            <v>142</v>
          </cell>
          <cell r="E58">
            <v>0</v>
          </cell>
          <cell r="F58">
            <v>142</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row>
        <row r="59">
          <cell r="A59" t="str">
            <v>AM</v>
          </cell>
          <cell r="B59" t="str">
            <v>Atual. Moeda - Microinformática</v>
          </cell>
          <cell r="C59" t="str">
            <v>-</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row>
        <row r="60">
          <cell r="A60" t="str">
            <v>CI</v>
          </cell>
          <cell r="B60" t="str">
            <v>Captura de Investimentos</v>
          </cell>
          <cell r="C60" t="str">
            <v>-</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row>
        <row r="61">
          <cell r="A61" t="str">
            <v>NA</v>
          </cell>
          <cell r="B61" t="str">
            <v>Laudos a Serem Apresentados</v>
          </cell>
          <cell r="C61" t="str">
            <v>-</v>
          </cell>
          <cell r="D61">
            <v>529</v>
          </cell>
          <cell r="E61">
            <v>0</v>
          </cell>
          <cell r="F61">
            <v>0</v>
          </cell>
          <cell r="G61">
            <v>0</v>
          </cell>
          <cell r="H61">
            <v>0</v>
          </cell>
          <cell r="I61">
            <v>0</v>
          </cell>
          <cell r="J61">
            <v>0</v>
          </cell>
          <cell r="K61">
            <v>0</v>
          </cell>
          <cell r="L61">
            <v>0</v>
          </cell>
          <cell r="M61">
            <v>0</v>
          </cell>
          <cell r="N61">
            <v>55</v>
          </cell>
          <cell r="O61">
            <v>209</v>
          </cell>
          <cell r="P61">
            <v>55</v>
          </cell>
          <cell r="Q61">
            <v>210</v>
          </cell>
          <cell r="R61">
            <v>0</v>
          </cell>
          <cell r="S61">
            <v>0</v>
          </cell>
          <cell r="T61">
            <v>0</v>
          </cell>
          <cell r="U61">
            <v>0</v>
          </cell>
        </row>
        <row r="62">
          <cell r="A62" t="str">
            <v>SR</v>
          </cell>
          <cell r="B62" t="str">
            <v>Saldo Residual</v>
          </cell>
          <cell r="C62" t="str">
            <v>-</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row>
        <row r="63">
          <cell r="A63" t="str">
            <v>TI03818</v>
          </cell>
          <cell r="B63" t="str">
            <v>Planejamento Macroprojeto 2-3-3</v>
          </cell>
          <cell r="C63" t="str">
            <v>TINV.18.T.045.PP</v>
          </cell>
          <cell r="D63">
            <v>415</v>
          </cell>
          <cell r="E63">
            <v>0</v>
          </cell>
          <cell r="F63">
            <v>415</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row>
        <row r="64">
          <cell r="A64" t="str">
            <v>TI04418</v>
          </cell>
          <cell r="B64" t="str">
            <v>Modernização do Parque de Microinformática</v>
          </cell>
          <cell r="C64" t="str">
            <v>TINV.18.T.045.MP</v>
          </cell>
          <cell r="D64">
            <v>0</v>
          </cell>
          <cell r="E64">
            <v>0</v>
          </cell>
          <cell r="F64">
            <v>0</v>
          </cell>
          <cell r="G64">
            <v>415</v>
          </cell>
          <cell r="H64">
            <v>0</v>
          </cell>
          <cell r="I64">
            <v>0</v>
          </cell>
          <cell r="J64">
            <v>0</v>
          </cell>
          <cell r="K64">
            <v>0</v>
          </cell>
          <cell r="L64">
            <v>382</v>
          </cell>
          <cell r="M64">
            <v>382</v>
          </cell>
          <cell r="N64">
            <v>0</v>
          </cell>
          <cell r="O64">
            <v>0</v>
          </cell>
          <cell r="P64">
            <v>0</v>
          </cell>
          <cell r="Q64">
            <v>0</v>
          </cell>
          <cell r="R64">
            <v>0</v>
          </cell>
          <cell r="S64">
            <v>0</v>
          </cell>
          <cell r="T64">
            <v>0</v>
          </cell>
          <cell r="U64">
            <v>0</v>
          </cell>
        </row>
        <row r="65">
          <cell r="A65" t="str">
            <v>AM</v>
          </cell>
          <cell r="B65" t="str">
            <v>Atual. Moeda - Sistema de Informática</v>
          </cell>
          <cell r="C65" t="str">
            <v>-</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row>
        <row r="66">
          <cell r="A66" t="str">
            <v>CI</v>
          </cell>
          <cell r="B66" t="str">
            <v>Captura de Investimentos</v>
          </cell>
          <cell r="C66" t="str">
            <v>-</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row>
        <row r="67">
          <cell r="A67" t="str">
            <v>NA</v>
          </cell>
          <cell r="B67" t="str">
            <v>Laudos a Serem Apresentados</v>
          </cell>
          <cell r="C67" t="str">
            <v>-</v>
          </cell>
          <cell r="D67">
            <v>514</v>
          </cell>
          <cell r="E67">
            <v>0</v>
          </cell>
          <cell r="F67">
            <v>0</v>
          </cell>
          <cell r="G67">
            <v>0</v>
          </cell>
          <cell r="H67">
            <v>0</v>
          </cell>
          <cell r="I67">
            <v>0</v>
          </cell>
          <cell r="J67">
            <v>0</v>
          </cell>
          <cell r="K67">
            <v>0</v>
          </cell>
          <cell r="L67">
            <v>0</v>
          </cell>
          <cell r="M67">
            <v>0</v>
          </cell>
          <cell r="N67">
            <v>128.5</v>
          </cell>
          <cell r="O67">
            <v>128.5</v>
          </cell>
          <cell r="P67">
            <v>128.5</v>
          </cell>
          <cell r="Q67">
            <v>128.5</v>
          </cell>
          <cell r="R67">
            <v>0</v>
          </cell>
          <cell r="S67">
            <v>0</v>
          </cell>
          <cell r="T67">
            <v>0</v>
          </cell>
          <cell r="U67">
            <v>0</v>
          </cell>
        </row>
        <row r="68">
          <cell r="A68" t="str">
            <v>SR</v>
          </cell>
          <cell r="B68" t="str">
            <v>Saldo Residual</v>
          </cell>
          <cell r="C68" t="str">
            <v>-</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row>
        <row r="69">
          <cell r="A69" t="str">
            <v>TI03918</v>
          </cell>
          <cell r="B69" t="str">
            <v>Planejamento Macroprojeto 2-3-4</v>
          </cell>
          <cell r="C69" t="str">
            <v>TINV.18.T.042.PP</v>
          </cell>
          <cell r="D69">
            <v>129</v>
          </cell>
          <cell r="E69">
            <v>0</v>
          </cell>
          <cell r="F69">
            <v>129</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row>
        <row r="70">
          <cell r="A70" t="str">
            <v>AM</v>
          </cell>
          <cell r="B70" t="str">
            <v>Atual. Moeda - Veículos</v>
          </cell>
          <cell r="C70" t="str">
            <v>-</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row>
        <row r="71">
          <cell r="A71" t="str">
            <v>CI</v>
          </cell>
          <cell r="B71" t="str">
            <v>Captura de Investimentos</v>
          </cell>
          <cell r="C71" t="str">
            <v>-</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row>
        <row r="72">
          <cell r="A72" t="str">
            <v>GE00918</v>
          </cell>
          <cell r="B72" t="str">
            <v>Planejamento Macroprojeto 2-3-5</v>
          </cell>
          <cell r="C72" t="str">
            <v>INFR.235.01018</v>
          </cell>
          <cell r="D72">
            <v>1618</v>
          </cell>
          <cell r="E72">
            <v>0</v>
          </cell>
          <cell r="F72">
            <v>1618</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row>
        <row r="73">
          <cell r="A73" t="str">
            <v>MT00218</v>
          </cell>
          <cell r="B73" t="str">
            <v>MT - Equipamentos e Veículos</v>
          </cell>
          <cell r="C73" t="str">
            <v>INAT/18/VE</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row>
        <row r="74">
          <cell r="A74" t="str">
            <v>NA</v>
          </cell>
          <cell r="B74" t="str">
            <v>Laudos a Serem Apresentados</v>
          </cell>
          <cell r="C74" t="str">
            <v>-</v>
          </cell>
          <cell r="D74">
            <v>2058</v>
          </cell>
          <cell r="E74">
            <v>0</v>
          </cell>
          <cell r="F74">
            <v>0</v>
          </cell>
          <cell r="G74">
            <v>0</v>
          </cell>
          <cell r="H74">
            <v>0</v>
          </cell>
          <cell r="I74">
            <v>0</v>
          </cell>
          <cell r="J74">
            <v>0</v>
          </cell>
          <cell r="K74">
            <v>0</v>
          </cell>
          <cell r="L74">
            <v>0</v>
          </cell>
          <cell r="M74">
            <v>0</v>
          </cell>
          <cell r="N74">
            <v>0</v>
          </cell>
          <cell r="O74">
            <v>1050</v>
          </cell>
          <cell r="P74">
            <v>1008</v>
          </cell>
          <cell r="Q74">
            <v>0</v>
          </cell>
          <cell r="R74">
            <v>0</v>
          </cell>
          <cell r="S74">
            <v>0</v>
          </cell>
          <cell r="T74">
            <v>0</v>
          </cell>
          <cell r="U74">
            <v>0</v>
          </cell>
        </row>
        <row r="75">
          <cell r="A75" t="str">
            <v>SR</v>
          </cell>
          <cell r="B75" t="str">
            <v>Saldo Residual</v>
          </cell>
          <cell r="C75" t="str">
            <v>-</v>
          </cell>
          <cell r="D75">
            <v>9.9999999999909106E-2</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row>
        <row r="76">
          <cell r="A76" t="str">
            <v>AM</v>
          </cell>
          <cell r="B76" t="str">
            <v xml:space="preserve">Atual. Moeda - Ferramentas e Equipamentos </v>
          </cell>
          <cell r="C76" t="str">
            <v>-</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row>
        <row r="77">
          <cell r="A77" t="str">
            <v>CI</v>
          </cell>
          <cell r="B77" t="str">
            <v>Captura de Investimentos</v>
          </cell>
          <cell r="C77" t="str">
            <v>-</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row>
        <row r="78">
          <cell r="A78" t="str">
            <v>GE00718</v>
          </cell>
          <cell r="B78" t="str">
            <v>Planejamento Macroprojeto 2-3-6</v>
          </cell>
          <cell r="C78" t="str">
            <v>INFR.236.00818</v>
          </cell>
          <cell r="D78">
            <v>1815</v>
          </cell>
          <cell r="E78">
            <v>0</v>
          </cell>
          <cell r="F78">
            <v>1815</v>
          </cell>
          <cell r="G78">
            <v>0</v>
          </cell>
          <cell r="H78">
            <v>15</v>
          </cell>
          <cell r="I78">
            <v>0</v>
          </cell>
          <cell r="J78">
            <v>0</v>
          </cell>
          <cell r="K78">
            <v>0</v>
          </cell>
          <cell r="L78">
            <v>0</v>
          </cell>
          <cell r="M78">
            <v>0</v>
          </cell>
          <cell r="N78">
            <v>0</v>
          </cell>
          <cell r="O78">
            <v>0</v>
          </cell>
          <cell r="P78">
            <v>0</v>
          </cell>
          <cell r="Q78">
            <v>0</v>
          </cell>
          <cell r="R78">
            <v>0</v>
          </cell>
          <cell r="S78">
            <v>0</v>
          </cell>
          <cell r="T78">
            <v>0</v>
          </cell>
          <cell r="U78">
            <v>0</v>
          </cell>
        </row>
        <row r="79">
          <cell r="A79" t="str">
            <v>MT00516</v>
          </cell>
          <cell r="B79" t="str">
            <v>Ferramentas 2016 - MT</v>
          </cell>
          <cell r="C79" t="str">
            <v>INAT/16/FE</v>
          </cell>
          <cell r="D79">
            <v>0</v>
          </cell>
          <cell r="E79">
            <v>0</v>
          </cell>
          <cell r="F79">
            <v>0</v>
          </cell>
          <cell r="G79">
            <v>5</v>
          </cell>
          <cell r="H79">
            <v>0</v>
          </cell>
          <cell r="I79">
            <v>3.4775899946689606</v>
          </cell>
          <cell r="J79">
            <v>0</v>
          </cell>
          <cell r="K79">
            <v>3.4775899946689606</v>
          </cell>
          <cell r="L79">
            <v>0</v>
          </cell>
          <cell r="M79">
            <v>3.4775899946689606</v>
          </cell>
          <cell r="N79">
            <v>0</v>
          </cell>
          <cell r="O79">
            <v>0</v>
          </cell>
          <cell r="P79">
            <v>0</v>
          </cell>
          <cell r="Q79">
            <v>0</v>
          </cell>
          <cell r="R79">
            <v>0</v>
          </cell>
          <cell r="S79">
            <v>0</v>
          </cell>
          <cell r="T79">
            <v>0</v>
          </cell>
          <cell r="U79">
            <v>0</v>
          </cell>
        </row>
        <row r="80">
          <cell r="A80" t="str">
            <v>MT01017</v>
          </cell>
          <cell r="B80" t="str">
            <v>Ferramentas de Manutenção (Ciclo 2017-2025) - MT</v>
          </cell>
          <cell r="C80" t="str">
            <v>INAT/18/FE</v>
          </cell>
          <cell r="D80">
            <v>0</v>
          </cell>
          <cell r="E80">
            <v>0</v>
          </cell>
          <cell r="F80">
            <v>0</v>
          </cell>
          <cell r="G80">
            <v>1088</v>
          </cell>
          <cell r="H80">
            <v>0</v>
          </cell>
          <cell r="I80">
            <v>11.640000343322754</v>
          </cell>
          <cell r="J80">
            <v>0</v>
          </cell>
          <cell r="K80">
            <v>11.640000343322754</v>
          </cell>
          <cell r="L80">
            <v>2.5</v>
          </cell>
          <cell r="M80">
            <v>14.140000343322754</v>
          </cell>
          <cell r="N80">
            <v>0</v>
          </cell>
          <cell r="O80">
            <v>0</v>
          </cell>
          <cell r="P80">
            <v>0</v>
          </cell>
          <cell r="Q80">
            <v>0</v>
          </cell>
          <cell r="R80">
            <v>0</v>
          </cell>
          <cell r="S80">
            <v>0</v>
          </cell>
          <cell r="T80">
            <v>0</v>
          </cell>
          <cell r="U80">
            <v>0</v>
          </cell>
        </row>
        <row r="81">
          <cell r="A81" t="str">
            <v>NA</v>
          </cell>
          <cell r="B81" t="str">
            <v>Ferramentas e Equipamentos - T (Ciclo 2017 - 2025)</v>
          </cell>
          <cell r="C81" t="str">
            <v>-</v>
          </cell>
          <cell r="D81">
            <v>4823</v>
          </cell>
          <cell r="E81">
            <v>0</v>
          </cell>
          <cell r="F81">
            <v>0</v>
          </cell>
          <cell r="G81">
            <v>0</v>
          </cell>
          <cell r="H81">
            <v>0</v>
          </cell>
          <cell r="I81">
            <v>0</v>
          </cell>
          <cell r="J81">
            <v>0</v>
          </cell>
          <cell r="K81">
            <v>0</v>
          </cell>
          <cell r="L81">
            <v>0</v>
          </cell>
          <cell r="M81">
            <v>0</v>
          </cell>
          <cell r="N81">
            <v>1496</v>
          </cell>
          <cell r="O81">
            <v>777</v>
          </cell>
          <cell r="P81">
            <v>2550</v>
          </cell>
          <cell r="Q81">
            <v>0</v>
          </cell>
          <cell r="R81">
            <v>0</v>
          </cell>
          <cell r="S81">
            <v>0</v>
          </cell>
          <cell r="T81">
            <v>0</v>
          </cell>
          <cell r="U81">
            <v>0</v>
          </cell>
        </row>
        <row r="82">
          <cell r="A82" t="str">
            <v>PO00417</v>
          </cell>
          <cell r="B82" t="str">
            <v>Aquisição de Diversos Equipamentos</v>
          </cell>
          <cell r="C82" t="str">
            <v>INGT/18/783/FERR</v>
          </cell>
          <cell r="D82">
            <v>0</v>
          </cell>
          <cell r="E82">
            <v>0</v>
          </cell>
          <cell r="F82">
            <v>0</v>
          </cell>
          <cell r="G82">
            <v>715</v>
          </cell>
          <cell r="H82">
            <v>0</v>
          </cell>
          <cell r="I82">
            <v>35</v>
          </cell>
          <cell r="J82">
            <v>0</v>
          </cell>
          <cell r="K82">
            <v>35</v>
          </cell>
          <cell r="L82">
            <v>669.41599607467651</v>
          </cell>
          <cell r="M82">
            <v>704.41599607467651</v>
          </cell>
          <cell r="N82">
            <v>0</v>
          </cell>
          <cell r="O82">
            <v>0</v>
          </cell>
          <cell r="P82">
            <v>0</v>
          </cell>
          <cell r="Q82">
            <v>0</v>
          </cell>
          <cell r="R82">
            <v>0</v>
          </cell>
          <cell r="S82">
            <v>0</v>
          </cell>
          <cell r="T82">
            <v>0</v>
          </cell>
          <cell r="U82">
            <v>0</v>
          </cell>
        </row>
        <row r="83">
          <cell r="A83" t="str">
            <v>SR</v>
          </cell>
          <cell r="B83" t="str">
            <v>Saldo Residual</v>
          </cell>
          <cell r="C83" t="str">
            <v>-</v>
          </cell>
          <cell r="D83">
            <v>9.9920072216264089E-16</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row>
        <row r="84">
          <cell r="A84" t="str">
            <v>2509/10</v>
          </cell>
          <cell r="B84" t="str">
            <v>Programa de Substituição e Modernização de Ferramentas p/ DDC</v>
          </cell>
          <cell r="C84" t="str">
            <v>PIGD.10.905.O1.GF</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row>
        <row r="85">
          <cell r="A85" t="str">
            <v>2556/10</v>
          </cell>
          <cell r="B85" t="str">
            <v>Ferramentas e Equipamentos para PE</v>
          </cell>
          <cell r="C85" t="str">
            <v>PIGD.10.178.O1.GF</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row>
        <row r="86">
          <cell r="A86" t="str">
            <v>2710/11</v>
          </cell>
          <cell r="B86" t="str">
            <v>Ferramentas p/ Equipes de Inspeções em LT</v>
          </cell>
          <cell r="C86" t="str">
            <v>PIGD.11.856.O1.GF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row>
        <row r="87">
          <cell r="A87" t="str">
            <v>2716/11</v>
          </cell>
          <cell r="B87" t="str">
            <v>Ferramentas p/ MD, PE, PR</v>
          </cell>
          <cell r="C87" t="str">
            <v>PIGD.11.896.O1.GF</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row>
        <row r="88">
          <cell r="A88" t="str">
            <v>2717/11</v>
          </cell>
          <cell r="B88" t="str">
            <v>Ferramentas Operacionais SD/LS</v>
          </cell>
          <cell r="C88" t="str">
            <v>PIGD.11.896.O2.GF</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row>
        <row r="89">
          <cell r="A89" t="str">
            <v>2854/11</v>
          </cell>
          <cell r="B89" t="str">
            <v>Termovisor para Inspeções em LT</v>
          </cell>
          <cell r="C89" t="str">
            <v>PIGD.11.856.O2.GF</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row>
        <row r="90">
          <cell r="A90" t="str">
            <v>2896/11</v>
          </cell>
          <cell r="B90" t="str">
            <v>Ferramentas Operacionais para CD/DDC</v>
          </cell>
          <cell r="C90" t="str">
            <v>PIGD.11.896.O3.GF</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row>
        <row r="91">
          <cell r="A91" t="str">
            <v>2922/11</v>
          </cell>
          <cell r="B91" t="str">
            <v>Ferramentas DDC 2012</v>
          </cell>
          <cell r="C91" t="str">
            <v>PIGD.11.896.O4.GF</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row>
        <row r="92">
          <cell r="A92" t="str">
            <v>AM</v>
          </cell>
          <cell r="B92" t="str">
            <v xml:space="preserve">Atual. Moeda - Ferramentas </v>
          </cell>
          <cell r="C92" t="str">
            <v>-</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row>
        <row r="93">
          <cell r="A93" t="str">
            <v>CD00116</v>
          </cell>
          <cell r="B93" t="str">
            <v>Notebooks para Manutenção de Rede</v>
          </cell>
          <cell r="C93" t="str">
            <v>PIGD.16.687.O1.GF</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row>
        <row r="94">
          <cell r="A94" t="str">
            <v>CD00315</v>
          </cell>
          <cell r="B94" t="str">
            <v>Ferramentas DDC 2015</v>
          </cell>
          <cell r="C94" t="str">
            <v>3CPOCD00315</v>
          </cell>
          <cell r="D94">
            <v>0</v>
          </cell>
          <cell r="E94">
            <v>0</v>
          </cell>
          <cell r="F94">
            <v>0</v>
          </cell>
          <cell r="G94">
            <v>13</v>
          </cell>
          <cell r="H94">
            <v>0</v>
          </cell>
          <cell r="I94">
            <v>11.104649901390076</v>
          </cell>
          <cell r="J94">
            <v>0</v>
          </cell>
          <cell r="K94">
            <v>11.104649901390076</v>
          </cell>
          <cell r="L94">
            <v>0</v>
          </cell>
          <cell r="M94">
            <v>11.104649901390076</v>
          </cell>
          <cell r="N94">
            <v>0</v>
          </cell>
          <cell r="O94">
            <v>0</v>
          </cell>
          <cell r="P94">
            <v>0</v>
          </cell>
          <cell r="Q94">
            <v>0</v>
          </cell>
          <cell r="R94">
            <v>0</v>
          </cell>
          <cell r="S94">
            <v>0</v>
          </cell>
          <cell r="T94">
            <v>0</v>
          </cell>
          <cell r="U94">
            <v>0</v>
          </cell>
        </row>
        <row r="95">
          <cell r="A95" t="str">
            <v>CI</v>
          </cell>
          <cell r="B95" t="str">
            <v>Captura de Investimentos</v>
          </cell>
          <cell r="C95" t="str">
            <v>-</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row>
        <row r="96">
          <cell r="A96" t="str">
            <v>GE00118</v>
          </cell>
          <cell r="B96" t="str">
            <v>Planejamento Macroprojeto 3-4-1</v>
          </cell>
          <cell r="C96" t="str">
            <v>INFR.341.00118</v>
          </cell>
          <cell r="D96">
            <v>2417</v>
          </cell>
          <cell r="E96">
            <v>0</v>
          </cell>
          <cell r="F96">
            <v>2417</v>
          </cell>
          <cell r="G96">
            <v>0</v>
          </cell>
          <cell r="H96">
            <v>13</v>
          </cell>
          <cell r="I96">
            <v>0</v>
          </cell>
          <cell r="J96">
            <v>0</v>
          </cell>
          <cell r="K96">
            <v>0</v>
          </cell>
          <cell r="L96">
            <v>0</v>
          </cell>
          <cell r="M96">
            <v>0</v>
          </cell>
          <cell r="N96">
            <v>0</v>
          </cell>
          <cell r="O96">
            <v>0</v>
          </cell>
          <cell r="P96">
            <v>0</v>
          </cell>
          <cell r="Q96">
            <v>0</v>
          </cell>
          <cell r="R96">
            <v>0</v>
          </cell>
          <cell r="S96">
            <v>0</v>
          </cell>
          <cell r="T96">
            <v>0</v>
          </cell>
          <cell r="U96">
            <v>0</v>
          </cell>
        </row>
        <row r="97">
          <cell r="A97" t="str">
            <v>NA</v>
          </cell>
          <cell r="B97" t="str">
            <v>Laudos a Serem Apresentados</v>
          </cell>
          <cell r="C97" t="str">
            <v>-</v>
          </cell>
          <cell r="D97">
            <v>11667</v>
          </cell>
          <cell r="E97">
            <v>0</v>
          </cell>
          <cell r="F97">
            <v>0</v>
          </cell>
          <cell r="G97">
            <v>0</v>
          </cell>
          <cell r="H97">
            <v>0</v>
          </cell>
          <cell r="I97">
            <v>0</v>
          </cell>
          <cell r="J97">
            <v>0</v>
          </cell>
          <cell r="K97">
            <v>0</v>
          </cell>
          <cell r="L97">
            <v>0</v>
          </cell>
          <cell r="M97">
            <v>0</v>
          </cell>
          <cell r="N97">
            <v>2235</v>
          </cell>
          <cell r="O97">
            <v>3005</v>
          </cell>
          <cell r="P97">
            <v>3898</v>
          </cell>
          <cell r="Q97">
            <v>2529</v>
          </cell>
          <cell r="R97">
            <v>0</v>
          </cell>
          <cell r="S97">
            <v>0</v>
          </cell>
          <cell r="T97">
            <v>0</v>
          </cell>
          <cell r="U97">
            <v>0</v>
          </cell>
        </row>
        <row r="98">
          <cell r="A98" t="str">
            <v>SR</v>
          </cell>
          <cell r="B98" t="str">
            <v>Saldo Residual</v>
          </cell>
          <cell r="C98" t="str">
            <v>-</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row>
        <row r="99">
          <cell r="A99" t="str">
            <v>AM</v>
          </cell>
          <cell r="B99" t="str">
            <v xml:space="preserve">Atual. Moeda - Edificações e complementos </v>
          </cell>
          <cell r="C99" t="str">
            <v>-</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row>
        <row r="100">
          <cell r="A100" t="str">
            <v>CD00115</v>
          </cell>
          <cell r="B100" t="str">
            <v>Sistema Videowall do COD</v>
          </cell>
          <cell r="C100" t="str">
            <v>PIGD.15.170.O1.GE</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row>
        <row r="101">
          <cell r="A101" t="str">
            <v>CD00215</v>
          </cell>
          <cell r="B101" t="str">
            <v>Equipamentos de Infraestrutura para DDC 2015</v>
          </cell>
          <cell r="C101" t="str">
            <v>PIGD.15.687.O1.GE</v>
          </cell>
          <cell r="D101">
            <v>0</v>
          </cell>
          <cell r="E101">
            <v>0</v>
          </cell>
          <cell r="F101">
            <v>0</v>
          </cell>
          <cell r="G101">
            <v>56</v>
          </cell>
          <cell r="H101">
            <v>0</v>
          </cell>
          <cell r="I101">
            <v>54.296999216079712</v>
          </cell>
          <cell r="J101">
            <v>0</v>
          </cell>
          <cell r="K101">
            <v>54.296999216079712</v>
          </cell>
          <cell r="L101">
            <v>0</v>
          </cell>
          <cell r="M101">
            <v>54.296999216079712</v>
          </cell>
          <cell r="N101">
            <v>0</v>
          </cell>
          <cell r="O101">
            <v>0</v>
          </cell>
          <cell r="P101">
            <v>0</v>
          </cell>
          <cell r="Q101">
            <v>0</v>
          </cell>
          <cell r="R101">
            <v>0</v>
          </cell>
          <cell r="S101">
            <v>0</v>
          </cell>
          <cell r="T101">
            <v>0</v>
          </cell>
          <cell r="U101">
            <v>0</v>
          </cell>
        </row>
        <row r="102">
          <cell r="A102" t="str">
            <v>CI</v>
          </cell>
          <cell r="B102" t="str">
            <v>Captura de Investimentos</v>
          </cell>
          <cell r="C102" t="str">
            <v>-</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row>
        <row r="103">
          <cell r="A103" t="str">
            <v>GE00214</v>
          </cell>
          <cell r="B103" t="str">
            <v>Projeto de CFTV e Conectividade do Edifício Julio Soares</v>
          </cell>
          <cell r="C103" t="str">
            <v>INFR.342.00414</v>
          </cell>
          <cell r="D103">
            <v>0</v>
          </cell>
          <cell r="E103">
            <v>0</v>
          </cell>
          <cell r="F103">
            <v>0</v>
          </cell>
          <cell r="G103">
            <v>2</v>
          </cell>
          <cell r="H103">
            <v>0</v>
          </cell>
          <cell r="I103">
            <v>1.7749999761581421</v>
          </cell>
          <cell r="J103">
            <v>0</v>
          </cell>
          <cell r="K103">
            <v>1.7749999761581421</v>
          </cell>
          <cell r="L103">
            <v>0</v>
          </cell>
          <cell r="M103">
            <v>1.7749999761581421</v>
          </cell>
          <cell r="N103">
            <v>0</v>
          </cell>
          <cell r="O103">
            <v>0</v>
          </cell>
          <cell r="P103">
            <v>0</v>
          </cell>
          <cell r="Q103">
            <v>0</v>
          </cell>
          <cell r="R103">
            <v>0</v>
          </cell>
          <cell r="S103">
            <v>0</v>
          </cell>
          <cell r="T103">
            <v>0</v>
          </cell>
          <cell r="U103">
            <v>0</v>
          </cell>
        </row>
        <row r="104">
          <cell r="A104" t="str">
            <v>GE00218</v>
          </cell>
          <cell r="B104" t="str">
            <v>Planejamento Macroprojeto 3-4-2</v>
          </cell>
          <cell r="C104" t="str">
            <v>INFR.342.00218</v>
          </cell>
          <cell r="D104">
            <v>6259</v>
          </cell>
          <cell r="E104">
            <v>0</v>
          </cell>
          <cell r="F104">
            <v>6259</v>
          </cell>
          <cell r="G104">
            <v>0</v>
          </cell>
          <cell r="H104">
            <v>56</v>
          </cell>
          <cell r="I104">
            <v>0</v>
          </cell>
          <cell r="J104">
            <v>0</v>
          </cell>
          <cell r="K104">
            <v>0</v>
          </cell>
          <cell r="L104">
            <v>0</v>
          </cell>
          <cell r="M104">
            <v>0</v>
          </cell>
          <cell r="N104">
            <v>0</v>
          </cell>
          <cell r="O104">
            <v>0</v>
          </cell>
          <cell r="P104">
            <v>0</v>
          </cell>
          <cell r="Q104">
            <v>0</v>
          </cell>
          <cell r="R104">
            <v>0</v>
          </cell>
          <cell r="S104">
            <v>0</v>
          </cell>
          <cell r="T104">
            <v>0</v>
          </cell>
          <cell r="U104">
            <v>0</v>
          </cell>
        </row>
        <row r="105">
          <cell r="A105" t="str">
            <v>NA</v>
          </cell>
          <cell r="B105" t="str">
            <v>Laudos a Serem Apresentados</v>
          </cell>
          <cell r="C105" t="str">
            <v>-</v>
          </cell>
          <cell r="D105">
            <v>34192</v>
          </cell>
          <cell r="E105">
            <v>0</v>
          </cell>
          <cell r="F105">
            <v>0</v>
          </cell>
          <cell r="G105">
            <v>0</v>
          </cell>
          <cell r="H105">
            <v>0</v>
          </cell>
          <cell r="I105">
            <v>0</v>
          </cell>
          <cell r="J105">
            <v>0</v>
          </cell>
          <cell r="K105">
            <v>0</v>
          </cell>
          <cell r="L105">
            <v>0</v>
          </cell>
          <cell r="M105">
            <v>0</v>
          </cell>
          <cell r="N105">
            <v>8703</v>
          </cell>
          <cell r="O105">
            <v>9836</v>
          </cell>
          <cell r="P105">
            <v>9596</v>
          </cell>
          <cell r="Q105">
            <v>6057</v>
          </cell>
          <cell r="R105">
            <v>0</v>
          </cell>
          <cell r="S105">
            <v>0</v>
          </cell>
          <cell r="T105">
            <v>0</v>
          </cell>
          <cell r="U105">
            <v>0</v>
          </cell>
        </row>
        <row r="106">
          <cell r="A106" t="str">
            <v>RH00118</v>
          </cell>
          <cell r="B106" t="str">
            <v>Projetos de Infraestrutura RH/EC</v>
          </cell>
          <cell r="C106" t="str">
            <v>INFR.342.00118</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row>
        <row r="107">
          <cell r="A107" t="str">
            <v>SC00117</v>
          </cell>
          <cell r="B107" t="str">
            <v>CDI - Sete Lagoas - Execução de reforço do talude e obra de drenagem</v>
          </cell>
          <cell r="C107" t="str">
            <v>INFR.342.00117</v>
          </cell>
          <cell r="D107">
            <v>0</v>
          </cell>
          <cell r="E107">
            <v>0</v>
          </cell>
          <cell r="F107">
            <v>0</v>
          </cell>
          <cell r="G107">
            <v>250</v>
          </cell>
          <cell r="H107">
            <v>0</v>
          </cell>
          <cell r="I107">
            <v>0</v>
          </cell>
          <cell r="J107">
            <v>0</v>
          </cell>
          <cell r="K107">
            <v>0</v>
          </cell>
          <cell r="L107">
            <v>51.18402099609375</v>
          </cell>
          <cell r="M107">
            <v>51.18402099609375</v>
          </cell>
          <cell r="N107">
            <v>0</v>
          </cell>
          <cell r="O107">
            <v>0</v>
          </cell>
          <cell r="P107">
            <v>0</v>
          </cell>
          <cell r="Q107">
            <v>0</v>
          </cell>
          <cell r="R107">
            <v>0</v>
          </cell>
          <cell r="S107">
            <v>0</v>
          </cell>
          <cell r="T107">
            <v>0</v>
          </cell>
          <cell r="U107">
            <v>0</v>
          </cell>
        </row>
        <row r="108">
          <cell r="A108" t="str">
            <v>SR</v>
          </cell>
          <cell r="B108" t="str">
            <v>Saldo Residual</v>
          </cell>
          <cell r="C108" t="str">
            <v>-</v>
          </cell>
          <cell r="D108">
            <v>0.5</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row>
        <row r="109">
          <cell r="A109" t="str">
            <v>AM</v>
          </cell>
          <cell r="B109" t="str">
            <v xml:space="preserve">Atual. Moeda - Telecomunicações (Aureliano Chaves) </v>
          </cell>
          <cell r="C109" t="str">
            <v>-</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row>
        <row r="110">
          <cell r="A110" t="str">
            <v>CI</v>
          </cell>
          <cell r="B110" t="str">
            <v>Captura de Investimentos</v>
          </cell>
          <cell r="C110" t="str">
            <v>-</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row>
        <row r="111">
          <cell r="A111" t="str">
            <v>NA</v>
          </cell>
          <cell r="B111" t="str">
            <v>Laudos a Serem Apresentados</v>
          </cell>
          <cell r="C111" t="str">
            <v>-</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row>
        <row r="112">
          <cell r="A112" t="str">
            <v>SR</v>
          </cell>
          <cell r="B112" t="str">
            <v>Saldo Residual</v>
          </cell>
          <cell r="C112" t="str">
            <v>-</v>
          </cell>
          <cell r="D112">
            <v>-1</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row>
        <row r="113">
          <cell r="A113" t="str">
            <v>TI01518</v>
          </cell>
          <cell r="B113" t="str">
            <v>Planejamento Macroprojeto 3-4-3-1</v>
          </cell>
          <cell r="C113" t="str">
            <v>TINV.18.D.054.PP</v>
          </cell>
          <cell r="D113">
            <v>34563</v>
          </cell>
          <cell r="E113">
            <v>0</v>
          </cell>
          <cell r="F113">
            <v>4112</v>
          </cell>
          <cell r="G113">
            <v>0</v>
          </cell>
          <cell r="H113">
            <v>0</v>
          </cell>
          <cell r="I113">
            <v>0</v>
          </cell>
          <cell r="J113">
            <v>0</v>
          </cell>
          <cell r="K113">
            <v>0</v>
          </cell>
          <cell r="L113">
            <v>0</v>
          </cell>
          <cell r="M113">
            <v>0</v>
          </cell>
          <cell r="N113">
            <v>5203</v>
          </cell>
          <cell r="O113">
            <v>8313</v>
          </cell>
          <cell r="P113">
            <v>9847</v>
          </cell>
          <cell r="Q113">
            <v>7088</v>
          </cell>
          <cell r="R113">
            <v>0</v>
          </cell>
          <cell r="S113">
            <v>0</v>
          </cell>
          <cell r="T113">
            <v>0</v>
          </cell>
          <cell r="U113">
            <v>0</v>
          </cell>
        </row>
        <row r="114">
          <cell r="A114" t="str">
            <v>TI02918</v>
          </cell>
          <cell r="B114" t="str">
            <v>Plano de Atendimento de Telecom da Base Operativa de São Gabriel</v>
          </cell>
          <cell r="C114" t="str">
            <v>TINV.18.D.054.SG</v>
          </cell>
          <cell r="D114">
            <v>0</v>
          </cell>
          <cell r="E114">
            <v>0</v>
          </cell>
          <cell r="F114">
            <v>0</v>
          </cell>
          <cell r="G114">
            <v>367</v>
          </cell>
          <cell r="H114">
            <v>0</v>
          </cell>
          <cell r="I114">
            <v>0</v>
          </cell>
          <cell r="J114">
            <v>0</v>
          </cell>
          <cell r="K114">
            <v>0</v>
          </cell>
          <cell r="L114">
            <v>356.9999942779541</v>
          </cell>
          <cell r="M114">
            <v>356.9999942779541</v>
          </cell>
          <cell r="N114">
            <v>0</v>
          </cell>
          <cell r="O114">
            <v>0</v>
          </cell>
          <cell r="P114">
            <v>0</v>
          </cell>
          <cell r="Q114">
            <v>0</v>
          </cell>
          <cell r="R114">
            <v>0</v>
          </cell>
          <cell r="S114">
            <v>0</v>
          </cell>
          <cell r="T114">
            <v>0</v>
          </cell>
          <cell r="U114">
            <v>0</v>
          </cell>
        </row>
        <row r="115">
          <cell r="A115" t="str">
            <v>TI03118</v>
          </cell>
          <cell r="B115" t="str">
            <v>Projeto Sigma - Substituição dos Gateways Mediant 1000</v>
          </cell>
          <cell r="C115" t="str">
            <v>TINV.18.D.054.PS</v>
          </cell>
          <cell r="D115">
            <v>0</v>
          </cell>
          <cell r="E115">
            <v>0</v>
          </cell>
          <cell r="F115">
            <v>0</v>
          </cell>
          <cell r="G115">
            <v>108</v>
          </cell>
          <cell r="H115">
            <v>0</v>
          </cell>
          <cell r="I115">
            <v>0</v>
          </cell>
          <cell r="J115">
            <v>0</v>
          </cell>
          <cell r="K115">
            <v>0</v>
          </cell>
          <cell r="L115">
            <v>22.19502067565918</v>
          </cell>
          <cell r="M115">
            <v>22.19502067565918</v>
          </cell>
          <cell r="N115">
            <v>0</v>
          </cell>
          <cell r="O115">
            <v>0</v>
          </cell>
          <cell r="P115">
            <v>0</v>
          </cell>
          <cell r="Q115">
            <v>0</v>
          </cell>
          <cell r="R115">
            <v>0</v>
          </cell>
          <cell r="S115">
            <v>0</v>
          </cell>
          <cell r="T115">
            <v>0</v>
          </cell>
          <cell r="U115">
            <v>0</v>
          </cell>
        </row>
        <row r="116">
          <cell r="A116" t="str">
            <v>TI05118</v>
          </cell>
          <cell r="B116" t="str">
            <v>Sistema Video Wall</v>
          </cell>
          <cell r="C116" t="str">
            <v>TINV.18.D.054.VW</v>
          </cell>
          <cell r="D116">
            <v>0</v>
          </cell>
          <cell r="E116">
            <v>0</v>
          </cell>
          <cell r="F116">
            <v>0</v>
          </cell>
          <cell r="G116">
            <v>200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row>
        <row r="117">
          <cell r="A117" t="str">
            <v>AM</v>
          </cell>
          <cell r="B117" t="str">
            <v xml:space="preserve">Atual. Moeda - Microinformática </v>
          </cell>
          <cell r="C117" t="str">
            <v>-</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row>
        <row r="118">
          <cell r="A118" t="str">
            <v>CI</v>
          </cell>
          <cell r="B118" t="str">
            <v>Captura de Investimentos</v>
          </cell>
          <cell r="C118" t="str">
            <v>-</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row>
        <row r="119">
          <cell r="A119" t="str">
            <v>NA</v>
          </cell>
          <cell r="B119" t="str">
            <v>Modernização do Parque de Microinformática - D</v>
          </cell>
          <cell r="C119" t="str">
            <v>-</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row>
        <row r="120">
          <cell r="A120" t="str">
            <v>SR</v>
          </cell>
          <cell r="B120" t="str">
            <v>Saldo Residual</v>
          </cell>
          <cell r="C120" t="str">
            <v>-</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row>
        <row r="121">
          <cell r="A121" t="str">
            <v>TI01318</v>
          </cell>
          <cell r="B121" t="str">
            <v>Planejamento Macroprojeto 3-4-4</v>
          </cell>
          <cell r="C121" t="str">
            <v>TINV.18.D.045.PP</v>
          </cell>
          <cell r="D121">
            <v>25864</v>
          </cell>
          <cell r="E121">
            <v>0</v>
          </cell>
          <cell r="F121">
            <v>4684</v>
          </cell>
          <cell r="G121">
            <v>0</v>
          </cell>
          <cell r="H121">
            <v>0</v>
          </cell>
          <cell r="I121">
            <v>0</v>
          </cell>
          <cell r="J121">
            <v>0</v>
          </cell>
          <cell r="K121">
            <v>0</v>
          </cell>
          <cell r="L121">
            <v>0</v>
          </cell>
          <cell r="M121">
            <v>0</v>
          </cell>
          <cell r="N121">
            <v>15470</v>
          </cell>
          <cell r="O121">
            <v>2660</v>
          </cell>
          <cell r="P121">
            <v>390</v>
          </cell>
          <cell r="Q121">
            <v>2660</v>
          </cell>
          <cell r="R121">
            <v>0</v>
          </cell>
          <cell r="S121">
            <v>0</v>
          </cell>
          <cell r="T121">
            <v>0</v>
          </cell>
          <cell r="U121">
            <v>0</v>
          </cell>
        </row>
        <row r="122">
          <cell r="A122" t="str">
            <v>TI01816</v>
          </cell>
          <cell r="B122" t="str">
            <v>Aquisição Equipamentos Móvel em Campo</v>
          </cell>
          <cell r="C122" t="str">
            <v>TINV.16.D.045.TB</v>
          </cell>
          <cell r="D122">
            <v>0</v>
          </cell>
          <cell r="E122">
            <v>0</v>
          </cell>
          <cell r="F122">
            <v>0</v>
          </cell>
          <cell r="G122">
            <v>280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row>
        <row r="123">
          <cell r="A123" t="str">
            <v>TI04318</v>
          </cell>
          <cell r="B123" t="str">
            <v>Modernização do Parque de Microinformática</v>
          </cell>
          <cell r="C123" t="str">
            <v>TINV.18.D.045.MP</v>
          </cell>
          <cell r="D123">
            <v>0</v>
          </cell>
          <cell r="E123">
            <v>0</v>
          </cell>
          <cell r="F123">
            <v>0</v>
          </cell>
          <cell r="G123">
            <v>4184</v>
          </cell>
          <cell r="H123">
            <v>0</v>
          </cell>
          <cell r="I123">
            <v>0</v>
          </cell>
          <cell r="J123">
            <v>0</v>
          </cell>
          <cell r="K123">
            <v>0</v>
          </cell>
          <cell r="L123">
            <v>4138.5</v>
          </cell>
          <cell r="M123">
            <v>4138.5</v>
          </cell>
          <cell r="N123">
            <v>0</v>
          </cell>
          <cell r="O123">
            <v>0</v>
          </cell>
          <cell r="P123">
            <v>0</v>
          </cell>
          <cell r="Q123">
            <v>0</v>
          </cell>
          <cell r="R123">
            <v>0</v>
          </cell>
          <cell r="S123">
            <v>0</v>
          </cell>
          <cell r="T123">
            <v>0</v>
          </cell>
          <cell r="U123">
            <v>0</v>
          </cell>
        </row>
        <row r="124">
          <cell r="A124" t="str">
            <v>3211/12</v>
          </cell>
          <cell r="B124" t="str">
            <v>Sistema GDIS</v>
          </cell>
          <cell r="C124" t="str">
            <v>TINV.12.D.042.GS</v>
          </cell>
          <cell r="D124">
            <v>0</v>
          </cell>
          <cell r="E124">
            <v>0</v>
          </cell>
          <cell r="F124">
            <v>0</v>
          </cell>
          <cell r="G124">
            <v>55</v>
          </cell>
          <cell r="H124">
            <v>0</v>
          </cell>
          <cell r="I124">
            <v>3.4280099868774414</v>
          </cell>
          <cell r="J124">
            <v>0</v>
          </cell>
          <cell r="K124">
            <v>3.4280099868774414</v>
          </cell>
          <cell r="L124">
            <v>0</v>
          </cell>
          <cell r="M124">
            <v>3.4280099868774414</v>
          </cell>
          <cell r="N124">
            <v>0</v>
          </cell>
          <cell r="O124">
            <v>0</v>
          </cell>
          <cell r="P124">
            <v>0</v>
          </cell>
          <cell r="Q124">
            <v>0</v>
          </cell>
          <cell r="R124">
            <v>0</v>
          </cell>
          <cell r="S124">
            <v>0</v>
          </cell>
          <cell r="T124">
            <v>0</v>
          </cell>
          <cell r="U124">
            <v>0</v>
          </cell>
        </row>
        <row r="125">
          <cell r="A125" t="str">
            <v>AM</v>
          </cell>
          <cell r="B125" t="str">
            <v>Sistema de Informática - Atualização Moeda</v>
          </cell>
          <cell r="C125" t="str">
            <v>-</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row>
        <row r="126">
          <cell r="A126" t="str">
            <v>CI</v>
          </cell>
          <cell r="B126" t="str">
            <v>Captura de Investimentos</v>
          </cell>
          <cell r="C126" t="str">
            <v>-</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row>
        <row r="127">
          <cell r="A127" t="str">
            <v>NA</v>
          </cell>
          <cell r="B127" t="str">
            <v>Atualização Tecnológica p/ Modern. da Infraestrutura da Rede Corporativa</v>
          </cell>
          <cell r="C127" t="str">
            <v>-</v>
          </cell>
          <cell r="D127">
            <v>136171</v>
          </cell>
          <cell r="E127">
            <v>0</v>
          </cell>
          <cell r="F127">
            <v>0</v>
          </cell>
          <cell r="G127">
            <v>0</v>
          </cell>
          <cell r="H127">
            <v>0</v>
          </cell>
          <cell r="I127">
            <v>0</v>
          </cell>
          <cell r="J127">
            <v>0</v>
          </cell>
          <cell r="K127">
            <v>0</v>
          </cell>
          <cell r="L127">
            <v>0</v>
          </cell>
          <cell r="M127">
            <v>0</v>
          </cell>
          <cell r="N127">
            <v>44444</v>
          </cell>
          <cell r="O127">
            <v>45931</v>
          </cell>
          <cell r="P127">
            <v>19449</v>
          </cell>
          <cell r="Q127">
            <v>26347</v>
          </cell>
          <cell r="R127">
            <v>0</v>
          </cell>
          <cell r="S127">
            <v>0</v>
          </cell>
          <cell r="T127">
            <v>0</v>
          </cell>
          <cell r="U127">
            <v>0</v>
          </cell>
        </row>
        <row r="128">
          <cell r="A128" t="str">
            <v>SR</v>
          </cell>
          <cell r="B128" t="str">
            <v>Saldo Residual</v>
          </cell>
          <cell r="C128" t="str">
            <v>-</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row>
        <row r="129">
          <cell r="A129" t="str">
            <v>TI00118</v>
          </cell>
          <cell r="B129" t="str">
            <v>Licenciamento Oracle</v>
          </cell>
          <cell r="C129" t="str">
            <v>TINV.18.D.042.OR</v>
          </cell>
          <cell r="D129">
            <v>0</v>
          </cell>
          <cell r="E129">
            <v>0</v>
          </cell>
          <cell r="F129">
            <v>0</v>
          </cell>
          <cell r="G129">
            <v>479</v>
          </cell>
          <cell r="H129">
            <v>0</v>
          </cell>
          <cell r="I129">
            <v>479.32675170898437</v>
          </cell>
          <cell r="J129">
            <v>0</v>
          </cell>
          <cell r="K129">
            <v>479.32675170898437</v>
          </cell>
          <cell r="L129">
            <v>0</v>
          </cell>
          <cell r="M129">
            <v>479.32675170898437</v>
          </cell>
          <cell r="N129">
            <v>0</v>
          </cell>
          <cell r="O129">
            <v>0</v>
          </cell>
          <cell r="P129">
            <v>0</v>
          </cell>
          <cell r="Q129">
            <v>0</v>
          </cell>
          <cell r="R129">
            <v>0</v>
          </cell>
          <cell r="S129">
            <v>0</v>
          </cell>
          <cell r="T129">
            <v>0</v>
          </cell>
          <cell r="U129">
            <v>0</v>
          </cell>
        </row>
        <row r="130">
          <cell r="A130" t="str">
            <v>TI00216</v>
          </cell>
          <cell r="B130" t="str">
            <v>Desenvolvimento do Módulo Gestão da Inadimplência</v>
          </cell>
          <cell r="C130" t="str">
            <v>TINV.15.D.042.NE</v>
          </cell>
          <cell r="D130">
            <v>0</v>
          </cell>
          <cell r="E130">
            <v>0</v>
          </cell>
          <cell r="F130">
            <v>0</v>
          </cell>
          <cell r="G130">
            <v>14</v>
          </cell>
          <cell r="H130">
            <v>0</v>
          </cell>
          <cell r="I130">
            <v>14.010740280151367</v>
          </cell>
          <cell r="J130">
            <v>0</v>
          </cell>
          <cell r="K130">
            <v>14.010740280151367</v>
          </cell>
          <cell r="L130">
            <v>0</v>
          </cell>
          <cell r="M130">
            <v>14.010740280151367</v>
          </cell>
          <cell r="N130">
            <v>0</v>
          </cell>
          <cell r="O130">
            <v>0</v>
          </cell>
          <cell r="P130">
            <v>0</v>
          </cell>
          <cell r="Q130">
            <v>0</v>
          </cell>
          <cell r="R130">
            <v>0</v>
          </cell>
          <cell r="S130">
            <v>0</v>
          </cell>
          <cell r="T130">
            <v>0</v>
          </cell>
          <cell r="U130">
            <v>0</v>
          </cell>
        </row>
        <row r="131">
          <cell r="A131" t="str">
            <v>TI00316</v>
          </cell>
          <cell r="B131" t="str">
            <v>Desenvolvimento do Módulo Negociação da Inadimplência</v>
          </cell>
          <cell r="C131" t="str">
            <v>TINV.15.D.042.NC</v>
          </cell>
          <cell r="D131">
            <v>0</v>
          </cell>
          <cell r="E131">
            <v>0</v>
          </cell>
          <cell r="F131">
            <v>0</v>
          </cell>
          <cell r="G131">
            <v>10</v>
          </cell>
          <cell r="H131">
            <v>0</v>
          </cell>
          <cell r="I131">
            <v>9.5870800018310547</v>
          </cell>
          <cell r="J131">
            <v>0</v>
          </cell>
          <cell r="K131">
            <v>9.5870800018310547</v>
          </cell>
          <cell r="L131">
            <v>0</v>
          </cell>
          <cell r="M131">
            <v>9.5870800018310547</v>
          </cell>
          <cell r="N131">
            <v>0</v>
          </cell>
          <cell r="O131">
            <v>0</v>
          </cell>
          <cell r="P131">
            <v>0</v>
          </cell>
          <cell r="Q131">
            <v>0</v>
          </cell>
          <cell r="R131">
            <v>0</v>
          </cell>
          <cell r="S131">
            <v>0</v>
          </cell>
          <cell r="T131">
            <v>0</v>
          </cell>
          <cell r="U131">
            <v>0</v>
          </cell>
        </row>
        <row r="132">
          <cell r="A132" t="str">
            <v>TI00416</v>
          </cell>
          <cell r="B132" t="str">
            <v>Desenvolvimento de Melhorias do Sistema Part-APR</v>
          </cell>
          <cell r="C132" t="str">
            <v>TINV.15.D.042.PT</v>
          </cell>
          <cell r="D132">
            <v>0</v>
          </cell>
          <cell r="E132">
            <v>0</v>
          </cell>
          <cell r="F132">
            <v>0</v>
          </cell>
          <cell r="G132">
            <v>11</v>
          </cell>
          <cell r="H132">
            <v>0</v>
          </cell>
          <cell r="I132">
            <v>10.502650260925293</v>
          </cell>
          <cell r="J132">
            <v>0</v>
          </cell>
          <cell r="K132">
            <v>10.502650260925293</v>
          </cell>
          <cell r="L132">
            <v>0</v>
          </cell>
          <cell r="M132">
            <v>10.502650260925293</v>
          </cell>
          <cell r="N132">
            <v>0</v>
          </cell>
          <cell r="O132">
            <v>0</v>
          </cell>
          <cell r="P132">
            <v>0</v>
          </cell>
          <cell r="Q132">
            <v>0</v>
          </cell>
          <cell r="R132">
            <v>0</v>
          </cell>
          <cell r="S132">
            <v>0</v>
          </cell>
          <cell r="T132">
            <v>0</v>
          </cell>
          <cell r="U132">
            <v>0</v>
          </cell>
        </row>
        <row r="133">
          <cell r="A133" t="str">
            <v>TI00417</v>
          </cell>
          <cell r="B133" t="str">
            <v>Desenvolvimento do Sistema PIC</v>
          </cell>
          <cell r="C133" t="str">
            <v>TINV.17.D.042.PI</v>
          </cell>
          <cell r="D133">
            <v>0</v>
          </cell>
          <cell r="E133">
            <v>0</v>
          </cell>
          <cell r="F133">
            <v>0</v>
          </cell>
          <cell r="G133">
            <v>101</v>
          </cell>
          <cell r="H133">
            <v>0</v>
          </cell>
          <cell r="I133">
            <v>52.566009163856506</v>
          </cell>
          <cell r="J133">
            <v>0</v>
          </cell>
          <cell r="K133">
            <v>52.566009163856506</v>
          </cell>
          <cell r="L133">
            <v>0</v>
          </cell>
          <cell r="M133">
            <v>52.566009163856506</v>
          </cell>
          <cell r="N133">
            <v>0</v>
          </cell>
          <cell r="O133">
            <v>0</v>
          </cell>
          <cell r="P133">
            <v>0</v>
          </cell>
          <cell r="Q133">
            <v>0</v>
          </cell>
          <cell r="R133">
            <v>0</v>
          </cell>
          <cell r="S133">
            <v>0</v>
          </cell>
          <cell r="T133">
            <v>0</v>
          </cell>
          <cell r="U133">
            <v>0</v>
          </cell>
        </row>
        <row r="134">
          <cell r="A134" t="str">
            <v>TI00516</v>
          </cell>
          <cell r="B134" t="str">
            <v>Desenvolvimento de Portais e Mapas Geográficos</v>
          </cell>
          <cell r="C134" t="str">
            <v>TINV.16.D.042.MG</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row>
        <row r="135">
          <cell r="A135" t="str">
            <v>TI00517</v>
          </cell>
          <cell r="B135" t="str">
            <v>Construção de Framework de Desenvolvimento</v>
          </cell>
          <cell r="C135" t="str">
            <v>TINV.17.D.042.FR</v>
          </cell>
          <cell r="D135">
            <v>0</v>
          </cell>
          <cell r="E135">
            <v>0</v>
          </cell>
          <cell r="F135">
            <v>0</v>
          </cell>
          <cell r="G135">
            <v>122</v>
          </cell>
          <cell r="H135">
            <v>0</v>
          </cell>
          <cell r="I135">
            <v>64.575159072875977</v>
          </cell>
          <cell r="J135">
            <v>0</v>
          </cell>
          <cell r="K135">
            <v>64.575159072875977</v>
          </cell>
          <cell r="L135">
            <v>0</v>
          </cell>
          <cell r="M135">
            <v>64.575159072875977</v>
          </cell>
          <cell r="N135">
            <v>0</v>
          </cell>
          <cell r="O135">
            <v>0</v>
          </cell>
          <cell r="P135">
            <v>0</v>
          </cell>
          <cell r="Q135">
            <v>0</v>
          </cell>
          <cell r="R135">
            <v>0</v>
          </cell>
          <cell r="S135">
            <v>0</v>
          </cell>
          <cell r="T135">
            <v>0</v>
          </cell>
          <cell r="U135">
            <v>0</v>
          </cell>
        </row>
        <row r="136">
          <cell r="A136" t="str">
            <v>TI00617</v>
          </cell>
          <cell r="B136" t="str">
            <v>Expansão AGV</v>
          </cell>
          <cell r="C136" t="str">
            <v>TINV.17.D.042.AG</v>
          </cell>
          <cell r="D136">
            <v>0</v>
          </cell>
          <cell r="E136">
            <v>0</v>
          </cell>
          <cell r="F136">
            <v>0</v>
          </cell>
          <cell r="G136">
            <v>440</v>
          </cell>
          <cell r="H136">
            <v>0</v>
          </cell>
          <cell r="I136">
            <v>97.9273681640625</v>
          </cell>
          <cell r="J136">
            <v>0</v>
          </cell>
          <cell r="K136">
            <v>97.9273681640625</v>
          </cell>
          <cell r="L136">
            <v>340.23382568359375</v>
          </cell>
          <cell r="M136">
            <v>438.16119384765625</v>
          </cell>
          <cell r="N136">
            <v>0</v>
          </cell>
          <cell r="O136">
            <v>0</v>
          </cell>
          <cell r="P136">
            <v>0</v>
          </cell>
          <cell r="Q136">
            <v>0</v>
          </cell>
          <cell r="R136">
            <v>0</v>
          </cell>
          <cell r="S136">
            <v>0</v>
          </cell>
          <cell r="T136">
            <v>0</v>
          </cell>
          <cell r="U136">
            <v>0</v>
          </cell>
        </row>
        <row r="137">
          <cell r="A137" t="str">
            <v>TI00716</v>
          </cell>
          <cell r="B137" t="str">
            <v>Licenciamento Antivirus</v>
          </cell>
          <cell r="C137" t="str">
            <v>TINV.16.D.045.SY</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row>
        <row r="138">
          <cell r="A138" t="str">
            <v>TI00818</v>
          </cell>
          <cell r="B138" t="str">
            <v>Gateway de Acesso à Internet e Acesso a Email</v>
          </cell>
          <cell r="C138" t="str">
            <v>TINV.18.D.054.GW</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row>
        <row r="139">
          <cell r="A139" t="str">
            <v>TI00914</v>
          </cell>
          <cell r="B139" t="str">
            <v>Evolução e Sustentação Sap</v>
          </cell>
          <cell r="C139" t="str">
            <v>TINV.14.D.042.ES</v>
          </cell>
          <cell r="D139">
            <v>0</v>
          </cell>
          <cell r="E139">
            <v>0</v>
          </cell>
          <cell r="F139">
            <v>0</v>
          </cell>
          <cell r="G139">
            <v>1</v>
          </cell>
          <cell r="H139">
            <v>0</v>
          </cell>
          <cell r="I139">
            <v>0.70901525020599365</v>
          </cell>
          <cell r="J139">
            <v>0</v>
          </cell>
          <cell r="K139">
            <v>0.70901525020599365</v>
          </cell>
          <cell r="L139">
            <v>0</v>
          </cell>
          <cell r="M139">
            <v>0.70901525020599365</v>
          </cell>
          <cell r="N139">
            <v>0</v>
          </cell>
          <cell r="O139">
            <v>0</v>
          </cell>
          <cell r="P139">
            <v>0</v>
          </cell>
          <cell r="Q139">
            <v>0</v>
          </cell>
          <cell r="R139">
            <v>0</v>
          </cell>
          <cell r="S139">
            <v>0</v>
          </cell>
          <cell r="T139">
            <v>0</v>
          </cell>
          <cell r="U139">
            <v>0</v>
          </cell>
        </row>
        <row r="140">
          <cell r="A140" t="str">
            <v>TI00918</v>
          </cell>
          <cell r="B140" t="str">
            <v>Proteção Gateway Exchange</v>
          </cell>
          <cell r="C140" t="str">
            <v>TINV.18.D.054.EX</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row>
        <row r="141">
          <cell r="A141" t="str">
            <v>TI01016</v>
          </cell>
          <cell r="B141" t="str">
            <v>Modernização do Sistema de Aquisição de Dados e Monitoramento do COD e aquisição de EMS</v>
          </cell>
          <cell r="C141" t="str">
            <v>TINV.16.D.042.SC</v>
          </cell>
          <cell r="D141">
            <v>0</v>
          </cell>
          <cell r="E141">
            <v>0</v>
          </cell>
          <cell r="F141">
            <v>0</v>
          </cell>
          <cell r="G141">
            <v>2954</v>
          </cell>
          <cell r="H141">
            <v>0</v>
          </cell>
          <cell r="I141">
            <v>66.024219512939453</v>
          </cell>
          <cell r="J141">
            <v>0</v>
          </cell>
          <cell r="K141">
            <v>66.024219512939453</v>
          </cell>
          <cell r="L141">
            <v>0</v>
          </cell>
          <cell r="M141">
            <v>66.024219512939453</v>
          </cell>
          <cell r="N141">
            <v>0</v>
          </cell>
          <cell r="O141">
            <v>0</v>
          </cell>
          <cell r="P141">
            <v>0</v>
          </cell>
          <cell r="Q141">
            <v>0</v>
          </cell>
          <cell r="R141">
            <v>0</v>
          </cell>
          <cell r="S141">
            <v>0</v>
          </cell>
          <cell r="T141">
            <v>0</v>
          </cell>
          <cell r="U141">
            <v>0</v>
          </cell>
        </row>
        <row r="142">
          <cell r="A142" t="str">
            <v>TI01018</v>
          </cell>
          <cell r="B142" t="str">
            <v>Solução de APT</v>
          </cell>
          <cell r="C142" t="str">
            <v>TINV.18.D.054.AP</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row>
        <row r="143">
          <cell r="A143" t="str">
            <v>TI01118</v>
          </cell>
          <cell r="B143" t="str">
            <v>Aquisição de Produtos e Serviços de Segurança da Informação</v>
          </cell>
          <cell r="C143" t="str">
            <v>TINV.18.D.054.SO</v>
          </cell>
          <cell r="D143">
            <v>0</v>
          </cell>
          <cell r="E143">
            <v>0</v>
          </cell>
          <cell r="F143">
            <v>0</v>
          </cell>
          <cell r="G143">
            <v>1606</v>
          </cell>
          <cell r="H143">
            <v>0</v>
          </cell>
          <cell r="I143">
            <v>1236.459716796875</v>
          </cell>
          <cell r="J143">
            <v>0</v>
          </cell>
          <cell r="K143">
            <v>1236.459716796875</v>
          </cell>
          <cell r="L143">
            <v>0</v>
          </cell>
          <cell r="M143">
            <v>1236.459716796875</v>
          </cell>
          <cell r="N143">
            <v>0</v>
          </cell>
          <cell r="O143">
            <v>0</v>
          </cell>
          <cell r="P143">
            <v>0</v>
          </cell>
          <cell r="Q143">
            <v>0</v>
          </cell>
          <cell r="R143">
            <v>0</v>
          </cell>
          <cell r="S143">
            <v>0</v>
          </cell>
          <cell r="T143">
            <v>0</v>
          </cell>
          <cell r="U143">
            <v>0</v>
          </cell>
        </row>
        <row r="144">
          <cell r="A144" t="str">
            <v>TI01213</v>
          </cell>
          <cell r="B144" t="str">
            <v xml:space="preserve">Edifício Aureliano Chaves - Infraestrutura de Conectividade de Rede, Wireless e Segurança </v>
          </cell>
          <cell r="C144" t="str">
            <v>TINV.13.D.045.AC</v>
          </cell>
          <cell r="D144">
            <v>0</v>
          </cell>
          <cell r="E144">
            <v>0</v>
          </cell>
          <cell r="F144">
            <v>0</v>
          </cell>
          <cell r="G144">
            <v>0</v>
          </cell>
          <cell r="H144">
            <v>0</v>
          </cell>
          <cell r="I144">
            <v>-0.51274001598358154</v>
          </cell>
          <cell r="J144">
            <v>0</v>
          </cell>
          <cell r="K144">
            <v>-0.51274001598358154</v>
          </cell>
          <cell r="L144">
            <v>0</v>
          </cell>
          <cell r="M144">
            <v>-0.51274001598358154</v>
          </cell>
          <cell r="N144">
            <v>0</v>
          </cell>
          <cell r="O144">
            <v>0</v>
          </cell>
          <cell r="P144">
            <v>0</v>
          </cell>
          <cell r="Q144">
            <v>0</v>
          </cell>
          <cell r="R144">
            <v>0</v>
          </cell>
          <cell r="S144">
            <v>0</v>
          </cell>
          <cell r="T144">
            <v>0</v>
          </cell>
          <cell r="U144">
            <v>0</v>
          </cell>
        </row>
        <row r="145">
          <cell r="A145" t="str">
            <v>TI01218</v>
          </cell>
          <cell r="B145" t="str">
            <v>Softwares de gerência de rede Cisco</v>
          </cell>
          <cell r="C145" t="str">
            <v>TINV.18.D.054.GR</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row>
        <row r="146">
          <cell r="A146" t="str">
            <v>TI01317</v>
          </cell>
          <cell r="B146" t="str">
            <v>Portal Geográfico de Meteorologia</v>
          </cell>
          <cell r="C146" t="str">
            <v>TINV.17.D.042.PG</v>
          </cell>
          <cell r="D146">
            <v>0</v>
          </cell>
          <cell r="E146">
            <v>0</v>
          </cell>
          <cell r="F146">
            <v>0</v>
          </cell>
          <cell r="G146">
            <v>217</v>
          </cell>
          <cell r="H146">
            <v>0</v>
          </cell>
          <cell r="I146">
            <v>114.65245056152344</v>
          </cell>
          <cell r="J146">
            <v>0</v>
          </cell>
          <cell r="K146">
            <v>114.65245056152344</v>
          </cell>
          <cell r="L146">
            <v>0</v>
          </cell>
          <cell r="M146">
            <v>114.65245056152344</v>
          </cell>
          <cell r="N146">
            <v>0</v>
          </cell>
          <cell r="O146">
            <v>0</v>
          </cell>
          <cell r="P146">
            <v>0</v>
          </cell>
          <cell r="Q146">
            <v>0</v>
          </cell>
          <cell r="R146">
            <v>0</v>
          </cell>
          <cell r="S146">
            <v>0</v>
          </cell>
          <cell r="T146">
            <v>0</v>
          </cell>
          <cell r="U146">
            <v>0</v>
          </cell>
        </row>
        <row r="147">
          <cell r="A147" t="str">
            <v>TI01418</v>
          </cell>
          <cell r="B147" t="str">
            <v>Planejamento Macroprojeto 3-4-5</v>
          </cell>
          <cell r="C147" t="str">
            <v>TINV.18.D.042.PP</v>
          </cell>
          <cell r="D147">
            <v>67924</v>
          </cell>
          <cell r="E147">
            <v>0</v>
          </cell>
          <cell r="F147">
            <v>54226</v>
          </cell>
          <cell r="G147">
            <v>0</v>
          </cell>
          <cell r="H147">
            <v>7110</v>
          </cell>
          <cell r="I147">
            <v>0</v>
          </cell>
          <cell r="J147">
            <v>0</v>
          </cell>
          <cell r="K147">
            <v>0</v>
          </cell>
          <cell r="L147">
            <v>0</v>
          </cell>
          <cell r="M147">
            <v>0</v>
          </cell>
          <cell r="N147">
            <v>6867</v>
          </cell>
          <cell r="O147">
            <v>3690</v>
          </cell>
          <cell r="P147">
            <v>3141</v>
          </cell>
          <cell r="Q147">
            <v>0</v>
          </cell>
          <cell r="R147">
            <v>0</v>
          </cell>
          <cell r="S147">
            <v>0</v>
          </cell>
          <cell r="T147">
            <v>0</v>
          </cell>
          <cell r="U147">
            <v>0</v>
          </cell>
        </row>
        <row r="148">
          <cell r="A148" t="str">
            <v>TI01616</v>
          </cell>
          <cell r="B148" t="str">
            <v>Desenvolvimento Sistema Volt</v>
          </cell>
          <cell r="C148" t="str">
            <v>TINV.16.D.042.VL</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row>
        <row r="149">
          <cell r="A149" t="str">
            <v>TI01715</v>
          </cell>
          <cell r="B149" t="str">
            <v>Sustentação e Evolução G-DIS</v>
          </cell>
          <cell r="C149" t="str">
            <v>TINV.15.D.042.GS</v>
          </cell>
          <cell r="D149">
            <v>0</v>
          </cell>
          <cell r="E149">
            <v>0</v>
          </cell>
          <cell r="F149">
            <v>0</v>
          </cell>
          <cell r="G149">
            <v>5268</v>
          </cell>
          <cell r="H149">
            <v>0</v>
          </cell>
          <cell r="I149">
            <v>2860.1967809200287</v>
          </cell>
          <cell r="J149">
            <v>0</v>
          </cell>
          <cell r="K149">
            <v>2860.1967809200287</v>
          </cell>
          <cell r="L149">
            <v>0</v>
          </cell>
          <cell r="M149">
            <v>2860.1967809200287</v>
          </cell>
          <cell r="N149">
            <v>0</v>
          </cell>
          <cell r="O149">
            <v>0</v>
          </cell>
          <cell r="P149">
            <v>0</v>
          </cell>
          <cell r="Q149">
            <v>0</v>
          </cell>
          <cell r="R149">
            <v>0</v>
          </cell>
          <cell r="S149">
            <v>0</v>
          </cell>
          <cell r="T149">
            <v>0</v>
          </cell>
          <cell r="U149">
            <v>0</v>
          </cell>
        </row>
        <row r="150">
          <cell r="A150" t="str">
            <v>TI01813</v>
          </cell>
          <cell r="B150" t="str">
            <v>Projeto de implantação do e-social # SIS</v>
          </cell>
          <cell r="C150" t="str">
            <v>TINV.14.D.042.SO</v>
          </cell>
          <cell r="D150">
            <v>0</v>
          </cell>
          <cell r="E150">
            <v>0</v>
          </cell>
          <cell r="F150">
            <v>0</v>
          </cell>
          <cell r="G150">
            <v>684</v>
          </cell>
          <cell r="H150">
            <v>0</v>
          </cell>
          <cell r="I150">
            <v>58.525352478027344</v>
          </cell>
          <cell r="J150">
            <v>0</v>
          </cell>
          <cell r="K150">
            <v>58.525352478027344</v>
          </cell>
          <cell r="L150">
            <v>0</v>
          </cell>
          <cell r="M150">
            <v>58.525352478027344</v>
          </cell>
          <cell r="N150">
            <v>0</v>
          </cell>
          <cell r="O150">
            <v>0</v>
          </cell>
          <cell r="P150">
            <v>0</v>
          </cell>
          <cell r="Q150">
            <v>0</v>
          </cell>
          <cell r="R150">
            <v>0</v>
          </cell>
          <cell r="S150">
            <v>0</v>
          </cell>
          <cell r="T150">
            <v>0</v>
          </cell>
          <cell r="U150">
            <v>0</v>
          </cell>
        </row>
        <row r="151">
          <cell r="A151" t="str">
            <v>TI02115</v>
          </cell>
          <cell r="B151" t="str">
            <v>Projeto Atlantis - Nova versão dos módulos GDIS CP</v>
          </cell>
          <cell r="C151" t="str">
            <v>TINV.15.D.042.AT</v>
          </cell>
          <cell r="D151">
            <v>0</v>
          </cell>
          <cell r="E151">
            <v>0</v>
          </cell>
          <cell r="F151">
            <v>0</v>
          </cell>
          <cell r="G151">
            <v>163</v>
          </cell>
          <cell r="H151">
            <v>0</v>
          </cell>
          <cell r="I151">
            <v>160.23846435546875</v>
          </cell>
          <cell r="J151">
            <v>0</v>
          </cell>
          <cell r="K151">
            <v>160.23846435546875</v>
          </cell>
          <cell r="L151">
            <v>1.0393099784851074</v>
          </cell>
          <cell r="M151">
            <v>161.27777433395386</v>
          </cell>
          <cell r="N151">
            <v>0</v>
          </cell>
          <cell r="O151">
            <v>0</v>
          </cell>
          <cell r="P151">
            <v>0</v>
          </cell>
          <cell r="Q151">
            <v>0</v>
          </cell>
          <cell r="R151">
            <v>0</v>
          </cell>
          <cell r="S151">
            <v>0</v>
          </cell>
          <cell r="T151">
            <v>0</v>
          </cell>
          <cell r="U151">
            <v>0</v>
          </cell>
        </row>
        <row r="152">
          <cell r="A152" t="str">
            <v>TI02217</v>
          </cell>
          <cell r="B152" t="str">
            <v>Desenvolvimento GEDEX</v>
          </cell>
          <cell r="C152" t="str">
            <v>TINV.17.D.042.GX</v>
          </cell>
          <cell r="D152">
            <v>0</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row>
        <row r="153">
          <cell r="A153" t="str">
            <v>TI02316</v>
          </cell>
          <cell r="B153" t="str">
            <v xml:space="preserve">Desenvolvimento do Sistema de Gestão de Fornecedores (SGF) </v>
          </cell>
          <cell r="C153" t="str">
            <v>TINV.16.D.042.SG</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row>
        <row r="154">
          <cell r="A154" t="str">
            <v>TI02318</v>
          </cell>
          <cell r="B154" t="str">
            <v>Portal Geográfico Cemig - GeoPortal</v>
          </cell>
          <cell r="C154" t="str">
            <v>TINV.18.D.042.GP</v>
          </cell>
          <cell r="D154">
            <v>0</v>
          </cell>
          <cell r="E154">
            <v>0</v>
          </cell>
          <cell r="F154">
            <v>0</v>
          </cell>
          <cell r="G154">
            <v>300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row>
        <row r="155">
          <cell r="A155" t="str">
            <v>TI02416</v>
          </cell>
          <cell r="B155" t="str">
            <v>Sistema de Inteligência de Negócios da Engenharia de Operação - SINEOP</v>
          </cell>
          <cell r="C155" t="str">
            <v>TINV.16.D.042.SI</v>
          </cell>
          <cell r="D155">
            <v>0</v>
          </cell>
          <cell r="E155">
            <v>0</v>
          </cell>
          <cell r="F155">
            <v>0</v>
          </cell>
          <cell r="G155">
            <v>373</v>
          </cell>
          <cell r="H155">
            <v>0</v>
          </cell>
          <cell r="I155">
            <v>42.032360076904297</v>
          </cell>
          <cell r="J155">
            <v>0</v>
          </cell>
          <cell r="K155">
            <v>42.032360076904297</v>
          </cell>
          <cell r="L155">
            <v>176.40750122070312</v>
          </cell>
          <cell r="M155">
            <v>218.43986129760742</v>
          </cell>
          <cell r="N155">
            <v>0</v>
          </cell>
          <cell r="O155">
            <v>0</v>
          </cell>
          <cell r="P155">
            <v>0</v>
          </cell>
          <cell r="Q155">
            <v>0</v>
          </cell>
          <cell r="R155">
            <v>0</v>
          </cell>
          <cell r="S155">
            <v>0</v>
          </cell>
          <cell r="T155">
            <v>0</v>
          </cell>
          <cell r="U155">
            <v>0</v>
          </cell>
        </row>
        <row r="156">
          <cell r="A156" t="str">
            <v>TI02418</v>
          </cell>
          <cell r="B156" t="str">
            <v>Licenciamento SAS</v>
          </cell>
          <cell r="C156" t="str">
            <v>TINV.18.D.042.SA</v>
          </cell>
          <cell r="D156">
            <v>0</v>
          </cell>
          <cell r="E156">
            <v>0</v>
          </cell>
          <cell r="F156">
            <v>0</v>
          </cell>
          <cell r="G156">
            <v>693</v>
          </cell>
          <cell r="H156">
            <v>0</v>
          </cell>
          <cell r="I156">
            <v>0</v>
          </cell>
          <cell r="J156">
            <v>0</v>
          </cell>
          <cell r="K156">
            <v>0</v>
          </cell>
          <cell r="L156">
            <v>693.4403076171875</v>
          </cell>
          <cell r="M156">
            <v>693.4403076171875</v>
          </cell>
          <cell r="N156">
            <v>0</v>
          </cell>
          <cell r="O156">
            <v>0</v>
          </cell>
          <cell r="P156">
            <v>0</v>
          </cell>
          <cell r="Q156">
            <v>0</v>
          </cell>
          <cell r="R156">
            <v>0</v>
          </cell>
          <cell r="S156">
            <v>0</v>
          </cell>
          <cell r="T156">
            <v>0</v>
          </cell>
          <cell r="U156">
            <v>0</v>
          </cell>
        </row>
        <row r="157">
          <cell r="A157" t="str">
            <v>TI02515</v>
          </cell>
          <cell r="B157" t="str">
            <v>Evolução PEC</v>
          </cell>
          <cell r="C157" t="str">
            <v>TINV.15.D.042.PE</v>
          </cell>
          <cell r="D157">
            <v>0</v>
          </cell>
          <cell r="E157">
            <v>0</v>
          </cell>
          <cell r="F157">
            <v>0</v>
          </cell>
          <cell r="G157">
            <v>350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row>
        <row r="158">
          <cell r="A158" t="str">
            <v>TI02516</v>
          </cell>
          <cell r="B158" t="str">
            <v>Versionamento GeoÁrvores - Adequação e Integração ao G-DIS MN e Atlântis</v>
          </cell>
          <cell r="C158" t="str">
            <v>TINV.16.D.042.GA</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row>
        <row r="159">
          <cell r="A159" t="str">
            <v>TI02616</v>
          </cell>
          <cell r="B159" t="str">
            <v>Sistema de Gestão de Serviços Corporativos em BPMS</v>
          </cell>
          <cell r="C159" t="str">
            <v>TINV.16.D.042.CS</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row>
        <row r="160">
          <cell r="A160" t="str">
            <v>TI02618</v>
          </cell>
          <cell r="B160" t="str">
            <v>Equipamentos e Softwares da Rede de Dados Cisco IE-3000-8TC-E</v>
          </cell>
          <cell r="C160" t="str">
            <v>TINV.18.D.054.RD</v>
          </cell>
          <cell r="D160">
            <v>0</v>
          </cell>
          <cell r="E160">
            <v>0</v>
          </cell>
          <cell r="F160">
            <v>0</v>
          </cell>
          <cell r="G160">
            <v>1080</v>
          </cell>
          <cell r="H160">
            <v>0</v>
          </cell>
          <cell r="I160">
            <v>0</v>
          </cell>
          <cell r="J160">
            <v>0</v>
          </cell>
          <cell r="K160">
            <v>0</v>
          </cell>
          <cell r="L160">
            <v>1080</v>
          </cell>
          <cell r="M160">
            <v>1080</v>
          </cell>
          <cell r="N160">
            <v>0</v>
          </cell>
          <cell r="O160">
            <v>0</v>
          </cell>
          <cell r="P160">
            <v>0</v>
          </cell>
          <cell r="Q160">
            <v>0</v>
          </cell>
          <cell r="R160">
            <v>0</v>
          </cell>
          <cell r="S160">
            <v>0</v>
          </cell>
          <cell r="T160">
            <v>0</v>
          </cell>
          <cell r="U160">
            <v>0</v>
          </cell>
        </row>
        <row r="161">
          <cell r="A161" t="str">
            <v>TI02718</v>
          </cell>
          <cell r="B161" t="str">
            <v>Solução para proteção da rede Cemig contra ataques pela internet.</v>
          </cell>
          <cell r="C161" t="str">
            <v>TINV.18.D.054.IP</v>
          </cell>
          <cell r="D161">
            <v>0</v>
          </cell>
          <cell r="E161">
            <v>0</v>
          </cell>
          <cell r="F161">
            <v>0</v>
          </cell>
          <cell r="G161">
            <v>2841</v>
          </cell>
          <cell r="H161">
            <v>0</v>
          </cell>
          <cell r="I161">
            <v>0</v>
          </cell>
          <cell r="J161">
            <v>0</v>
          </cell>
          <cell r="K161">
            <v>0</v>
          </cell>
          <cell r="L161">
            <v>2841</v>
          </cell>
          <cell r="M161">
            <v>2841</v>
          </cell>
          <cell r="N161">
            <v>0</v>
          </cell>
          <cell r="O161">
            <v>0</v>
          </cell>
          <cell r="P161">
            <v>0</v>
          </cell>
          <cell r="Q161">
            <v>0</v>
          </cell>
          <cell r="R161">
            <v>0</v>
          </cell>
          <cell r="S161">
            <v>0</v>
          </cell>
          <cell r="T161">
            <v>0</v>
          </cell>
          <cell r="U161">
            <v>0</v>
          </cell>
        </row>
        <row r="162">
          <cell r="A162" t="str">
            <v>TI02817</v>
          </cell>
          <cell r="B162" t="str">
            <v>Análise e Desenvolvimento Sistema Retrocálculo</v>
          </cell>
          <cell r="C162" t="str">
            <v>TINV.17.D.042.RT</v>
          </cell>
          <cell r="D162">
            <v>0</v>
          </cell>
          <cell r="E162">
            <v>0</v>
          </cell>
          <cell r="F162">
            <v>0</v>
          </cell>
          <cell r="G162">
            <v>600</v>
          </cell>
          <cell r="H162">
            <v>0</v>
          </cell>
          <cell r="I162">
            <v>599.97772216796875</v>
          </cell>
          <cell r="J162">
            <v>0</v>
          </cell>
          <cell r="K162">
            <v>599.97772216796875</v>
          </cell>
          <cell r="L162">
            <v>0</v>
          </cell>
          <cell r="M162">
            <v>599.97772216796875</v>
          </cell>
          <cell r="N162">
            <v>0</v>
          </cell>
          <cell r="O162">
            <v>0</v>
          </cell>
          <cell r="P162">
            <v>0</v>
          </cell>
          <cell r="Q162">
            <v>0</v>
          </cell>
          <cell r="R162">
            <v>0</v>
          </cell>
          <cell r="S162">
            <v>0</v>
          </cell>
          <cell r="T162">
            <v>0</v>
          </cell>
          <cell r="U162">
            <v>0</v>
          </cell>
        </row>
        <row r="163">
          <cell r="A163" t="str">
            <v>TI03015</v>
          </cell>
          <cell r="B163" t="str">
            <v>Barramento de Serviços G-DIS</v>
          </cell>
          <cell r="C163" t="str">
            <v>TINV.15.D.042.BR</v>
          </cell>
          <cell r="D163">
            <v>0</v>
          </cell>
          <cell r="E163">
            <v>0</v>
          </cell>
          <cell r="F163">
            <v>0</v>
          </cell>
          <cell r="G163">
            <v>52</v>
          </cell>
          <cell r="H163">
            <v>0</v>
          </cell>
          <cell r="I163">
            <v>52.127998352050781</v>
          </cell>
          <cell r="J163">
            <v>0</v>
          </cell>
          <cell r="K163">
            <v>52.127998352050781</v>
          </cell>
          <cell r="L163">
            <v>0</v>
          </cell>
          <cell r="M163">
            <v>52.127998352050781</v>
          </cell>
          <cell r="N163">
            <v>0</v>
          </cell>
          <cell r="O163">
            <v>0</v>
          </cell>
          <cell r="P163">
            <v>0</v>
          </cell>
          <cell r="Q163">
            <v>0</v>
          </cell>
          <cell r="R163">
            <v>0</v>
          </cell>
          <cell r="S163">
            <v>0</v>
          </cell>
          <cell r="T163">
            <v>0</v>
          </cell>
          <cell r="U163">
            <v>0</v>
          </cell>
        </row>
        <row r="164">
          <cell r="A164" t="str">
            <v>TI03117</v>
          </cell>
          <cell r="B164" t="str">
            <v>Desenvolvimento do Barramento Comercial</v>
          </cell>
          <cell r="C164" t="str">
            <v>TINV.17.D.042.BC</v>
          </cell>
          <cell r="D164">
            <v>0</v>
          </cell>
          <cell r="E164">
            <v>0</v>
          </cell>
          <cell r="F164">
            <v>0</v>
          </cell>
          <cell r="G164">
            <v>216</v>
          </cell>
          <cell r="H164">
            <v>0</v>
          </cell>
          <cell r="I164">
            <v>11.423999786376953</v>
          </cell>
          <cell r="J164">
            <v>0</v>
          </cell>
          <cell r="K164">
            <v>11.423999786376953</v>
          </cell>
          <cell r="L164">
            <v>204.57600402832031</v>
          </cell>
          <cell r="M164">
            <v>216.00000381469727</v>
          </cell>
          <cell r="N164">
            <v>0</v>
          </cell>
          <cell r="O164">
            <v>0</v>
          </cell>
          <cell r="P164">
            <v>0</v>
          </cell>
          <cell r="Q164">
            <v>0</v>
          </cell>
          <cell r="R164">
            <v>0</v>
          </cell>
          <cell r="S164">
            <v>0</v>
          </cell>
          <cell r="T164">
            <v>0</v>
          </cell>
          <cell r="U164">
            <v>0</v>
          </cell>
        </row>
        <row r="165">
          <cell r="A165" t="str">
            <v>TI03217</v>
          </cell>
          <cell r="B165" t="str">
            <v>Evolução e Sustentação Sap</v>
          </cell>
          <cell r="C165" t="str">
            <v>TINV.17.D.042.ES</v>
          </cell>
          <cell r="D165">
            <v>0</v>
          </cell>
          <cell r="E165">
            <v>0</v>
          </cell>
          <cell r="F165">
            <v>0</v>
          </cell>
          <cell r="G165">
            <v>1500</v>
          </cell>
          <cell r="H165">
            <v>0</v>
          </cell>
          <cell r="I165">
            <v>0</v>
          </cell>
          <cell r="J165">
            <v>0</v>
          </cell>
          <cell r="K165">
            <v>0</v>
          </cell>
          <cell r="L165">
            <v>1496.0580673217773</v>
          </cell>
          <cell r="M165">
            <v>1496.0580673217773</v>
          </cell>
          <cell r="N165">
            <v>0</v>
          </cell>
          <cell r="O165">
            <v>0</v>
          </cell>
          <cell r="P165">
            <v>0</v>
          </cell>
          <cell r="Q165">
            <v>0</v>
          </cell>
          <cell r="R165">
            <v>0</v>
          </cell>
          <cell r="S165">
            <v>0</v>
          </cell>
          <cell r="T165">
            <v>0</v>
          </cell>
          <cell r="U165">
            <v>0</v>
          </cell>
        </row>
        <row r="166">
          <cell r="A166" t="str">
            <v>TI03317</v>
          </cell>
          <cell r="B166" t="str">
            <v>Novo Sistema de Controle de Documentos Regulatórios</v>
          </cell>
          <cell r="C166" t="str">
            <v>TINV.17.D.042.DR</v>
          </cell>
          <cell r="D166">
            <v>0</v>
          </cell>
          <cell r="E166">
            <v>0</v>
          </cell>
          <cell r="F166">
            <v>0</v>
          </cell>
          <cell r="G166">
            <v>45</v>
          </cell>
          <cell r="H166">
            <v>0</v>
          </cell>
          <cell r="I166">
            <v>44.575801849365234</v>
          </cell>
          <cell r="J166">
            <v>0</v>
          </cell>
          <cell r="K166">
            <v>44.575801849365234</v>
          </cell>
          <cell r="L166">
            <v>0</v>
          </cell>
          <cell r="M166">
            <v>44.575801849365234</v>
          </cell>
          <cell r="N166">
            <v>0</v>
          </cell>
          <cell r="O166">
            <v>0</v>
          </cell>
          <cell r="P166">
            <v>0</v>
          </cell>
          <cell r="Q166">
            <v>0</v>
          </cell>
          <cell r="R166">
            <v>0</v>
          </cell>
          <cell r="S166">
            <v>0</v>
          </cell>
          <cell r="T166">
            <v>0</v>
          </cell>
          <cell r="U166">
            <v>0</v>
          </cell>
        </row>
        <row r="167">
          <cell r="A167" t="str">
            <v>TI03318</v>
          </cell>
          <cell r="B167" t="str">
            <v>Solução de Firewall Check Point</v>
          </cell>
          <cell r="C167" t="str">
            <v>TINV.18.D.054.FW</v>
          </cell>
          <cell r="D167">
            <v>0</v>
          </cell>
          <cell r="E167">
            <v>0</v>
          </cell>
          <cell r="F167">
            <v>0</v>
          </cell>
          <cell r="G167">
            <v>245</v>
          </cell>
          <cell r="H167">
            <v>0</v>
          </cell>
          <cell r="I167">
            <v>0</v>
          </cell>
          <cell r="J167">
            <v>0</v>
          </cell>
          <cell r="K167">
            <v>0</v>
          </cell>
          <cell r="L167">
            <v>244.84255981445312</v>
          </cell>
          <cell r="M167">
            <v>244.84255981445312</v>
          </cell>
          <cell r="N167">
            <v>0</v>
          </cell>
          <cell r="O167">
            <v>0</v>
          </cell>
          <cell r="P167">
            <v>0</v>
          </cell>
          <cell r="Q167">
            <v>0</v>
          </cell>
          <cell r="R167">
            <v>0</v>
          </cell>
          <cell r="S167">
            <v>0</v>
          </cell>
          <cell r="T167">
            <v>0</v>
          </cell>
          <cell r="U167">
            <v>0</v>
          </cell>
        </row>
        <row r="168">
          <cell r="A168" t="str">
            <v>TI03417</v>
          </cell>
          <cell r="B168" t="str">
            <v>Desenvolvimento Sistema SAM</v>
          </cell>
          <cell r="C168" t="str">
            <v>TINV.17.D.042.SS</v>
          </cell>
          <cell r="D168">
            <v>0</v>
          </cell>
          <cell r="E168">
            <v>0</v>
          </cell>
          <cell r="F168">
            <v>0</v>
          </cell>
          <cell r="G168">
            <v>814</v>
          </cell>
          <cell r="H168">
            <v>0</v>
          </cell>
          <cell r="I168">
            <v>813.67767333984375</v>
          </cell>
          <cell r="J168">
            <v>0</v>
          </cell>
          <cell r="K168">
            <v>813.67767333984375</v>
          </cell>
          <cell r="L168">
            <v>0</v>
          </cell>
          <cell r="M168">
            <v>813.67767333984375</v>
          </cell>
          <cell r="N168">
            <v>0</v>
          </cell>
          <cell r="O168">
            <v>0</v>
          </cell>
          <cell r="P168">
            <v>0</v>
          </cell>
          <cell r="Q168">
            <v>0</v>
          </cell>
          <cell r="R168">
            <v>0</v>
          </cell>
          <cell r="S168">
            <v>0</v>
          </cell>
          <cell r="T168">
            <v>0</v>
          </cell>
          <cell r="U168">
            <v>0</v>
          </cell>
        </row>
        <row r="169">
          <cell r="A169" t="str">
            <v>TI03517</v>
          </cell>
          <cell r="B169" t="str">
            <v>Evolução do Sistema de Gestão - Cemig Fácil</v>
          </cell>
          <cell r="C169" t="str">
            <v>TINV.17.D.042.CF</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row>
        <row r="170">
          <cell r="A170" t="str">
            <v>TI03617</v>
          </cell>
          <cell r="B170" t="str">
            <v>Desenvolvimento do Sistema de Recuperação de Perdas Comerciais</v>
          </cell>
          <cell r="C170" t="str">
            <v>TINV.17.D.042.RP</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row>
        <row r="171">
          <cell r="A171" t="str">
            <v>TI04117</v>
          </cell>
          <cell r="B171" t="str">
            <v>Aquisição de Solução EFD REINF</v>
          </cell>
          <cell r="C171" t="str">
            <v>TINV.17.D.042.RE</v>
          </cell>
          <cell r="D171">
            <v>0</v>
          </cell>
          <cell r="E171">
            <v>0</v>
          </cell>
          <cell r="F171">
            <v>0</v>
          </cell>
          <cell r="G171">
            <v>871</v>
          </cell>
          <cell r="H171">
            <v>0</v>
          </cell>
          <cell r="I171">
            <v>0</v>
          </cell>
          <cell r="J171">
            <v>0</v>
          </cell>
          <cell r="K171">
            <v>0</v>
          </cell>
          <cell r="L171">
            <v>384.39999389648437</v>
          </cell>
          <cell r="M171">
            <v>384.39999389648437</v>
          </cell>
          <cell r="N171">
            <v>0</v>
          </cell>
          <cell r="O171">
            <v>0</v>
          </cell>
          <cell r="P171">
            <v>0</v>
          </cell>
          <cell r="Q171">
            <v>0</v>
          </cell>
          <cell r="R171">
            <v>0</v>
          </cell>
          <cell r="S171">
            <v>0</v>
          </cell>
          <cell r="T171">
            <v>0</v>
          </cell>
          <cell r="U171">
            <v>0</v>
          </cell>
        </row>
        <row r="172">
          <cell r="A172" t="str">
            <v>TI04718</v>
          </cell>
          <cell r="B172" t="str">
            <v>Arquitetura GEO (LayerCast + OpenLayers Cemig)</v>
          </cell>
          <cell r="C172" t="str">
            <v>TINV.18.D.042.AG</v>
          </cell>
          <cell r="D172">
            <v>0</v>
          </cell>
          <cell r="E172">
            <v>0</v>
          </cell>
          <cell r="F172">
            <v>0</v>
          </cell>
          <cell r="G172">
            <v>141</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row>
        <row r="173">
          <cell r="A173" t="str">
            <v>AM</v>
          </cell>
          <cell r="B173" t="str">
            <v xml:space="preserve">Atual. Moeda - Veículos </v>
          </cell>
          <cell r="C173" t="str">
            <v>-</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row>
        <row r="174">
          <cell r="A174" t="str">
            <v>CI</v>
          </cell>
          <cell r="B174" t="str">
            <v>Captura de Investimentos</v>
          </cell>
          <cell r="C174" t="str">
            <v>-</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row>
        <row r="175">
          <cell r="A175" t="str">
            <v>GE00318</v>
          </cell>
          <cell r="B175" t="str">
            <v>Planejamento Macroprojeto 3-4-6</v>
          </cell>
          <cell r="C175" t="str">
            <v>INFR.346.00318</v>
          </cell>
          <cell r="D175">
            <v>3182</v>
          </cell>
          <cell r="E175">
            <v>0</v>
          </cell>
          <cell r="F175">
            <v>3182</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row>
        <row r="176">
          <cell r="A176" t="str">
            <v>MD00218</v>
          </cell>
          <cell r="B176" t="str">
            <v>Aquisição de Equipamentos para Trabalhos em Linha Viva 138kV</v>
          </cell>
          <cell r="C176" t="str">
            <v>INFR.346.01218</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row>
        <row r="177">
          <cell r="A177" t="str">
            <v>MD00318</v>
          </cell>
          <cell r="B177" t="str">
            <v>Aquisição de cesto aéreo acoplado com braço suplementar isolado 138kV</v>
          </cell>
          <cell r="C177" t="str">
            <v>INFR.346.01318</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row>
        <row r="178">
          <cell r="A178" t="str">
            <v>NA</v>
          </cell>
          <cell r="B178" t="str">
            <v>Laudos a Serem Apresentados</v>
          </cell>
          <cell r="C178" t="str">
            <v>-</v>
          </cell>
          <cell r="D178">
            <v>5366</v>
          </cell>
          <cell r="E178">
            <v>0</v>
          </cell>
          <cell r="F178">
            <v>0</v>
          </cell>
          <cell r="G178">
            <v>0</v>
          </cell>
          <cell r="H178">
            <v>0</v>
          </cell>
          <cell r="I178">
            <v>0</v>
          </cell>
          <cell r="J178">
            <v>0</v>
          </cell>
          <cell r="K178">
            <v>0</v>
          </cell>
          <cell r="L178">
            <v>0</v>
          </cell>
          <cell r="M178">
            <v>0</v>
          </cell>
          <cell r="N178">
            <v>1864</v>
          </cell>
          <cell r="O178">
            <v>2982</v>
          </cell>
          <cell r="P178">
            <v>350</v>
          </cell>
          <cell r="Q178">
            <v>170</v>
          </cell>
          <cell r="R178">
            <v>0</v>
          </cell>
          <cell r="S178">
            <v>0</v>
          </cell>
          <cell r="T178">
            <v>0</v>
          </cell>
          <cell r="U178">
            <v>0</v>
          </cell>
        </row>
        <row r="179">
          <cell r="A179" t="str">
            <v>SR</v>
          </cell>
          <cell r="B179" t="str">
            <v>Saldo Residual</v>
          </cell>
          <cell r="C179" t="str">
            <v>-</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row>
        <row r="180">
          <cell r="A180" t="str">
            <v>AM</v>
          </cell>
          <cell r="B180" t="str">
            <v xml:space="preserve">Atual. Moeda - Microinformática </v>
          </cell>
          <cell r="C180" t="str">
            <v>-</v>
          </cell>
          <cell r="D180">
            <v>0</v>
          </cell>
          <cell r="E180">
            <v>0</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row>
        <row r="181">
          <cell r="A181" t="str">
            <v>CI</v>
          </cell>
          <cell r="B181" t="str">
            <v>Captura de Investimentos</v>
          </cell>
          <cell r="C181" t="str">
            <v>-</v>
          </cell>
          <cell r="D181">
            <v>0</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row>
        <row r="182">
          <cell r="A182" t="str">
            <v>NA</v>
          </cell>
          <cell r="B182" t="str">
            <v>Modernização do Parque de Informática - Holding</v>
          </cell>
          <cell r="C182" t="str">
            <v>-</v>
          </cell>
          <cell r="D182">
            <v>625</v>
          </cell>
          <cell r="E182">
            <v>0</v>
          </cell>
          <cell r="F182">
            <v>0</v>
          </cell>
          <cell r="G182">
            <v>0</v>
          </cell>
          <cell r="H182">
            <v>0</v>
          </cell>
          <cell r="I182">
            <v>0</v>
          </cell>
          <cell r="J182">
            <v>0</v>
          </cell>
          <cell r="K182">
            <v>0</v>
          </cell>
          <cell r="L182">
            <v>0</v>
          </cell>
          <cell r="M182">
            <v>0</v>
          </cell>
          <cell r="N182">
            <v>75</v>
          </cell>
          <cell r="O182">
            <v>150</v>
          </cell>
          <cell r="P182">
            <v>150</v>
          </cell>
          <cell r="Q182">
            <v>250</v>
          </cell>
          <cell r="R182">
            <v>0</v>
          </cell>
          <cell r="S182">
            <v>0</v>
          </cell>
          <cell r="T182">
            <v>0</v>
          </cell>
          <cell r="U182">
            <v>0</v>
          </cell>
        </row>
        <row r="183">
          <cell r="A183" t="str">
            <v>SR</v>
          </cell>
          <cell r="B183" t="str">
            <v>Saldo Residual</v>
          </cell>
          <cell r="C183" t="str">
            <v>-</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row>
        <row r="184">
          <cell r="A184" t="str">
            <v>TI04018</v>
          </cell>
          <cell r="B184" t="str">
            <v>Planejamento Macroprojeto 4-1-2</v>
          </cell>
          <cell r="C184" t="str">
            <v>TINV.18.H.045.PP</v>
          </cell>
          <cell r="D184">
            <v>75</v>
          </cell>
          <cell r="E184">
            <v>0</v>
          </cell>
          <cell r="F184">
            <v>75</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row>
        <row r="185">
          <cell r="A185" t="str">
            <v>TI04518</v>
          </cell>
          <cell r="B185" t="str">
            <v>Modernização do Parque de Microinformática</v>
          </cell>
          <cell r="C185" t="str">
            <v>TINV.18.H.045.MP</v>
          </cell>
          <cell r="D185">
            <v>0</v>
          </cell>
          <cell r="E185">
            <v>0</v>
          </cell>
          <cell r="F185">
            <v>0</v>
          </cell>
          <cell r="G185">
            <v>75</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row>
        <row r="186">
          <cell r="A186" t="str">
            <v>AM</v>
          </cell>
          <cell r="B186" t="str">
            <v xml:space="preserve">Atual. Moeda - Sistema de Informática </v>
          </cell>
          <cell r="C186" t="str">
            <v>-</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row>
        <row r="187">
          <cell r="A187" t="str">
            <v>CI</v>
          </cell>
          <cell r="B187" t="str">
            <v>Captura de Investimentos</v>
          </cell>
          <cell r="C187" t="str">
            <v>-</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row>
        <row r="188">
          <cell r="A188" t="str">
            <v>NA</v>
          </cell>
          <cell r="B188" t="str">
            <v>Sistema de Informática</v>
          </cell>
          <cell r="C188" t="str">
            <v>-</v>
          </cell>
          <cell r="D188">
            <v>600</v>
          </cell>
          <cell r="E188">
            <v>0</v>
          </cell>
          <cell r="F188">
            <v>0</v>
          </cell>
          <cell r="G188">
            <v>0</v>
          </cell>
          <cell r="H188">
            <v>0</v>
          </cell>
          <cell r="I188">
            <v>0</v>
          </cell>
          <cell r="J188">
            <v>0</v>
          </cell>
          <cell r="K188">
            <v>0</v>
          </cell>
          <cell r="L188">
            <v>0</v>
          </cell>
          <cell r="M188">
            <v>0</v>
          </cell>
          <cell r="N188">
            <v>150</v>
          </cell>
          <cell r="O188">
            <v>150</v>
          </cell>
          <cell r="P188">
            <v>150</v>
          </cell>
          <cell r="Q188">
            <v>150</v>
          </cell>
          <cell r="R188">
            <v>0</v>
          </cell>
          <cell r="S188">
            <v>0</v>
          </cell>
          <cell r="T188">
            <v>0</v>
          </cell>
          <cell r="U188">
            <v>0</v>
          </cell>
        </row>
        <row r="189">
          <cell r="A189" t="str">
            <v>SR</v>
          </cell>
          <cell r="B189" t="str">
            <v>Saldo Residual</v>
          </cell>
          <cell r="C189" t="str">
            <v>-</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row>
        <row r="190">
          <cell r="A190" t="str">
            <v>TI01113</v>
          </cell>
          <cell r="B190" t="str">
            <v>Edifício Aureliano Chaves - Infraestrutura de Conectividade de Rede, Wireless e Segurança</v>
          </cell>
          <cell r="C190" t="str">
            <v>TINV.13.H.045.AC</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row>
        <row r="191">
          <cell r="A191" t="str">
            <v>TI01114</v>
          </cell>
          <cell r="B191" t="str">
            <v>Sistema de Gestão Jurídica para o Grupo Cemig</v>
          </cell>
          <cell r="C191" t="str">
            <v>TINV.14.H.042.SJ</v>
          </cell>
          <cell r="D191">
            <v>0</v>
          </cell>
          <cell r="E191">
            <v>0</v>
          </cell>
          <cell r="F191">
            <v>0</v>
          </cell>
          <cell r="G191">
            <v>8</v>
          </cell>
          <cell r="H191">
            <v>0</v>
          </cell>
          <cell r="I191">
            <v>7.60504150390625</v>
          </cell>
          <cell r="J191">
            <v>0</v>
          </cell>
          <cell r="K191">
            <v>7.60504150390625</v>
          </cell>
          <cell r="L191">
            <v>0</v>
          </cell>
          <cell r="M191">
            <v>7.60504150390625</v>
          </cell>
          <cell r="N191">
            <v>0</v>
          </cell>
          <cell r="O191">
            <v>0</v>
          </cell>
          <cell r="P191">
            <v>0</v>
          </cell>
          <cell r="Q191">
            <v>0</v>
          </cell>
          <cell r="R191">
            <v>0</v>
          </cell>
          <cell r="S191">
            <v>0</v>
          </cell>
          <cell r="T191">
            <v>0</v>
          </cell>
          <cell r="U191">
            <v>0</v>
          </cell>
        </row>
        <row r="192">
          <cell r="A192" t="str">
            <v>TI04018</v>
          </cell>
          <cell r="B192" t="str">
            <v>Planejamento Macroprojeto 4-1-3</v>
          </cell>
          <cell r="C192" t="str">
            <v>TINV.18.H.042.PP</v>
          </cell>
          <cell r="D192">
            <v>1289</v>
          </cell>
          <cell r="E192">
            <v>0</v>
          </cell>
          <cell r="F192">
            <v>1289</v>
          </cell>
          <cell r="G192">
            <v>0</v>
          </cell>
          <cell r="H192">
            <v>219</v>
          </cell>
          <cell r="I192">
            <v>0</v>
          </cell>
          <cell r="J192">
            <v>0</v>
          </cell>
          <cell r="K192">
            <v>0</v>
          </cell>
          <cell r="L192">
            <v>0</v>
          </cell>
          <cell r="M192">
            <v>0</v>
          </cell>
          <cell r="N192">
            <v>0</v>
          </cell>
          <cell r="O192">
            <v>0</v>
          </cell>
          <cell r="P192">
            <v>0</v>
          </cell>
          <cell r="Q192">
            <v>0</v>
          </cell>
          <cell r="R192">
            <v>0</v>
          </cell>
          <cell r="S192">
            <v>0</v>
          </cell>
          <cell r="T192">
            <v>0</v>
          </cell>
          <cell r="U192">
            <v>0</v>
          </cell>
        </row>
        <row r="193">
          <cell r="D193">
            <v>358384.45952311286</v>
          </cell>
          <cell r="E193">
            <v>1408.5332552744051</v>
          </cell>
          <cell r="F193">
            <v>83740</v>
          </cell>
          <cell r="G193">
            <v>31369</v>
          </cell>
          <cell r="H193">
            <v>7640</v>
          </cell>
          <cell r="I193">
            <v>7094.1932947933674</v>
          </cell>
          <cell r="J193">
            <v>0</v>
          </cell>
          <cell r="K193">
            <v>7094.1932947933674</v>
          </cell>
          <cell r="L193">
            <v>13962.132322788239</v>
          </cell>
          <cell r="M193">
            <v>21056.325617581606</v>
          </cell>
          <cell r="N193">
            <v>89792</v>
          </cell>
          <cell r="O193">
            <v>81660</v>
          </cell>
          <cell r="P193">
            <v>54136</v>
          </cell>
          <cell r="Q193">
            <v>47400</v>
          </cell>
          <cell r="R193">
            <v>0</v>
          </cell>
          <cell r="S193">
            <v>0</v>
          </cell>
          <cell r="T193">
            <v>0</v>
          </cell>
          <cell r="U193">
            <v>0</v>
          </cell>
        </row>
      </sheetData>
      <sheetData sheetId="6"/>
      <sheetData sheetId="7"/>
      <sheetData sheetId="8"/>
      <sheetData sheetId="9"/>
      <sheetData sheetId="10"/>
      <sheetData sheetId="11">
        <row r="3">
          <cell r="Z3">
            <v>12</v>
          </cell>
        </row>
      </sheetData>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ções de Procedimento"/>
      <sheetName val="Projetos ciclo 2018-2022"/>
      <sheetName val="Macroprojetos"/>
      <sheetName val="Equipamento Geral e Software"/>
      <sheetName val="Processos"/>
      <sheetName val="Estrutura P1"/>
      <sheetName val="Aquisição de demanda repetitiva"/>
      <sheetName val="Plan1"/>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055300" refreshedDate="43371.454765856484" createdVersion="5" refreshedVersion="5" minRefreshableVersion="3" recordCount="323">
  <cacheSource type="worksheet">
    <worksheetSource ref="B6:AH329" sheet="2018 e 2019"/>
  </cacheSource>
  <cacheFields count="33">
    <cacheField name="Empresa" numFmtId="0">
      <sharedItems count="4">
        <s v="Geração"/>
        <s v="Transmissão"/>
        <s v="Distribuição"/>
        <s v="Holding"/>
      </sharedItems>
    </cacheField>
    <cacheField name="Macroprojeto" numFmtId="0">
      <sharedItems count="20">
        <s v="1-3-1 Edificações e Complementos G"/>
        <s v="1-3-2-1 TI - Telecomunicações (Ativo não elétrico) G"/>
        <s v="1-3-3 TI - Microinformática G"/>
        <s v="1-3-4 Sistema de Informática G"/>
        <s v="1-3-5 Veículos G"/>
        <s v="1-3-6 Ferramentas e Equipamentos G"/>
        <s v="2-3-1 Edificações e Complementos T"/>
        <s v="2-3-2 TI - Telecomunicações (Ativo não elétrico) T"/>
        <s v="2-3-3 TI - Microinformática T"/>
        <s v="2-3-4 Sistema de Informática T"/>
        <s v="2-3-5 Veículos T"/>
        <s v="2-3-6 Ferramentas e Equipamentos T"/>
        <s v="3-4-1 Ferramentas D"/>
        <s v="3-4-2 Edificações e Complementos D"/>
        <s v="3-4-5 Sistema de Informática D"/>
        <s v="3-4-3-1 TI - Telecomunicações (Ativos não elétricos) D"/>
        <s v="3-4-4 TI - Microinformática D"/>
        <s v="3-4-6 Veículos D"/>
        <s v="4-1-2 TI - Microinformática H"/>
        <s v="4-1-3 Sistema de Informática H"/>
      </sharedItems>
    </cacheField>
    <cacheField name="Órgão" numFmtId="0">
      <sharedItems/>
    </cacheField>
    <cacheField name="Diretoria" numFmtId="0">
      <sharedItems/>
    </cacheField>
    <cacheField name="Responsável" numFmtId="0">
      <sharedItems/>
    </cacheField>
    <cacheField name="CPO" numFmtId="0">
      <sharedItems/>
    </cacheField>
    <cacheField name="COLETOR" numFmtId="0">
      <sharedItems containsBlank="1"/>
    </cacheField>
    <cacheField name="Título do projeto" numFmtId="0">
      <sharedItems/>
    </cacheField>
    <cacheField name="Descrição resumida do projeto" numFmtId="0">
      <sharedItems containsBlank="1" longText="1"/>
    </cacheField>
    <cacheField name="Riscos de não execução" numFmtId="0">
      <sharedItems containsBlank="1" longText="1"/>
    </cacheField>
    <cacheField name="Justificativa de alteração do desembolso do projeto" numFmtId="0">
      <sharedItems containsBlank="1" longText="1"/>
    </cacheField>
    <cacheField name="mai/18" numFmtId="41">
      <sharedItems containsString="0" containsBlank="1" containsNumber="1" minValue="0" maxValue="3489.3745973110199"/>
    </cacheField>
    <cacheField name="jun/18" numFmtId="41">
      <sharedItems containsString="0" containsBlank="1" containsNumber="1" minValue="0" maxValue="800"/>
    </cacheField>
    <cacheField name="jul/18" numFmtId="41">
      <sharedItems containsString="0" containsBlank="1" containsNumber="1" minValue="0" maxValue="600"/>
    </cacheField>
    <cacheField name="ago/18" numFmtId="0">
      <sharedItems containsString="0" containsBlank="1" containsNumber="1" minValue="0" maxValue="4184"/>
    </cacheField>
    <cacheField name="set/18" numFmtId="0">
      <sharedItems containsString="0" containsBlank="1" containsNumber="1" minValue="0" maxValue="1755"/>
    </cacheField>
    <cacheField name="out/18" numFmtId="41">
      <sharedItems containsBlank="1" containsMixedTypes="1" containsNumber="1" minValue="0" maxValue="1705"/>
    </cacheField>
    <cacheField name="nov/18" numFmtId="41">
      <sharedItems containsString="0" containsBlank="1" containsNumber="1" minValue="0" maxValue="1170"/>
    </cacheField>
    <cacheField name="dez/18" numFmtId="41">
      <sharedItems containsBlank="1" containsMixedTypes="1" containsNumber="1" minValue="0" maxValue="20000"/>
    </cacheField>
    <cacheField name="Total 2018" numFmtId="164">
      <sharedItems containsSemiMixedTypes="0" containsString="0" containsNumber="1" minValue="0" maxValue="20000"/>
    </cacheField>
    <cacheField name="jan/19" numFmtId="164">
      <sharedItems containsString="0" containsBlank="1" containsNumber="1" minValue="0" maxValue="1364"/>
    </cacheField>
    <cacheField name="fev/19" numFmtId="164">
      <sharedItems containsString="0" containsBlank="1" containsNumber="1" minValue="0" maxValue="1261"/>
    </cacheField>
    <cacheField name="mar/19" numFmtId="164">
      <sharedItems containsString="0" containsBlank="1" containsNumber="1" minValue="0" maxValue="1760"/>
    </cacheField>
    <cacheField name="abr/19" numFmtId="164">
      <sharedItems containsString="0" containsBlank="1" containsNumber="1" minValue="0" maxValue="1656"/>
    </cacheField>
    <cacheField name="mai/19" numFmtId="164">
      <sharedItems containsString="0" containsBlank="1" containsNumber="1" minValue="0" maxValue="1513"/>
    </cacheField>
    <cacheField name="jun/19" numFmtId="164">
      <sharedItems containsString="0" containsBlank="1" containsNumber="1" minValue="0" maxValue="2000"/>
    </cacheField>
    <cacheField name="jul/19" numFmtId="164">
      <sharedItems containsString="0" containsBlank="1" containsNumber="1" minValue="0" maxValue="3261"/>
    </cacheField>
    <cacheField name="ago/19" numFmtId="164">
      <sharedItems containsString="0" containsBlank="1" containsNumber="1" minValue="0" maxValue="10000"/>
    </cacheField>
    <cacheField name="set/19" numFmtId="164">
      <sharedItems containsString="0" containsBlank="1" containsNumber="1" minValue="0" maxValue="1500"/>
    </cacheField>
    <cacheField name="out/19" numFmtId="164">
      <sharedItems containsString="0" containsBlank="1" containsNumber="1" minValue="0" maxValue="750"/>
    </cacheField>
    <cacheField name="nov/19" numFmtId="164">
      <sharedItems containsString="0" containsBlank="1" containsNumber="1" minValue="0" maxValue="704.25"/>
    </cacheField>
    <cacheField name="dez/19" numFmtId="164">
      <sharedItems containsString="0" containsBlank="1" containsNumber="1" minValue="0" maxValue="2550"/>
    </cacheField>
    <cacheField name="Total 2019" numFmtId="164">
      <sharedItems containsSemiMixedTypes="0" containsString="0" containsNumber="1" minValue="0" maxValue="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056191" refreshedDate="43375.464647916669" createdVersion="5" refreshedVersion="5" minRefreshableVersion="3" recordCount="314">
  <cacheSource type="worksheet">
    <worksheetSource ref="A1:CA315" sheet="Projetos_Ciclo"/>
  </cacheSource>
  <cacheFields count="79">
    <cacheField name="EMPRESA" numFmtId="0">
      <sharedItems count="4">
        <s v="Distribuição"/>
        <s v="Geração"/>
        <s v="Transmissão"/>
        <s v="Holding"/>
      </sharedItems>
    </cacheField>
    <cacheField name="MACROPROJETO" numFmtId="0">
      <sharedItems count="20">
        <s v="3-4-1 Ferramentas D"/>
        <s v="3-4-2 Edificações e Complementos D"/>
        <s v="1-3-1 Edificações e Complementos G"/>
        <s v="1-3-6 Ferramentas e Equipamentos G"/>
        <s v="3-4-6 Veículos D"/>
        <s v="2-3-6 Ferramentas e Equipamentos T"/>
        <s v="2-3-1 Edificações e Complementos T"/>
        <s v="2-3-5 Veículos T"/>
        <s v="1-3-5 Veículos G"/>
        <s v="3-4-5 Sistema de Informática D"/>
        <s v="1-3-3 TI - Microinformática G"/>
        <s v="1-3-4 Sistema de Informática G"/>
        <s v="2-3-2 TI - Telecomunicações (Ativo não elétrico) T"/>
        <s v="2-3-3 TI - Microinformática T"/>
        <s v="3-4-3-1 TI - Telecomunicações (Ativos não elétricos) D"/>
        <s v="3-4-4 TI - Microinformática D"/>
        <s v="4-1-2 TI - Microinformática H"/>
        <s v="4-1-3 Sistema de Informática H"/>
        <s v="2-3-4 Sistema de Informática T"/>
        <s v="1-3-2-1 TI - Telecomunicações (Ativo não elétrico) G"/>
      </sharedItems>
    </cacheField>
    <cacheField name="ORGAO_RESPONSAVEL" numFmtId="0">
      <sharedItems/>
    </cacheField>
    <cacheField name="RESPONSAVEL" numFmtId="0">
      <sharedItems/>
    </cacheField>
    <cacheField name="ORGAO_DEMANDANTE" numFmtId="0">
      <sharedItems/>
    </cacheField>
    <cacheField name="DEMANDANTE" numFmtId="0">
      <sharedItems/>
    </cacheField>
    <cacheField name="DIRETORIA" numFmtId="0">
      <sharedItems/>
    </cacheField>
    <cacheField name="CPO" numFmtId="0">
      <sharedItems/>
    </cacheField>
    <cacheField name="COLETOR" numFmtId="0">
      <sharedItems containsBlank="1"/>
    </cacheField>
    <cacheField name="TITULO_PROJETO" numFmtId="0">
      <sharedItems longText="1"/>
    </cacheField>
    <cacheField name="DESCRICAO_PROJETO" numFmtId="0">
      <sharedItems containsBlank="1" longText="1"/>
    </cacheField>
    <cacheField name="RISCOS_NAO_EXECUCAO" numFmtId="0">
      <sharedItems containsBlank="1" longText="1"/>
    </cacheField>
    <cacheField name="JUSTIFICATIVA" numFmtId="0">
      <sharedItems containsBlank="1" longText="1"/>
    </cacheField>
    <cacheField name="P_01_2018" numFmtId="164">
      <sharedItems containsSemiMixedTypes="0" containsString="0" containsNumber="1" minValue="-660.04498291015625" maxValue="379.95736694335937"/>
    </cacheField>
    <cacheField name="P_02_2018" numFmtId="164">
      <sharedItems containsSemiMixedTypes="0" containsString="0" containsNumber="1" minValue="0" maxValue="812"/>
    </cacheField>
    <cacheField name="P_03_2018" numFmtId="164">
      <sharedItems containsSemiMixedTypes="0" containsString="0" containsNumber="1" minValue="0" maxValue="893.10622763633728"/>
    </cacheField>
    <cacheField name="P_04_2018" numFmtId="164">
      <sharedItems containsSemiMixedTypes="0" containsString="0" containsNumber="1" minValue="-1.6000000238418579" maxValue="1236.459716796875"/>
    </cacheField>
    <cacheField name="P_05_2018" numFmtId="164">
      <sharedItems containsSemiMixedTypes="0" containsString="0" containsNumber="1" minValue="0" maxValue="693.4403076171875"/>
    </cacheField>
    <cacheField name="P_06_2018" numFmtId="164">
      <sharedItems containsSemiMixedTypes="0" containsString="0" containsNumber="1" minValue="0" maxValue="649.06454944610596"/>
    </cacheField>
    <cacheField name="P_07_2018" numFmtId="164">
      <sharedItems containsSemiMixedTypes="0" containsString="0" containsNumber="1" minValue="-15.126480102539063" maxValue="800"/>
    </cacheField>
    <cacheField name="P_08_2018" numFmtId="41">
      <sharedItems containsSemiMixedTypes="0" containsString="0" containsNumber="1" minValue="0" maxValue="341.49017333984375"/>
    </cacheField>
    <cacheField name="P_09_2018" numFmtId="0">
      <sharedItems containsString="0" containsBlank="1" containsNumber="1" minValue="0" maxValue="750"/>
    </cacheField>
    <cacheField name="P_10_2018" numFmtId="41">
      <sharedItems containsBlank="1" containsMixedTypes="1" containsNumber="1" minValue="0" maxValue="750"/>
    </cacheField>
    <cacheField name="P_11_2018" numFmtId="41">
      <sharedItems containsString="0" containsBlank="1" containsNumber="1" minValue="0" maxValue="2955.7335399999997"/>
    </cacheField>
    <cacheField name="P_12_2018" numFmtId="0">
      <sharedItems containsBlank="1" containsMixedTypes="1" containsNumber="1" minValue="0" maxValue="20000"/>
    </cacheField>
    <cacheField name="P_TOTAL_2018" numFmtId="164">
      <sharedItems containsSemiMixedTypes="0" containsString="0" containsNumber="1" minValue="0" maxValue="20000"/>
    </cacheField>
    <cacheField name="P_01_2019" numFmtId="164">
      <sharedItems containsString="0" containsBlank="1" containsNumber="1" minValue="0" maxValue="1364"/>
    </cacheField>
    <cacheField name="P_02_2019" numFmtId="164">
      <sharedItems containsString="0" containsBlank="1" containsNumber="1" minValue="0" maxValue="1261"/>
    </cacheField>
    <cacheField name="P_03_2019" numFmtId="164">
      <sharedItems containsString="0" containsBlank="1" containsNumber="1" minValue="0" maxValue="1760"/>
    </cacheField>
    <cacheField name="P_04_2019" numFmtId="164">
      <sharedItems containsString="0" containsBlank="1" containsNumber="1" minValue="0" maxValue="10000"/>
    </cacheField>
    <cacheField name="P_05_2019" numFmtId="164">
      <sharedItems containsString="0" containsBlank="1" containsNumber="1" minValue="0" maxValue="1513"/>
    </cacheField>
    <cacheField name="P_06_2019" numFmtId="164">
      <sharedItems containsString="0" containsBlank="1" containsNumber="1" minValue="0" maxValue="1880"/>
    </cacheField>
    <cacheField name="P_07_2019" numFmtId="164">
      <sharedItems containsString="0" containsBlank="1" containsNumber="1" minValue="0" maxValue="3261"/>
    </cacheField>
    <cacheField name="P_08_2019" numFmtId="41">
      <sharedItems containsString="0" containsBlank="1" containsNumber="1" minValue="0" maxValue="1400"/>
    </cacheField>
    <cacheField name="P_09_2019" numFmtId="0">
      <sharedItems containsString="0" containsBlank="1" containsNumber="1" minValue="0" maxValue="1280"/>
    </cacheField>
    <cacheField name="P_10_2019" numFmtId="41">
      <sharedItems containsString="0" containsBlank="1" containsNumber="1" minValue="0" maxValue="500"/>
    </cacheField>
    <cacheField name="P_11_2019" numFmtId="41">
      <sharedItems containsString="0" containsBlank="1" containsNumber="1" minValue="0" maxValue="500"/>
    </cacheField>
    <cacheField name="P_12_2019" numFmtId="0">
      <sharedItems containsString="0" containsBlank="1" containsNumber="1" minValue="0" maxValue="1000"/>
    </cacheField>
    <cacheField name="P_TOTAL_2019" numFmtId="164">
      <sharedItems containsSemiMixedTypes="0" containsString="0" containsNumber="1" minValue="0" maxValue="10000"/>
    </cacheField>
    <cacheField name="P_01_2020" numFmtId="164">
      <sharedItems containsString="0" containsBlank="1" containsNumber="1" minValue="0" maxValue="1364"/>
    </cacheField>
    <cacheField name="P_02_2020" numFmtId="164">
      <sharedItems containsString="0" containsBlank="1" containsNumber="1" minValue="0" maxValue="2200"/>
    </cacheField>
    <cacheField name="P_03_2020" numFmtId="164">
      <sharedItems containsString="0" containsBlank="1" containsNumber="1" minValue="0" maxValue="1541"/>
    </cacheField>
    <cacheField name="P_04_2020" numFmtId="164">
      <sharedItems containsString="0" containsBlank="1" containsNumber="1" minValue="0" maxValue="450"/>
    </cacheField>
    <cacheField name="P_05_2020" numFmtId="164">
      <sharedItems containsString="0" containsBlank="1" containsNumber="1" minValue="0" maxValue="750"/>
    </cacheField>
    <cacheField name="P_06_2020" numFmtId="164">
      <sharedItems containsString="0" containsBlank="1" containsNumber="1" minValue="0" maxValue="500"/>
    </cacheField>
    <cacheField name="P_07_2020" numFmtId="164">
      <sharedItems containsString="0" containsBlank="1" containsNumber="1" minValue="0" maxValue="2655"/>
    </cacheField>
    <cacheField name="P_08_2020" numFmtId="41">
      <sharedItems containsString="0" containsBlank="1" containsNumber="1" minValue="0" maxValue="500"/>
    </cacheField>
    <cacheField name="P_09_2020" numFmtId="0">
      <sharedItems containsString="0" containsBlank="1" containsNumber="1" minValue="0" maxValue="1190"/>
    </cacheField>
    <cacheField name="P_10_2020" numFmtId="41">
      <sharedItems containsString="0" containsBlank="1" containsNumber="1" minValue="0" maxValue="1500"/>
    </cacheField>
    <cacheField name="P_11_2020" numFmtId="41">
      <sharedItems containsString="0" containsBlank="1" containsNumber="1" minValue="0" maxValue="2220"/>
    </cacheField>
    <cacheField name="P_12_2020" numFmtId="0">
      <sharedItems containsString="0" containsBlank="1" containsNumber="1" minValue="0" maxValue="1000"/>
    </cacheField>
    <cacheField name="P_TOTAL_2020" numFmtId="164">
      <sharedItems containsSemiMixedTypes="0" containsString="0" containsNumber="1" minValue="0" maxValue="5981"/>
    </cacheField>
    <cacheField name="P_01_2021" numFmtId="164">
      <sharedItems containsString="0" containsBlank="1" containsNumber="1" minValue="0" maxValue="547.5"/>
    </cacheField>
    <cacheField name="P_02_2021" numFmtId="164">
      <sharedItems containsString="0" containsBlank="1" containsNumber="1" minValue="0" maxValue="800"/>
    </cacheField>
    <cacheField name="P_03_2021" numFmtId="164">
      <sharedItems containsString="0" containsBlank="1" containsNumber="1" minValue="0" maxValue="2244.14"/>
    </cacheField>
    <cacheField name="P_04_2021" numFmtId="164">
      <sharedItems containsString="0" containsBlank="1" containsNumber="1" minValue="0" maxValue="547.5"/>
    </cacheField>
    <cacheField name="P_05_2021" numFmtId="164">
      <sharedItems containsString="0" containsBlank="1" containsNumber="1" minValue="0" maxValue="3000"/>
    </cacheField>
    <cacheField name="P_06_2021" numFmtId="164">
      <sharedItems containsString="0" containsBlank="1" containsNumber="1" minValue="0" maxValue="3665"/>
    </cacheField>
    <cacheField name="P_07_2021" numFmtId="164">
      <sharedItems containsString="0" containsBlank="1" containsNumber="1" minValue="0" maxValue="547.5"/>
    </cacheField>
    <cacheField name="P_08_2021" numFmtId="41">
      <sharedItems containsString="0" containsBlank="1" containsNumber="1" minValue="0" maxValue="2267"/>
    </cacheField>
    <cacheField name="P_09_2021" numFmtId="0">
      <sharedItems containsString="0" containsBlank="1" containsNumber="1" minValue="0" maxValue="1300"/>
    </cacheField>
    <cacheField name="P_10_2021" numFmtId="41">
      <sharedItems containsString="0" containsBlank="1" containsNumber="1" minValue="0" maxValue="2000"/>
    </cacheField>
    <cacheField name="P_11_2021" numFmtId="41">
      <sharedItems containsString="0" containsBlank="1" containsNumber="1" minValue="0" maxValue="2000"/>
    </cacheField>
    <cacheField name="P_12_2021" numFmtId="0">
      <sharedItems containsString="0" containsBlank="1" containsNumber="1" minValue="0" maxValue="1000"/>
    </cacheField>
    <cacheField name="P_TOTAL_2021" numFmtId="164">
      <sharedItems containsSemiMixedTypes="0" containsString="0" containsNumber="1" minValue="0" maxValue="6569.5"/>
    </cacheField>
    <cacheField name="P_01_2022" numFmtId="164">
      <sharedItems containsString="0" containsBlank="1" containsNumber="1" minValue="0" maxValue="547.5"/>
    </cacheField>
    <cacheField name="P_02_2022" numFmtId="164">
      <sharedItems containsString="0" containsBlank="1" containsNumber="1" minValue="0" maxValue="800"/>
    </cacheField>
    <cacheField name="P_03_2022" numFmtId="164">
      <sharedItems containsString="0" containsBlank="1" containsNumber="1" minValue="0" maxValue="547.5"/>
    </cacheField>
    <cacheField name="P_04_2022" numFmtId="164">
      <sharedItems containsString="0" containsBlank="1" containsNumber="1" minValue="0" maxValue="547.5"/>
    </cacheField>
    <cacheField name="P_05_2022" numFmtId="164">
      <sharedItems containsString="0" containsBlank="1" containsNumber="1" minValue="0" maxValue="1160"/>
    </cacheField>
    <cacheField name="P_06_2022" numFmtId="164">
      <sharedItems containsString="0" containsBlank="1" containsNumber="1" minValue="0" maxValue="750"/>
    </cacheField>
    <cacheField name="P_07_2022" numFmtId="164">
      <sharedItems containsString="0" containsBlank="1" containsNumber="1" minValue="0" maxValue="547.5"/>
    </cacheField>
    <cacheField name="P_08_2022" numFmtId="41">
      <sharedItems containsString="0" containsBlank="1" containsNumber="1" minValue="0" maxValue="2736"/>
    </cacheField>
    <cacheField name="P_09_2022" numFmtId="0">
      <sharedItems containsString="0" containsBlank="1" containsNumber="1" minValue="0" maxValue="4624.8999999999996"/>
    </cacheField>
    <cacheField name="P_10_2022" numFmtId="41">
      <sharedItems containsString="0" containsBlank="1" containsNumber="1" minValue="0" maxValue="2000"/>
    </cacheField>
    <cacheField name="P_11_2022" numFmtId="41">
      <sharedItems containsString="0" containsBlank="1" containsNumber="1" minValue="0" maxValue="2000"/>
    </cacheField>
    <cacheField name="P_12_2022" numFmtId="0">
      <sharedItems containsString="0" containsBlank="1" containsNumber="1" minValue="0" maxValue="2539.6867243280576"/>
    </cacheField>
    <cacheField name="P_TOTAL_2022" numFmtId="164">
      <sharedItems containsSemiMixedTypes="0" containsString="0" containsNumber="1" minValue="0" maxValue="8028.3946299999998"/>
    </cacheField>
    <cacheField name="P_TOTAL_CICLO" numFmtId="164">
      <sharedItems containsSemiMixedTypes="0" containsString="0" containsNumber="1" minValue="0" maxValue="28635.348813905639"/>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23">
  <r>
    <x v="0"/>
    <x v="0"/>
    <s v="MG/TR"/>
    <s v="DGT"/>
    <s v="Rangel Araújo F Martins"/>
    <s v="NA"/>
    <m/>
    <s v="Aquisição de 02 Aparelhos de ar condicionado cassete 48000 BTU - UHNP"/>
    <s v="Aquisição de 02 Aparelhos de ar condicionado tipo casete 48000 BTU para sala de reuniões da Usina - UHNP"/>
    <s v="Degradação das condições ergonômicas das áreas das Usinas que concentram um maior números de pessoas por longos períodos de tempo."/>
    <m/>
    <n v="0"/>
    <m/>
    <m/>
    <m/>
    <m/>
    <m/>
    <m/>
    <m/>
    <n v="0"/>
    <n v="0"/>
    <n v="0"/>
    <n v="0"/>
    <n v="0"/>
    <n v="0"/>
    <n v="0"/>
    <n v="0"/>
    <n v="0"/>
    <n v="0"/>
    <n v="0"/>
    <n v="0"/>
    <n v="0"/>
    <n v="0"/>
  </r>
  <r>
    <x v="0"/>
    <x v="0"/>
    <s v="MG"/>
    <s v="DGT"/>
    <s v="Leonardo Victoretti , Mateus Trevisani, Diego Thadeu 31-3535-7617_x000a_SIT-944 351"/>
    <s v="MG00818"/>
    <s v="INFR.131.02218"/>
    <s v="AQUISIÇÃO DE EQUIPAMENTO GERAL PARA MG"/>
    <s v="Descrição: MG/LE: Aquisição de (3) aparelhos de ar  condcionado, modelo split, piso/teto, 30.000 Btus"/>
    <s v="Aumento do gasto em despesa com manutenção dos aparelhos de ar condicionado existentes._x000a_Ficar com ambiente sem climatização em caso de falha que decrete o final da vida útil do equipamento._x000a_"/>
    <m/>
    <n v="0"/>
    <n v="0"/>
    <n v="0"/>
    <n v="0"/>
    <n v="0"/>
    <m/>
    <n v="0"/>
    <n v="51.4"/>
    <n v="51.4"/>
    <n v="0"/>
    <n v="0"/>
    <n v="0"/>
    <n v="0"/>
    <n v="0"/>
    <n v="0"/>
    <n v="0"/>
    <m/>
    <n v="0"/>
    <n v="0"/>
    <n v="0"/>
    <n v="0"/>
    <n v="0"/>
  </r>
  <r>
    <x v="0"/>
    <x v="0"/>
    <s v="SC"/>
    <s v="DGE"/>
    <s v="Flávio Henrique Silva Rosário"/>
    <s v="NA"/>
    <m/>
    <s v="Aquisição de Equipamentos Geral  - Ar Condicionado e Bebedouro - Geração"/>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m/>
    <m/>
    <m/>
    <m/>
    <m/>
    <m/>
    <m/>
    <n v="0"/>
    <m/>
    <m/>
    <m/>
    <m/>
    <m/>
    <m/>
    <m/>
    <n v="55"/>
    <m/>
    <m/>
    <m/>
    <m/>
    <n v="55"/>
  </r>
  <r>
    <x v="0"/>
    <x v="0"/>
    <s v="SC"/>
    <s v="DGE"/>
    <s v="Flávio Henrique Silva Rosário"/>
    <s v="SC00318"/>
    <s v="INFR.131.01518"/>
    <s v="Aquisição de Equipamentos Geral  - Ar Condicionado e Bebedouro - Geração - SC00318"/>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n v="1.6000000238418579"/>
    <m/>
    <n v="128"/>
    <m/>
    <m/>
    <m/>
    <n v="3.4541600000011385"/>
    <n v="133.054160023843"/>
    <m/>
    <m/>
    <m/>
    <m/>
    <m/>
    <m/>
    <m/>
    <m/>
    <m/>
    <m/>
    <m/>
    <m/>
    <n v="0"/>
  </r>
  <r>
    <x v="0"/>
    <x v="0"/>
    <s v="SC"/>
    <s v="DGE"/>
    <s v="Flávio Henrique Silva Rosário"/>
    <s v="NA"/>
    <m/>
    <s v="Aquisição de 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m/>
    <m/>
    <m/>
    <m/>
    <m/>
    <m/>
    <n v="94"/>
    <n v="94"/>
    <m/>
    <m/>
    <m/>
    <m/>
    <m/>
    <m/>
    <m/>
    <m/>
    <m/>
    <m/>
    <m/>
    <m/>
    <n v="0"/>
  </r>
  <r>
    <x v="0"/>
    <x v="0"/>
    <s v="SC"/>
    <s v="DGE"/>
    <s v="Rogério Elias"/>
    <s v="NA"/>
    <m/>
    <s v="Aquisição de mobiliário para atendimento cliente interno G"/>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m/>
    <m/>
    <n v="0"/>
  </r>
  <r>
    <x v="0"/>
    <x v="0"/>
    <s v="SC"/>
    <s v="DGE"/>
    <s v="Flávio Henrique Silva Rosário"/>
    <s v="NA"/>
    <m/>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n v="0"/>
    <m/>
    <m/>
    <m/>
    <m/>
    <m/>
    <m/>
    <n v="60"/>
    <n v="60"/>
    <m/>
    <m/>
    <m/>
    <m/>
    <m/>
    <m/>
    <m/>
    <m/>
    <n v="140"/>
    <m/>
    <m/>
    <m/>
    <n v="140"/>
  </r>
  <r>
    <x v="0"/>
    <x v="0"/>
    <s v="SC"/>
    <s v="DGE"/>
    <s v="Flávio Henrique Silva Rosário"/>
    <s v="NA"/>
    <m/>
    <s v="Implantação de acesso de segurança para manutenção em prédios da Cemig da Região Metropolitana de BH"/>
    <s v="Contratação de projeto e execução de adequações de segurança para acesso de manutenção em prédios nas unidades AR, CI e SE-NA."/>
    <s v="Sem esses acessos não é possível executar essa manutenção, tendo que contratar equipamentos ou empresas especializadas, pois há risco para quem o executa. E também há o risco do serviço ser feito sem autorização, sem segurança e que aconteça algum incidente."/>
    <s v="Trata-se de um único projeto de obra, cujo desembolso é consecutivo, por isso precisou ser adiantada."/>
    <n v="0"/>
    <m/>
    <m/>
    <m/>
    <m/>
    <m/>
    <n v="62"/>
    <m/>
    <n v="62"/>
    <m/>
    <m/>
    <m/>
    <m/>
    <n v="21"/>
    <m/>
    <m/>
    <m/>
    <m/>
    <n v="44"/>
    <m/>
    <m/>
    <n v="65"/>
  </r>
  <r>
    <x v="0"/>
    <x v="0"/>
    <s v="MG/TR"/>
    <s v="DGT"/>
    <s v="Rangel Araújo F Martins"/>
    <s v="NA"/>
    <m/>
    <s v="Instalação de 01 sistema de vigilancia patrimonial - UHNP"/>
    <s v="Aquisição dos serviços de Instalação de sistema de vigilancia patrimonial para a Usina - UHNP"/>
    <s v="Dificuldade de acompanhamento e confirmação das condições operacionais dos equipamentos eletromecânicos da Usina."/>
    <m/>
    <n v="0"/>
    <m/>
    <m/>
    <m/>
    <m/>
    <m/>
    <m/>
    <m/>
    <n v="0"/>
    <n v="0"/>
    <n v="0"/>
    <n v="0"/>
    <n v="0"/>
    <n v="0"/>
    <n v="0"/>
    <n v="0"/>
    <n v="0"/>
    <n v="0"/>
    <n v="0"/>
    <n v="0"/>
    <m/>
    <n v="0"/>
  </r>
  <r>
    <x v="0"/>
    <x v="0"/>
    <s v="GE/IM"/>
    <s v="DGE"/>
    <s v="Evandro Jardim"/>
    <s v="NA"/>
    <m/>
    <s v="Otimização dos Ativos de Ipatinga para atendimento da Cemig GT"/>
    <s v="Execução de obra civil de nova instalação de escritório no imóvel da MT/LE para recebimento do pessoal da MG/LE."/>
    <s v="Não redução de despesa operacional, relativa à locação de imóvel para a Cemig GT, no município de Ipatinga."/>
    <s v="Alongamento da curva de desembolso."/>
    <n v="0"/>
    <m/>
    <m/>
    <m/>
    <m/>
    <m/>
    <m/>
    <n v="50"/>
    <n v="50"/>
    <m/>
    <m/>
    <m/>
    <m/>
    <m/>
    <m/>
    <n v="94.416799999999995"/>
    <m/>
    <m/>
    <m/>
    <m/>
    <n v="158.5"/>
    <n v="252.91679999999999"/>
  </r>
  <r>
    <x v="0"/>
    <x v="0"/>
    <s v="SC"/>
    <s v="DGE"/>
    <s v="Ian Garcia"/>
    <s v="NA"/>
    <m/>
    <s v="Video Monitoramento Analítico em 12 usinas"/>
    <s v="Instalação de Câmeras  para monitoramento de eventos e ocorrencias no interior das Usinas"/>
    <s v="Inibir invasões, furtos e monitorar o acesso de pessoas na uisnas"/>
    <m/>
    <n v="0"/>
    <m/>
    <m/>
    <m/>
    <m/>
    <m/>
    <m/>
    <m/>
    <n v="0"/>
    <m/>
    <m/>
    <m/>
    <m/>
    <m/>
    <m/>
    <m/>
    <m/>
    <m/>
    <m/>
    <m/>
    <m/>
    <n v="0"/>
  </r>
  <r>
    <x v="0"/>
    <x v="1"/>
    <s v="TI/TC"/>
    <s v="DGE"/>
    <s v="Francisco Elson"/>
    <s v="NA"/>
    <s v="-"/>
    <s v="Redes Ópticas da Geradora"/>
    <s v="Construção de Redes Ópticas da Geradora para interligação ao backbone de comunicação"/>
    <s v="Perda de comunicação por falta de alimentação comercial, penalidades previstas em contrato"/>
    <m/>
    <n v="0"/>
    <n v="0"/>
    <n v="0"/>
    <n v="0"/>
    <m/>
    <n v="29.25"/>
    <n v="0"/>
    <n v="0"/>
    <n v="29.25"/>
    <n v="0"/>
    <n v="0"/>
    <n v="0"/>
    <n v="0"/>
    <n v="0"/>
    <n v="0"/>
    <n v="0"/>
    <n v="0"/>
    <n v="0"/>
    <n v="0"/>
    <n v="0"/>
    <n v="16"/>
    <n v="16"/>
  </r>
  <r>
    <x v="0"/>
    <x v="2"/>
    <s v="TI/IO"/>
    <s v="DGT"/>
    <s v="Carlos Araújo"/>
    <s v="TI03218"/>
    <s v="TINV.18.G.045.TB"/>
    <s v="Aquisição tablets MG/SB "/>
    <s v="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
    <s v="-"/>
    <m/>
    <n v="0"/>
    <n v="0"/>
    <n v="58.6"/>
    <n v="0"/>
    <n v="0"/>
    <n v="0"/>
    <n v="0"/>
    <n v="0"/>
    <n v="58.6"/>
    <n v="0"/>
    <n v="0"/>
    <n v="0"/>
    <n v="0"/>
    <n v="0"/>
    <n v="0"/>
    <n v="0"/>
    <n v="0"/>
    <n v="0"/>
    <n v="0"/>
    <n v="0"/>
    <n v="0"/>
    <n v="0"/>
  </r>
  <r>
    <x v="0"/>
    <x v="2"/>
    <s v="TI/IO"/>
    <s v="DGE"/>
    <s v="Carlos Araújo"/>
    <s v="NA"/>
    <s v="-"/>
    <s v="Modernização do Parque Microinformática (CORPORATIVO) G"/>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m/>
    <n v="0"/>
    <n v="0"/>
    <n v="0"/>
    <n v="0"/>
    <n v="0"/>
    <n v="0"/>
    <n v="0"/>
    <n v="0"/>
    <n v="0"/>
    <n v="0"/>
    <n v="0"/>
    <n v="351.9"/>
    <n v="0"/>
    <n v="0"/>
    <n v="0"/>
    <n v="0"/>
    <n v="0"/>
    <n v="0"/>
    <n v="0"/>
    <n v="0"/>
    <n v="0"/>
    <n v="351.9"/>
  </r>
  <r>
    <x v="0"/>
    <x v="3"/>
    <s v="TI/SI"/>
    <s v="DGT"/>
    <s v="Álisson Costa"/>
    <s v="NA"/>
    <s v="-"/>
    <s v="Aquisição de Produtos OSISoft (PI System)"/>
    <m/>
    <m/>
    <m/>
    <n v="0"/>
    <n v="0"/>
    <m/>
    <n v="0"/>
    <n v="0"/>
    <n v="420"/>
    <n v="0"/>
    <n v="0"/>
    <n v="420"/>
    <n v="0"/>
    <n v="0"/>
    <n v="0"/>
    <n v="0"/>
    <n v="0"/>
    <m/>
    <n v="0"/>
    <n v="0"/>
    <n v="0"/>
    <n v="0"/>
    <n v="0"/>
    <n v="0"/>
    <n v="0"/>
  </r>
  <r>
    <x v="0"/>
    <x v="3"/>
    <s v="TI/IO"/>
    <s v="DGT"/>
    <s v="Carlos Araújo"/>
    <s v="TI04918"/>
    <s v="TINV.18.G.045.SE"/>
    <s v="Aquisição Pacote Software Elipse (GLE-INV-PPE-Aq-software-ElipseE3Studio)"/>
    <s v="Descrição: MG/LE: Aquisição de (1) software supervisório Elipse E3 Studio com chave de engenharia._x000a_"/>
    <s v="OBS: Já autorizado na CRCA 085/2016 - Revisão de macro projetos ciclo 2014/2018_x000a_Deficiência no atendimento à situações de falha em sistemas supervisórios de operação de usinas, com interferência negativa na comunicação de dados operativos relacionados à teleassistência de usinas pelo COS-CEMIG, e COR-ONS._x000a_Penalização por parte de orgão regulador."/>
    <m/>
    <n v="0"/>
    <n v="0"/>
    <n v="0"/>
    <n v="32.383310000000002"/>
    <n v="0"/>
    <n v="0"/>
    <n v="0"/>
    <n v="0"/>
    <n v="32.383310000000002"/>
    <n v="0"/>
    <n v="0"/>
    <n v="0"/>
    <n v="0"/>
    <n v="0"/>
    <n v="0"/>
    <n v="0"/>
    <n v="0"/>
    <n v="0"/>
    <n v="0"/>
    <n v="0"/>
    <n v="0"/>
    <n v="0"/>
  </r>
  <r>
    <x v="0"/>
    <x v="3"/>
    <s v="TI/SI"/>
    <s v="DGE"/>
    <s v="Álisson Costa"/>
    <s v="TI05818"/>
    <s v="TINV.18.G.042.SB"/>
    <s v="Aquisição SIGGA Brizzo"/>
    <s v="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
    <s v="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
    <m/>
    <n v="0"/>
    <n v="0"/>
    <n v="0"/>
    <n v="318"/>
    <n v="0"/>
    <n v="0"/>
    <n v="0"/>
    <n v="0"/>
    <n v="318"/>
    <n v="0"/>
    <n v="188"/>
    <n v="0"/>
    <n v="0"/>
    <n v="0"/>
    <n v="0"/>
    <n v="0"/>
    <n v="0"/>
    <n v="0"/>
    <n v="0"/>
    <n v="0"/>
    <n v="0"/>
    <n v="188"/>
  </r>
  <r>
    <x v="0"/>
    <x v="3"/>
    <s v="TI/IO"/>
    <s v="DGT"/>
    <s v="Carlos Araújo"/>
    <s v="NA"/>
    <s v="-"/>
    <s v="Aquisição software de Confiabilidade (RENO, Lambdapredict, DOE e RGA)"/>
    <s v="Software de Confiabilidade"/>
    <s v="Falha no diagnostico e priorização de investimentos em equipamentos da geração, podendo levar a indisponibilidade operativa e consequente perda de receita da geração"/>
    <m/>
    <n v="0"/>
    <n v="0"/>
    <n v="69"/>
    <n v="0"/>
    <n v="0"/>
    <n v="0"/>
    <n v="0"/>
    <n v="0"/>
    <n v="69"/>
    <n v="0"/>
    <n v="44"/>
    <n v="0"/>
    <n v="0"/>
    <n v="0"/>
    <n v="0"/>
    <n v="0"/>
    <n v="0"/>
    <n v="0"/>
    <n v="0"/>
    <n v="0"/>
    <n v="0"/>
    <n v="44"/>
  </r>
  <r>
    <x v="0"/>
    <x v="3"/>
    <s v="TI/IO"/>
    <s v="DGE"/>
    <s v="Carlos Araújo"/>
    <s v="NA"/>
    <s v="-"/>
    <s v="Aquisição/atualização de Servidores x86 "/>
    <s v="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
    <s v="-"/>
    <m/>
    <n v="0"/>
    <n v="0"/>
    <n v="0"/>
    <n v="0"/>
    <n v="0"/>
    <n v="0"/>
    <n v="0"/>
    <n v="0"/>
    <n v="0"/>
    <n v="0"/>
    <n v="0"/>
    <n v="0"/>
    <n v="0"/>
    <n v="0"/>
    <n v="0"/>
    <n v="0"/>
    <n v="0"/>
    <n v="96"/>
    <n v="0"/>
    <n v="0"/>
    <n v="0"/>
    <n v="96"/>
  </r>
  <r>
    <x v="0"/>
    <x v="3"/>
    <s v="TI/SI"/>
    <s v="DGT"/>
    <s v="Álisson Costa"/>
    <s v="NA"/>
    <s v="-"/>
    <s v="Desenvolvimento de software de diagnóstico e planejamento de investimento de Geração"/>
    <m/>
    <m/>
    <m/>
    <n v="0"/>
    <n v="0"/>
    <n v="0"/>
    <n v="0"/>
    <n v="0"/>
    <n v="0"/>
    <n v="0"/>
    <n v="0"/>
    <n v="0"/>
    <n v="0"/>
    <n v="0"/>
    <n v="0"/>
    <n v="0"/>
    <n v="0"/>
    <n v="0"/>
    <n v="0"/>
    <n v="0"/>
    <n v="0"/>
    <n v="0"/>
    <n v="0"/>
    <n v="0"/>
    <n v="0"/>
  </r>
  <r>
    <x v="0"/>
    <x v="3"/>
    <s v="TI/RT"/>
    <s v="DGE"/>
    <s v="Heberte Faria"/>
    <s v="NA"/>
    <s v="-"/>
    <s v="HP SERVICE MANAGER G"/>
    <s v="Renovação das licenças do software HP SERVICE MANAGER."/>
    <s v="-"/>
    <m/>
    <n v="0"/>
    <n v="0"/>
    <n v="0"/>
    <n v="0"/>
    <n v="0"/>
    <n v="0"/>
    <n v="0"/>
    <n v="0"/>
    <n v="0"/>
    <n v="0"/>
    <n v="0"/>
    <n v="0"/>
    <n v="0"/>
    <n v="0"/>
    <n v="0"/>
    <n v="150"/>
    <n v="0"/>
    <n v="0"/>
    <n v="0"/>
    <n v="0"/>
    <n v="0"/>
    <n v="150"/>
  </r>
  <r>
    <x v="0"/>
    <x v="3"/>
    <s v="TI/SI"/>
    <s v="DGT"/>
    <s v="Álisson Costa"/>
    <s v="TI03018"/>
    <s v="TINV.18.G.042.PA"/>
    <s v="Infraestrutura de Comunicação para o Plano de Ações Emergências - PAE em Usinas da Geração Cemig GT"/>
    <s v="Software a ser desenvolvido por empresa de TI e tem como produto um aplicativo para Celular que relacione com os COMPDECs( Defesa Civil dos municípios) e Comunidades do entorno dos empreendimentos( barragens)."/>
    <s v="Além da não conformidade legal, envolve riscos de falha de comunicação para a comunidade e Defesa Civil."/>
    <m/>
    <n v="0"/>
    <n v="0"/>
    <n v="0"/>
    <n v="16"/>
    <n v="16"/>
    <n v="20"/>
    <n v="20"/>
    <n v="43.198999999999998"/>
    <n v="115.199"/>
    <n v="0"/>
    <n v="0"/>
    <n v="0"/>
    <n v="0"/>
    <n v="0"/>
    <n v="0"/>
    <n v="0"/>
    <n v="0"/>
    <n v="0"/>
    <n v="0"/>
    <n v="0"/>
    <n v="0"/>
    <n v="0"/>
  </r>
  <r>
    <x v="0"/>
    <x v="3"/>
    <s v="TI/IO"/>
    <s v="DGT"/>
    <s v="Carlos Araújo"/>
    <s v="TI04818"/>
    <s v="TINV.18.G.045.LH"/>
    <s v="Licença do software Logic Linx Hardkey"/>
    <s v="Aquisição de Licença do Software Logic Linx para a UHE Nova Ponte, visando repor equipamento danificado."/>
    <s v="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
    <m/>
    <n v="0"/>
    <n v="0"/>
    <n v="0"/>
    <n v="0"/>
    <n v="27.390999999999998"/>
    <n v="0"/>
    <n v="0"/>
    <n v="0"/>
    <n v="27.390999999999998"/>
    <n v="0"/>
    <n v="0"/>
    <n v="0"/>
    <n v="0"/>
    <n v="0"/>
    <n v="0"/>
    <n v="0"/>
    <n v="0"/>
    <n v="0"/>
    <n v="0"/>
    <n v="0"/>
    <n v="0"/>
    <n v="0"/>
  </r>
  <r>
    <x v="0"/>
    <x v="3"/>
    <s v="TI/SI"/>
    <s v="DGE"/>
    <s v="Álisson Costa"/>
    <s v="TI00218"/>
    <s v="TINV.18.G.042.OR"/>
    <s v="Licenciamento de Softwares (Oracle) G"/>
    <s v="Renovação do licenciamento Oracle UDD, que foi celebrado em 2012 e vence em 2015, quando necessita ser renovado."/>
    <s v="Falta de suporte e incompatibilidade do produtos com o sistema operacional nos servidores de produção da Cemig."/>
    <m/>
    <n v="119.11103057861328"/>
    <n v="0"/>
    <n v="0"/>
    <n v="0"/>
    <n v="0"/>
    <n v="0"/>
    <n v="0"/>
    <m/>
    <n v="119.11103057861328"/>
    <n v="0"/>
    <n v="125"/>
    <n v="0"/>
    <n v="0"/>
    <n v="0"/>
    <n v="0"/>
    <n v="0"/>
    <n v="0"/>
    <n v="0"/>
    <n v="0"/>
    <n v="0"/>
    <n v="0"/>
    <n v="125"/>
  </r>
  <r>
    <x v="0"/>
    <x v="3"/>
    <s v="TI/SI"/>
    <s v="DGE"/>
    <s v="Álisson Costa"/>
    <s v="NA"/>
    <s v="-"/>
    <s v="Licenciamento HEXAGON G"/>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m/>
    <n v="0"/>
    <n v="0"/>
    <n v="0"/>
    <n v="0"/>
    <n v="0"/>
    <n v="0"/>
    <n v="0"/>
    <n v="0"/>
    <n v="0"/>
    <n v="0"/>
    <n v="0"/>
    <n v="0"/>
    <n v="0"/>
    <n v="0"/>
    <n v="0"/>
    <n v="0"/>
    <n v="0"/>
    <n v="0"/>
    <n v="0"/>
    <n v="0"/>
    <n v="0"/>
    <n v="0"/>
  </r>
  <r>
    <x v="0"/>
    <x v="3"/>
    <s v="TI/IO"/>
    <s v="DGE"/>
    <s v="Marcus Souto"/>
    <s v="NA"/>
    <s v="-"/>
    <s v="Licenciamento Microsoft G"/>
    <s v="Licenciamento Microsoft visando manter atualizada todas as versões de software Microsoft instalados na Empresa de forma a garantir a disponibilidade e a segurança das informações."/>
    <s v="-"/>
    <m/>
    <n v="0"/>
    <n v="0"/>
    <n v="0"/>
    <n v="22"/>
    <n v="0"/>
    <n v="0"/>
    <n v="0"/>
    <n v="0"/>
    <n v="22"/>
    <n v="0"/>
    <n v="0"/>
    <n v="0"/>
    <n v="0"/>
    <n v="0"/>
    <n v="0"/>
    <n v="0"/>
    <n v="22"/>
    <n v="0"/>
    <n v="0"/>
    <n v="0"/>
    <n v="0"/>
    <n v="22"/>
  </r>
  <r>
    <x v="0"/>
    <x v="3"/>
    <s v="TI/SI"/>
    <s v="DGT"/>
    <s v="Álisson Costa"/>
    <s v="NA"/>
    <s v="-"/>
    <s v="Novo SIGO (Escopo reduzido)"/>
    <s v="Upgrade SIGO - Sistema de Informação da Operação"/>
    <s v="Falha grave no software que pode acarretar a perda de controle da operação e histórico de intervenções das unidades geradoras da Cemig"/>
    <m/>
    <n v="0"/>
    <n v="0"/>
    <n v="0"/>
    <n v="0"/>
    <n v="0"/>
    <n v="0"/>
    <n v="0"/>
    <n v="0"/>
    <n v="0"/>
    <n v="0"/>
    <n v="0"/>
    <n v="0"/>
    <n v="0"/>
    <n v="0"/>
    <n v="0"/>
    <n v="0"/>
    <n v="0"/>
    <n v="0"/>
    <n v="0"/>
    <n v="0"/>
    <n v="0"/>
    <n v="0"/>
  </r>
  <r>
    <x v="0"/>
    <x v="3"/>
    <s v="TI/SI"/>
    <s v="DGE"/>
    <s v="Álisson Costa"/>
    <s v="NA"/>
    <s v="-"/>
    <s v="Upgrade do Sistema SMO - Laboratório de Óleos"/>
    <s v="Atualização do sistema de análises físico químicas da Cemig - SMO usado no laboratório de óleos"/>
    <s v="Aumento da obsolescência do sistema "/>
    <m/>
    <n v="0"/>
    <n v="0"/>
    <n v="0"/>
    <n v="0"/>
    <n v="0"/>
    <n v="0"/>
    <n v="0"/>
    <n v="0"/>
    <n v="0"/>
    <n v="0"/>
    <n v="0"/>
    <n v="0"/>
    <n v="0"/>
    <n v="0"/>
    <n v="0"/>
    <n v="0"/>
    <n v="0"/>
    <n v="0"/>
    <n v="0"/>
    <n v="0"/>
    <n v="0"/>
    <n v="0"/>
  </r>
  <r>
    <x v="0"/>
    <x v="3"/>
    <s v="TI/SI"/>
    <s v="DGE"/>
    <s v="Álisson Costa"/>
    <s v="TI02216"/>
    <s v="TINV.16.G.042.IP"/>
    <s v="Upgrade do Software Inspetor"/>
    <s v="Upgrade em software de Sistema de Segurança de Barragens e Manutenção Civil"/>
    <s v="Se o sistema não for atualizado, podemos não ter equipe técnica qualificada para corrigir futuros problemas, devido à arquitetura de software e hardware antiga usada pelo mesmo."/>
    <m/>
    <n v="63.374898910522461"/>
    <n v="100"/>
    <n v="36.625100000000003"/>
    <n v="60"/>
    <n v="60"/>
    <n v="50"/>
    <n v="60"/>
    <n v="60"/>
    <n v="489.99999891052244"/>
    <n v="0"/>
    <n v="0"/>
    <n v="0"/>
    <n v="0"/>
    <n v="0"/>
    <n v="0"/>
    <n v="0"/>
    <n v="0"/>
    <n v="0"/>
    <n v="0"/>
    <n v="0"/>
    <n v="0"/>
    <n v="0"/>
  </r>
  <r>
    <x v="0"/>
    <x v="3"/>
    <s v="TI/IO"/>
    <s v="DGT"/>
    <s v="Carlos Araújo"/>
    <s v="NA"/>
    <s v="-"/>
    <s v="Upgrade/atualização do software Geo-slope 2012"/>
    <s v="Upgrade Software Geo-slope"/>
    <s v="Falha grave no software que pode acarretar a perda de controle do monitoramento da Segurança em Barragens das usinas da Cemig"/>
    <m/>
    <n v="0"/>
    <n v="0"/>
    <n v="0"/>
    <n v="0"/>
    <n v="0"/>
    <n v="0"/>
    <n v="0"/>
    <n v="0"/>
    <n v="0"/>
    <n v="0"/>
    <n v="0"/>
    <n v="0"/>
    <n v="0"/>
    <n v="0"/>
    <n v="0"/>
    <n v="0"/>
    <n v="0"/>
    <n v="0"/>
    <n v="0"/>
    <n v="0"/>
    <n v="0"/>
    <n v="0"/>
  </r>
  <r>
    <x v="0"/>
    <x v="4"/>
    <s v="SC"/>
    <s v="DGE"/>
    <s v="Ormindo Coutinho Filho"/>
    <s v="NA"/>
    <m/>
    <s v="Substituição de Veículos da Diretoria Executiva - Geração"/>
    <s v="Renovação da frota de veículos da Diretoria Executiva - Gera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2.5"/>
    <m/>
    <m/>
    <m/>
    <m/>
    <m/>
    <n v="102.5"/>
  </r>
  <r>
    <x v="0"/>
    <x v="5"/>
    <s v="MG/TR"/>
    <s v="DGT"/>
    <s v="Rangel Araújo F Martins"/>
    <s v="NA"/>
    <m/>
    <s v="Aquisição de 01 Calibrador de Processo FLUKE - MG/OE"/>
    <s v="Aquisição de 01 Calibrador de Processo. Ref.: FLUKE"/>
    <s v="Falhas nos processos de manutenção e operação que necessitam de equipamentos corretamente calibrados/parametrizados para seu funcionamento."/>
    <m/>
    <n v="0"/>
    <m/>
    <m/>
    <m/>
    <m/>
    <m/>
    <m/>
    <m/>
    <n v="0"/>
    <n v="0"/>
    <n v="0"/>
    <n v="0"/>
    <n v="0"/>
    <n v="0"/>
    <n v="0"/>
    <n v="43"/>
    <n v="0"/>
    <n v="0"/>
    <n v="0"/>
    <m/>
    <n v="0"/>
    <n v="43"/>
  </r>
  <r>
    <x v="0"/>
    <x v="5"/>
    <s v="MG/SB"/>
    <s v="DGT"/>
    <s v="Luiz Antonio Maia"/>
    <s v="NA"/>
    <m/>
    <s v="Aquisição de 01 Compressores de Ar "/>
    <s v="1 Compressores de Ar "/>
    <s v="Ausencia de manutenção dos instrumentos de barragem afeta diretamente a segurança das barragens "/>
    <m/>
    <n v="0"/>
    <m/>
    <m/>
    <m/>
    <m/>
    <m/>
    <m/>
    <m/>
    <n v="0"/>
    <m/>
    <m/>
    <m/>
    <m/>
    <m/>
    <n v="1.5"/>
    <m/>
    <m/>
    <m/>
    <m/>
    <m/>
    <m/>
    <n v="1.5"/>
  </r>
  <r>
    <x v="0"/>
    <x v="5"/>
    <s v="MG/SB"/>
    <s v="DGT"/>
    <s v="Luiz Antonio Maia"/>
    <s v="NA"/>
    <m/>
    <s v="Aquisição de 01 Drone + baterias "/>
    <s v="1 Drone + baterias "/>
    <s v="A ausência de inspeção visual afeta diretamente a segurança das barragens "/>
    <m/>
    <n v="0"/>
    <m/>
    <m/>
    <m/>
    <m/>
    <m/>
    <m/>
    <n v="0"/>
    <n v="0"/>
    <m/>
    <m/>
    <m/>
    <m/>
    <m/>
    <n v="10"/>
    <m/>
    <m/>
    <m/>
    <m/>
    <m/>
    <m/>
    <n v="10"/>
  </r>
  <r>
    <x v="0"/>
    <x v="5"/>
    <s v="MG/TR"/>
    <s v="DGT"/>
    <s v="Rangel Araújo F Martins"/>
    <s v="NA"/>
    <m/>
    <s v="Aquisição de 01 Kit para  montagem de rolamento - MG/OE"/>
    <s v="Aquisição de um Kit para  montagem de rolamento. Ref.: SKF"/>
    <s v="Falha nos processos de montagem de equipamentos eletromecânicos das Usinas."/>
    <m/>
    <n v="0"/>
    <m/>
    <m/>
    <m/>
    <m/>
    <m/>
    <m/>
    <m/>
    <n v="0"/>
    <n v="0"/>
    <n v="0"/>
    <n v="0"/>
    <n v="0"/>
    <n v="0"/>
    <n v="0"/>
    <n v="0"/>
    <n v="0"/>
    <n v="0"/>
    <n v="0"/>
    <n v="3.5609999999999999"/>
    <n v="0"/>
    <n v="3.5609999999999999"/>
  </r>
  <r>
    <x v="0"/>
    <x v="5"/>
    <s v="MG/TR"/>
    <s v="DGT"/>
    <s v="Rangel Araújo F Martins"/>
    <s v="NA"/>
    <m/>
    <s v="Aquisição de 02 Notebooks - MG/OE"/>
    <s v="Aquisição de 02 Aparelhos Notebooks - MG/OE"/>
    <s v="Impossibilidade de diagnósticos corretos e de ajustes/parametrização de equipamentos eletromecânicos das Usinas."/>
    <m/>
    <n v="0"/>
    <m/>
    <m/>
    <m/>
    <m/>
    <m/>
    <m/>
    <m/>
    <n v="0"/>
    <n v="0"/>
    <n v="0"/>
    <n v="0"/>
    <n v="0"/>
    <n v="0"/>
    <n v="0"/>
    <n v="0"/>
    <n v="0"/>
    <n v="0"/>
    <n v="0"/>
    <n v="0"/>
    <n v="0"/>
    <n v="0"/>
  </r>
  <r>
    <x v="0"/>
    <x v="5"/>
    <s v="MG/UT"/>
    <s v="DGT"/>
    <s v="Diego Thadeu 31-3535-7617"/>
    <s v="NA"/>
    <m/>
    <s v="Aquisição de 04 Notebooks UTIG"/>
    <s v="Modernização de notebooks já existentes"/>
    <s v="Maior tempo para retorno das unidades geradoras que depende de equipamentos eletronicos que necessitam de notebooks para diagnosticos e manutenção"/>
    <m/>
    <n v="0"/>
    <n v="0"/>
    <n v="0"/>
    <n v="0"/>
    <n v="0"/>
    <m/>
    <n v="0"/>
    <n v="0"/>
    <n v="0"/>
    <n v="0"/>
    <n v="0"/>
    <n v="0"/>
    <n v="0"/>
    <n v="0"/>
    <n v="0"/>
    <n v="0"/>
    <n v="0"/>
    <n v="0"/>
    <n v="10"/>
    <n v="0"/>
    <n v="0"/>
    <n v="10"/>
  </r>
  <r>
    <x v="0"/>
    <x v="5"/>
    <s v="MG/TR"/>
    <s v="DGT"/>
    <s v="Rangel Araújo F Martins"/>
    <s v="NA"/>
    <m/>
    <s v="Aquisição de espião rede elétrica COS/SEs"/>
    <s v="Aquisição de espião rede elétrica COS/SEs"/>
    <s v="Impossibilidade de diagnósticos corretos e de ajustes/parametrização das Usinas."/>
    <m/>
    <n v="0"/>
    <m/>
    <m/>
    <m/>
    <m/>
    <m/>
    <m/>
    <m/>
    <n v="0"/>
    <m/>
    <m/>
    <m/>
    <m/>
    <m/>
    <m/>
    <m/>
    <m/>
    <n v="46"/>
    <m/>
    <m/>
    <m/>
    <n v="46"/>
  </r>
  <r>
    <x v="0"/>
    <x v="5"/>
    <s v="MG/TR"/>
    <s v="DGT"/>
    <s v="Marcos Augusto - 34-3088-4901"/>
    <s v="NA"/>
    <m/>
    <s v="Aquisição de ferramentas e equipamentos "/>
    <s v="Aquisição de ferramentas e equipamentos para atendimento a manutenção das usinas da MG/TA."/>
    <s v="Indisponibilidade de unidades geradoras devido a não termos ferramentas e equipamentos adequados para testes e reparo. Ademais podem ocorrer falhas provenientes de intervenções realizadas de forma equivocada devido a ferramentas e equipamentos com defeito ou desajustado."/>
    <m/>
    <n v="0"/>
    <m/>
    <m/>
    <m/>
    <m/>
    <m/>
    <m/>
    <m/>
    <n v="0"/>
    <m/>
    <m/>
    <m/>
    <m/>
    <m/>
    <m/>
    <m/>
    <m/>
    <m/>
    <m/>
    <m/>
    <m/>
    <n v="0"/>
  </r>
  <r>
    <x v="0"/>
    <x v="5"/>
    <s v="MG/SB"/>
    <s v="DGT"/>
    <s v="Pedro Alberto"/>
    <s v="MG00318"/>
    <s v="INGC/18/FERR/MGCT"/>
    <s v="Ferramentas Cemig GT MG 2018"/>
    <s v="Sistema Inspetor - Manutenção rotineira e evoluções periódicas - Implantação de inspeção informatizada utilizando PDAs associados a GPS - MG/SB_x000a_Aquisição de 01 Deareador - MG/SB_x000a_Aquisição de 01 bússola - MG/SB_x000a_Aquisição de 01 Drone - MG/SB"/>
    <m/>
    <m/>
    <n v="0"/>
    <n v="3.7"/>
    <n v="6.59"/>
    <m/>
    <m/>
    <n v="67"/>
    <m/>
    <n v="93.710000000000008"/>
    <n v="171"/>
    <m/>
    <m/>
    <m/>
    <m/>
    <m/>
    <m/>
    <m/>
    <m/>
    <m/>
    <m/>
    <m/>
    <m/>
    <n v="0"/>
  </r>
  <r>
    <x v="0"/>
    <x v="5"/>
    <s v="PO/MG"/>
    <s v="DGT"/>
    <s v="Jeferson"/>
    <s v="PO00118"/>
    <s v="INGT/18/FER/POMG"/>
    <s v="Ferramentas diversas para PO/MG"/>
    <s v="Aquisição de Acelerômetros contendo base magnéticas e cabos - PO/MG_x000a_Aquisição de Sensores de proximidade - PO/MG_x000a_PO00118Aquisição de Sensores de pressão - PO/MG_x000a_Aquisição de Fieldlogger_x000a_Aquisição de transdutores de deslocamento_x000a_Aquisição de transdutores lineares_x000a_Bomba Pressão 0/700 Bar - PO/MG"/>
    <m/>
    <m/>
    <n v="9.8500003814697266"/>
    <m/>
    <m/>
    <m/>
    <n v="58.121960000000001"/>
    <m/>
    <n v="100.2"/>
    <n v="100.82803961852998"/>
    <n v="268.99999999999972"/>
    <m/>
    <m/>
    <m/>
    <m/>
    <m/>
    <m/>
    <m/>
    <m/>
    <m/>
    <m/>
    <m/>
    <m/>
    <n v="0"/>
  </r>
  <r>
    <x v="0"/>
    <x v="5"/>
    <s v="PO/MG"/>
    <s v="DGT"/>
    <s v="Marcos Augusto - 34-3088-4901"/>
    <s v="NA"/>
    <m/>
    <s v="Ferramentas Geração 2019 - 2022"/>
    <s v="Ferramentas Geração "/>
    <s v="Falha no processo de execução da manutenção por falta de dispositivos e ferramentas, podendo levar a indisponibilidade operativa e consequente perda de receita da geração"/>
    <m/>
    <n v="0"/>
    <m/>
    <m/>
    <m/>
    <m/>
    <m/>
    <m/>
    <m/>
    <n v="0"/>
    <m/>
    <m/>
    <m/>
    <m/>
    <m/>
    <n v="30"/>
    <m/>
    <m/>
    <m/>
    <m/>
    <m/>
    <m/>
    <n v="30"/>
  </r>
  <r>
    <x v="0"/>
    <x v="5"/>
    <s v="MG/LE"/>
    <s v="DGT"/>
    <s v="Leonardo Victoretti  _x000a_SIT-944 351"/>
    <s v="NA"/>
    <m/>
    <s v="GLE-INV-PPE Aquisição de equipamento Analisador disjuntor_x000a_SAP-IW33-CPDE-1600001865"/>
    <s v="Descrição: MG/LE: Aquisição de (1) Analisador de Disjuntor Portátil. Teste de resistência estática de contato. Testes de sincronismo. Análise de corrente da bobina e motor._x000a_Teste de mínima corrente de pick-up. Teste da condição de baixa tensão._x000a_Referência: CIBANO 500._x000a_PME 500-TR. EHV  KC-6A. Megger Trax. BCM MSD02."/>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35"/>
    <n v="0"/>
    <n v="0"/>
    <n v="0"/>
    <n v="35"/>
  </r>
  <r>
    <x v="0"/>
    <x v="5"/>
    <s v="MG/LE"/>
    <s v="DGT"/>
    <s v="Leonardo Victoretti  _x000a_SIT-944 351"/>
    <s v="NA"/>
    <m/>
    <s v="GLE-INV-PPE- Aquisição de equipamento bomba manual"/>
    <s v="Descrição: MG/LE: Aquisição de (1) Conjunto bomba manual, acionamento macaco hidraulico._x000a_Referência: Guimmy modelo  GP80C"/>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2000000000000002"/>
    <n v="0"/>
    <n v="0"/>
    <n v="0"/>
    <n v="2.2000000000000002"/>
  </r>
  <r>
    <x v="0"/>
    <x v="5"/>
    <s v="MG/LE"/>
    <s v="DGT"/>
    <s v="Leonardo Victoretti  _x000a_SIT-944 351"/>
    <s v="NA"/>
    <m/>
    <s v="GLE-INV-PPE- Aquisição de equipamento Clorímetro Digital Portátil "/>
    <s v="Descrição: MG/LE: Aquisição de (1) Clorímetro digital portátil._x000a_Referência: Instrutherm Instrumentos de Medição Ltda - Modelo C-300"/>
    <s v="OBS: Já autorizado na CRCA 085/2016 - Revisão de macro projetos ciclo 2014/2018_x000a_Descumprimento de requisito legal._x000a_Autuação e multa por parte de ógão fiscalizador governamental._x000a_"/>
    <m/>
    <n v="0"/>
    <n v="0"/>
    <n v="0"/>
    <n v="0"/>
    <n v="0"/>
    <n v="0"/>
    <n v="0"/>
    <m/>
    <n v="0"/>
    <n v="0"/>
    <n v="0"/>
    <n v="0"/>
    <n v="0"/>
    <n v="0"/>
    <n v="0"/>
    <n v="0"/>
    <n v="0"/>
    <n v="2.7"/>
    <n v="0"/>
    <n v="0"/>
    <n v="0"/>
    <n v="2.7"/>
  </r>
  <r>
    <x v="0"/>
    <x v="5"/>
    <s v="MG/LE"/>
    <s v="DGT"/>
    <s v="Leonardo Victoretti  _x000a_SIT-944 351"/>
    <s v="NA"/>
    <m/>
    <s v="GLE-INV-PPE- Aquisição de equipamento endoscópio sonda 3m "/>
    <s v="Descrição: MG/LE: Aquisição de (1) equipamento endoscópio sonda 3m"/>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m/>
    <m/>
    <m/>
    <m/>
    <m/>
    <m/>
    <m/>
    <n v="0"/>
    <m/>
    <m/>
    <m/>
    <m/>
    <m/>
    <m/>
    <n v="50"/>
    <m/>
    <m/>
    <m/>
    <m/>
    <m/>
    <n v="50"/>
  </r>
  <r>
    <x v="0"/>
    <x v="5"/>
    <s v="MG/LE"/>
    <s v="DGT"/>
    <s v="Leonardo Victoretti  _x000a_SIT-944 351"/>
    <s v="NA"/>
    <m/>
    <s v="GLE-INV-PPE- Aquisição de equipamento macaco hidraúlico 10T"/>
    <s v="Descrição: MG/LE: Aquisição de (2) Macacos Hidráulicos, simples ação, 10 ton. _x000a_Referência: Guimmy modelo GRC 102."/>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4"/>
    <n v="0"/>
    <n v="0"/>
    <n v="0"/>
    <n v="2.4"/>
  </r>
  <r>
    <x v="0"/>
    <x v="5"/>
    <s v="MG/LE"/>
    <s v="DGT"/>
    <s v="Leonardo Victoretti  _x000a_SIT-944 351"/>
    <s v="NA"/>
    <m/>
    <s v="GLE-INV-PPE- Aquisição de equipamento macaco hidraúlico 20T"/>
    <s v="Descrição: MG/LE: Aquisição de (2) Macacos hidráulicos de simples ação, vazado, 20 TON. _x000a_Referência: Guimmy modelo GRCH 202."/>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3.2"/>
    <n v="0"/>
    <n v="0"/>
    <n v="0"/>
    <n v="3.2"/>
  </r>
  <r>
    <x v="0"/>
    <x v="5"/>
    <s v="MG/LE"/>
    <s v="DGT"/>
    <s v="Leonardo Victoretti  _x000a_SIT-944 351"/>
    <s v="NA"/>
    <m/>
    <s v="GLE-INV-PPE- Aquisição de equipamento macaco hidraúlico 25T"/>
    <s v="Descrição: MG/LE: Aquisição de (2) Macacos Hidraulicos, simples ação, 25 ton._x000a_Referência: Guimmy modelo GRC 251"/>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4.4000000000000004"/>
    <n v="0"/>
    <n v="0"/>
    <n v="0"/>
    <n v="4.4000000000000004"/>
  </r>
  <r>
    <x v="0"/>
    <x v="5"/>
    <s v="MG/LE"/>
    <s v="DGT"/>
    <s v="Leonardo Victoretti  _x000a_SIT-944 351"/>
    <s v="NA"/>
    <m/>
    <s v="GLE-INV-PPE Aquisição de equipamento medidor relação transformador_x000a_SAP-IW33-CPDE-1600001866"/>
    <s v="Descrição: MG/LE: Aquisição de (1) Medidor de relação de transformação Trifásico_x000a_Referência: AEMC. Megger TTR 330."/>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20"/>
    <n v="0"/>
    <n v="0"/>
    <n v="0"/>
    <n v="0"/>
    <n v="0"/>
    <n v="20"/>
  </r>
  <r>
    <x v="0"/>
    <x v="5"/>
    <s v="MG/LE"/>
    <s v="DGT"/>
    <s v="Leonardo Victoretti  _x000a_SIT-944 351"/>
    <s v="NA"/>
    <m/>
    <s v="GLE-INV-PPE- Aquisição de equipamento medidor resistência ohmica_x000a_SAP-IW33-CPDE-1600001867"/>
    <s v="Descrição: MG/LE: Aquisição de (1) Medidor de resistencia ohmica _x000a_Referência: Criem IRO 103"/>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25"/>
    <n v="0"/>
    <n v="0"/>
    <n v="0"/>
    <n v="0"/>
    <n v="0"/>
    <n v="25"/>
  </r>
  <r>
    <x v="0"/>
    <x v="5"/>
    <s v="MG/LE"/>
    <s v="DGT"/>
    <s v="Leonardo Victoretti  _x000a_SIT-944 351"/>
    <s v="NA"/>
    <m/>
    <s v="GLE-INV-PPE- Aquisição de equipamento talha corrente 3T"/>
    <s v="Descrição: MG/LE: Aquisição de (2) Talhas de Corrente, 3 Ton, 5m de elevação._x000a_Refêrencia: Berg Steel"/>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8"/>
    <n v="0"/>
    <n v="0"/>
    <n v="0"/>
    <n v="2.8"/>
  </r>
  <r>
    <x v="0"/>
    <x v="5"/>
    <s v="MG/LE"/>
    <s v="DGT"/>
    <s v="Leonardo Victoretti  _x000a_SIT-944 351"/>
    <s v="NA"/>
    <m/>
    <s v="GLE-INV-PPE-Aq-Epq-micrometro-int-tubular"/>
    <s v="Descrição: MG/LE: Aquisição de (1)  Micrômetro Interno Tubular, 50 a 1000 mm 137-204._x000a_Referência: Mitutoyo"/>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3.1"/>
    <n v="0"/>
    <n v="0"/>
    <n v="0"/>
    <n v="3.1"/>
  </r>
  <r>
    <x v="0"/>
    <x v="5"/>
    <s v="MG/LE"/>
    <s v="DGT"/>
    <s v="Leonardo Victoretti  _x000a_SIT-944 351"/>
    <s v="NA"/>
    <m/>
    <s v="GLE-INV-PPE-Aq-Eqp-analisador-isolação_x000a_SAP-IW33-CPDE-1600001869"/>
    <s v="Descrição: MG/LE: Aquisição de (2) analisador de Isolação TeraOhm 5 kV, com grau  proteção contra interferência eletomagnética._x000a_Referência: Metrel"/>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_x000a_"/>
    <m/>
    <n v="0"/>
    <n v="0"/>
    <n v="0"/>
    <n v="0"/>
    <n v="0"/>
    <n v="0"/>
    <n v="0"/>
    <m/>
    <n v="0"/>
    <n v="0"/>
    <n v="0"/>
    <n v="0"/>
    <n v="0"/>
    <n v="0"/>
    <n v="0"/>
    <n v="50"/>
    <n v="0"/>
    <n v="0"/>
    <n v="0"/>
    <n v="0"/>
    <n v="0"/>
    <n v="50"/>
  </r>
  <r>
    <x v="0"/>
    <x v="5"/>
    <s v="MG/LE"/>
    <s v="DGT"/>
    <s v="Leonardo Victoretti  _x000a_SIT-944 351"/>
    <s v="NA"/>
    <m/>
    <s v="GLE-INV-PPE-Aq-Eqp-analis-enrolamentos"/>
    <s v="Descrição: MG/LE: Aquisição de (1) analisador de enrolamentos - Surge Test_x000a_Referência: Baker"/>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50"/>
    <n v="50"/>
  </r>
  <r>
    <x v="0"/>
    <x v="5"/>
    <s v="MG/LE"/>
    <s v="DGT"/>
    <s v="Leonardo Victoretti  _x000a_SIT-944 351"/>
    <s v="NA"/>
    <m/>
    <s v="GLE-INV-PPE-Aq-Eqp-Aquis-dado-multicanal"/>
    <s v="Descrição: MG/LE: Aquisição de (1) Aquisitor de dados multicanal para análise de parâmetros dinâmicos de unidades geradoras._x000a_Referência: Lin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calibr/gerador-sinais"/>
    <s v="Descrição: MG/LE: Aquisição de (1) Calibrador / Gerador de Sinais._x000a_Referência: Presys modelo Isocal mcs-xv"/>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macaco-mecân-30T"/>
    <s v="Descrição: MG/LE: Aquisição de (2)  Macacos Mêcanicos de 30 Toneladas_x000a_Referência: Guimmy Codigo GJJ3020 JOURNAL JACK._x000a_"/>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12.2"/>
    <n v="0"/>
    <n v="0"/>
    <n v="0"/>
    <n v="12.2"/>
  </r>
  <r>
    <x v="0"/>
    <x v="5"/>
    <s v="MG/LE"/>
    <s v="DGT"/>
    <s v="Leonardo Victoretti  _x000a_SIT-944 351"/>
    <s v="NA"/>
    <m/>
    <s v="GLE-INV-PPE-Aq-Eqp-multímetro-profission"/>
    <s v="Descrição: MG/LE: Aquisição de (5) Multímetros profissionais._x000a_Referência: Fluke"/>
    <s v="Deficiência no atendimento à demandas de execução de manutenção dos ativos da geração. _x000a_"/>
    <m/>
    <n v="0"/>
    <n v="0"/>
    <n v="0"/>
    <n v="0"/>
    <n v="0"/>
    <n v="0"/>
    <n v="0"/>
    <n v="0"/>
    <n v="0"/>
    <n v="0"/>
    <n v="0"/>
    <n v="0"/>
    <n v="0"/>
    <n v="0"/>
    <n v="0"/>
    <n v="0"/>
    <n v="0"/>
    <n v="0"/>
    <n v="0"/>
    <n v="0"/>
    <n v="0"/>
    <n v="0"/>
  </r>
  <r>
    <x v="0"/>
    <x v="5"/>
    <s v="MG/LE"/>
    <s v="DGT"/>
    <s v="Leonardo Victoretti  _x000a_SIT-944 351"/>
    <s v="NA"/>
    <m/>
    <s v="GLE-INV-PPE-Aq-Eqp-osciloscópio-portátil"/>
    <s v="Descrição: MG/LE: Aquisição de (1) Osciloscópio Portátil, 04 canais, isolados._x000a_Referência: Tektroni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termovisor-portátil"/>
    <s v="Descrição: MG/LE: Aquisição de (1) Termovisor portátil_x000a_Referência: Flir"/>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CS"/>
    <s v="DGT"/>
    <s v="Mateus Trevisani"/>
    <s v="NA"/>
    <m/>
    <s v="Instrumentação Elétrica - Osciloscópio"/>
    <s v="Osciloscópio Digital Minipa 60MHz, DC,AC"/>
    <s v="Falhas em equipamentos, manutenção corretiva e descontinuidade de geração."/>
    <m/>
    <n v="0"/>
    <m/>
    <m/>
    <m/>
    <m/>
    <m/>
    <m/>
    <m/>
    <n v="0"/>
    <m/>
    <m/>
    <m/>
    <m/>
    <m/>
    <m/>
    <n v="5.8559999999999999"/>
    <m/>
    <m/>
    <m/>
    <m/>
    <m/>
    <n v="5.8559999999999999"/>
  </r>
  <r>
    <x v="0"/>
    <x v="5"/>
    <s v="MG/CS"/>
    <s v="DGT"/>
    <s v="Mateus Trevisani"/>
    <s v="NA"/>
    <m/>
    <s v="Instrumentação Elétrica - Termômetro"/>
    <s v="Termômetro de Infra Vermelho Visual"/>
    <s v="Falhas em equipamentos, manutenção corretiva e descontinuidade de geração."/>
    <m/>
    <n v="0"/>
    <m/>
    <m/>
    <m/>
    <m/>
    <m/>
    <m/>
    <m/>
    <n v="0"/>
    <m/>
    <m/>
    <m/>
    <m/>
    <m/>
    <m/>
    <n v="1.59"/>
    <m/>
    <m/>
    <m/>
    <m/>
    <m/>
    <n v="1.59"/>
  </r>
  <r>
    <x v="0"/>
    <x v="5"/>
    <s v="MG/TR"/>
    <s v="DGT"/>
    <s v="Marcos Augusto - 34-3088-4901"/>
    <s v="NA"/>
    <m/>
    <s v="Substituição de equipamentos da oficina - adequação NR-12"/>
    <s v="Adequação NR-12 - Equipamentos"/>
    <s v="Penalização perante o Ministério do Trabalho"/>
    <m/>
    <n v="0"/>
    <m/>
    <m/>
    <m/>
    <m/>
    <m/>
    <m/>
    <m/>
    <n v="0"/>
    <m/>
    <m/>
    <m/>
    <m/>
    <m/>
    <m/>
    <n v="30"/>
    <m/>
    <m/>
    <m/>
    <m/>
    <m/>
    <n v="30"/>
  </r>
  <r>
    <x v="0"/>
    <x v="5"/>
    <s v="PO/MG"/>
    <s v="DGT"/>
    <s v="Jeferson"/>
    <s v="NA"/>
    <m/>
    <s v="Usinas - Aquisição de Coletor analisador portátil de dados de vibração para a PO/MG"/>
    <s v="Coletor e analisador de dados portatil"/>
    <s v="Falha no diagnostico de equipamentos podendo levar a indisponibilidade operativa e consequente perda de receita da geração"/>
    <m/>
    <n v="0"/>
    <m/>
    <m/>
    <m/>
    <m/>
    <m/>
    <m/>
    <m/>
    <n v="0"/>
    <m/>
    <m/>
    <m/>
    <m/>
    <m/>
    <m/>
    <m/>
    <m/>
    <m/>
    <m/>
    <m/>
    <m/>
    <n v="0"/>
  </r>
  <r>
    <x v="0"/>
    <x v="5"/>
    <s v="PO/MG"/>
    <s v="DGT"/>
    <s v="Jeferson"/>
    <s v="PO00117"/>
    <s v="INGT/17/781/POMG/FERR"/>
    <s v="Usinas - Aquisição de Instrumentação para análise preditiva nas usinas do grupo CEMIG, composta por sensores de proximidade, sensor de pressão, acelerômetros, base magnética e cabos, conforme conjuntos ou kits específicos que serão cadastrados na MS."/>
    <s v="Kit de diagnostico de analise preditiva"/>
    <s v="Falha no diagnostico de equipamentos podendo levar a indisponibilidade operativa e consequente perda de receita da geração"/>
    <m/>
    <n v="0"/>
    <m/>
    <m/>
    <m/>
    <m/>
    <n v="78"/>
    <m/>
    <m/>
    <n v="78"/>
    <m/>
    <m/>
    <m/>
    <m/>
    <m/>
    <m/>
    <m/>
    <m/>
    <m/>
    <m/>
    <m/>
    <m/>
    <n v="0"/>
  </r>
  <r>
    <x v="0"/>
    <x v="5"/>
    <s v="PO/MG"/>
    <s v="DGT"/>
    <s v="Jeferson"/>
    <s v="NA"/>
    <m/>
    <s v="Usinas - Aquisição de Sensor de rotação"/>
    <s v="Sensor de rotação"/>
    <s v="Falha no diagnostico de equipamentos podendo levar a indisponibilidade operativa e consequente perda de receita da geração"/>
    <m/>
    <n v="0"/>
    <m/>
    <m/>
    <m/>
    <m/>
    <m/>
    <m/>
    <m/>
    <n v="0"/>
    <m/>
    <m/>
    <m/>
    <m/>
    <m/>
    <m/>
    <m/>
    <m/>
    <m/>
    <n v="25"/>
    <m/>
    <m/>
    <n v="25"/>
  </r>
  <r>
    <x v="0"/>
    <x v="5"/>
    <s v="PO/MG"/>
    <s v="DGT"/>
    <s v="Jeferson"/>
    <s v="NA"/>
    <m/>
    <s v="Usinas - Aquisição de Transdutor de deslocamento diferencial variável linear (LVDT's de comprimentos diversos)"/>
    <s v="LVDT"/>
    <s v="Falha no diagnostico de equipamentos podendo levar a indisponibilidade operativa e consequente perda de receita da geração"/>
    <m/>
    <n v="0"/>
    <m/>
    <m/>
    <m/>
    <m/>
    <m/>
    <m/>
    <m/>
    <n v="0"/>
    <m/>
    <m/>
    <m/>
    <m/>
    <m/>
    <m/>
    <m/>
    <m/>
    <m/>
    <n v="16"/>
    <m/>
    <m/>
    <n v="16"/>
  </r>
  <r>
    <x v="0"/>
    <x v="5"/>
    <s v="PO/MG"/>
    <s v="DGT"/>
    <s v="Jeferson"/>
    <s v="NA"/>
    <m/>
    <s v="Usinas - Aquisitor de dados multicanal para análise de parâmetros dinâmicos de unidades geradoras"/>
    <s v="Aquisitor de dados multicanal"/>
    <s v="Falha no diagnostico de equipamentos podendo levar a indisponibilidade operativa e consequente perda de receita da geração"/>
    <m/>
    <n v="0"/>
    <m/>
    <m/>
    <m/>
    <m/>
    <m/>
    <m/>
    <m/>
    <n v="0"/>
    <m/>
    <m/>
    <m/>
    <m/>
    <m/>
    <m/>
    <m/>
    <m/>
    <m/>
    <m/>
    <m/>
    <m/>
    <n v="0"/>
  </r>
  <r>
    <x v="1"/>
    <x v="6"/>
    <s v="MT/LE MT/SE"/>
    <s v="DGT"/>
    <s v="Joel Máximo Reis"/>
    <s v="NA"/>
    <m/>
    <s v="Aquisição de 2 lavadoras"/>
    <s v="Aquisição de uma lavadora de alta pressão e uma jateadora"/>
    <s v="Aumento com despesas com água._x000a_Acúmulo de óleo no chão, apresentando risco de queda de pessoas."/>
    <m/>
    <n v="0"/>
    <m/>
    <m/>
    <m/>
    <m/>
    <m/>
    <m/>
    <m/>
    <n v="0"/>
    <m/>
    <m/>
    <m/>
    <m/>
    <m/>
    <m/>
    <m/>
    <m/>
    <m/>
    <m/>
    <m/>
    <m/>
    <n v="0"/>
  </r>
  <r>
    <x v="1"/>
    <x v="6"/>
    <s v="MT/CN MT/LE"/>
    <s v="DGT"/>
    <s v="Joel Máximo Reis"/>
    <s v="NA"/>
    <m/>
    <s v="Aquisição de 4 Bebedouro industrial T"/>
    <s v="Aquisição de 4 Bebedouro industrial inox reservatório 50 litros"/>
    <s v="Não atender as normas de saúde e segurança._x000a_Indisponibilidade de água filtrada e refrigerada para equipes de manutenção de campo. Necessidade de comprar grande volume de água mineral refrigerada para equipes durante serviços em campo."/>
    <m/>
    <n v="0"/>
    <m/>
    <m/>
    <m/>
    <m/>
    <m/>
    <m/>
    <m/>
    <n v="0"/>
    <m/>
    <m/>
    <m/>
    <m/>
    <m/>
    <m/>
    <m/>
    <m/>
    <m/>
    <m/>
    <m/>
    <m/>
    <n v="0"/>
  </r>
  <r>
    <x v="1"/>
    <x v="6"/>
    <s v="MT/CN MT/SE MT/LE MT/TA"/>
    <s v="DGT"/>
    <s v="Joel Máximo Reis"/>
    <s v="NA"/>
    <m/>
    <s v="Aquisição de 5 projetores multimídia"/>
    <s v="Aquisição de 5 projetores multimídia"/>
    <s v="Deficiência nos treinamentos da equipe e de terceiros_x000a_Demora na realização de reuniões que necessitam de projeção de imagem  e também dificuldade na apresentação do processo de primeiro acesso para atendimento ao sistema de gestão._x000a_Manobras indevidas e falha na identificação dos alremes e eventos gerados pelo SSCD."/>
    <m/>
    <n v="0"/>
    <m/>
    <m/>
    <m/>
    <m/>
    <m/>
    <m/>
    <m/>
    <n v="0"/>
    <m/>
    <m/>
    <m/>
    <m/>
    <m/>
    <m/>
    <m/>
    <m/>
    <m/>
    <m/>
    <m/>
    <m/>
    <n v="0"/>
  </r>
  <r>
    <x v="1"/>
    <x v="6"/>
    <s v="MT/CN MT/SE"/>
    <s v="DGT"/>
    <s v="Joel Máximo Reis"/>
    <s v="NA"/>
    <m/>
    <s v="Aquisição de 5 TV LED"/>
    <s v="Aquisição de 5 TV LED 40' com entrada HDMI"/>
    <s v="Precarização da segurança da instalação, dificuldade de ministrar treinamentos, não conformidade em auditorias do SIG devido à qualidade/entendimento dos treinamentos e apresentações para visitantes."/>
    <m/>
    <n v="0"/>
    <m/>
    <m/>
    <m/>
    <m/>
    <m/>
    <m/>
    <m/>
    <n v="0"/>
    <m/>
    <m/>
    <m/>
    <m/>
    <m/>
    <m/>
    <m/>
    <m/>
    <m/>
    <m/>
    <m/>
    <m/>
    <n v="0"/>
  </r>
  <r>
    <x v="1"/>
    <x v="6"/>
    <s v="SC"/>
    <s v="DGE"/>
    <s v="Rogério Elias"/>
    <s v="NA"/>
    <m/>
    <s v="Aquisição de mobiliário para atendimento cliente interno T"/>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n v="13"/>
    <m/>
    <n v="13"/>
  </r>
  <r>
    <x v="1"/>
    <x v="6"/>
    <s v="MT/TA MT/SE"/>
    <s v="DGT"/>
    <s v="Joel Máximo Reis"/>
    <s v="NA"/>
    <m/>
    <s v="Aquisição e instalação de Sistema de vigilância"/>
    <s v="Aquisição de sistema de monitormamento por câmeras, video porteiro com vigilancia eletronica, sistema de intrusão e sensores"/>
    <s v="Furtos, roubos, perdas materiais e risco à integridade das pessoas da instalação"/>
    <m/>
    <n v="0"/>
    <m/>
    <m/>
    <m/>
    <m/>
    <m/>
    <m/>
    <m/>
    <n v="0"/>
    <m/>
    <m/>
    <n v="18"/>
    <m/>
    <m/>
    <m/>
    <m/>
    <m/>
    <m/>
    <m/>
    <m/>
    <m/>
    <n v="18"/>
  </r>
  <r>
    <x v="1"/>
    <x v="6"/>
    <s v="SC"/>
    <s v="DGE"/>
    <s v="Flávio Henrique Silva Rosário"/>
    <s v="NA"/>
    <m/>
    <s v="AR - Construção de muro de arrimo, passeio e sistema de drenagem"/>
    <s v="Contratação de projetos executivos e construção de muro de arrimo, sistema de drenagem e passeio externo no estacionamento adjascente ao P21 no AR"/>
    <s v="Tombamento do muro de toras de madeira, podendo ocasionar danos materiais e acidentes de trabalho."/>
    <m/>
    <n v="0"/>
    <m/>
    <m/>
    <m/>
    <m/>
    <m/>
    <m/>
    <m/>
    <n v="0"/>
    <m/>
    <m/>
    <m/>
    <m/>
    <m/>
    <m/>
    <m/>
    <m/>
    <m/>
    <m/>
    <m/>
    <m/>
    <n v="0"/>
  </r>
  <r>
    <x v="1"/>
    <x v="6"/>
    <s v="SC"/>
    <s v="DGE"/>
    <s v="Flávio Henrique Silva Rosário"/>
    <s v="NA"/>
    <m/>
    <s v="AR - P21 - Execução de 2 Muros de Arrimo"/>
    <s v="Obra de estabilização de 02 taludes ao lado das escadas entre o prédio 20 e 21 do Anel Rodoviário"/>
    <s v="Tombamento do muro; acidente com empregados e terceiros; danificar ativos da Cemig; deslizamento de solo"/>
    <m/>
    <n v="0"/>
    <m/>
    <m/>
    <m/>
    <m/>
    <m/>
    <m/>
    <m/>
    <n v="0"/>
    <m/>
    <m/>
    <m/>
    <m/>
    <m/>
    <m/>
    <m/>
    <m/>
    <m/>
    <m/>
    <m/>
    <m/>
    <n v="0"/>
  </r>
  <r>
    <x v="1"/>
    <x v="6"/>
    <s v="MT/TA"/>
    <s v="DGT"/>
    <s v="Joel Máximo Reis"/>
    <s v="NA"/>
    <m/>
    <s v="Construção de 2 abrigos para resíduos perigosos e inflamáveis"/>
    <s v="Construção de 2 abrigos para resíduos perigosos e inflamáveis na SE Emborcação"/>
    <s v="Perda do AVCB, multas ambientais, contaminação de solo"/>
    <m/>
    <n v="0"/>
    <m/>
    <m/>
    <m/>
    <m/>
    <m/>
    <m/>
    <m/>
    <n v="0"/>
    <m/>
    <m/>
    <m/>
    <m/>
    <m/>
    <m/>
    <n v="60"/>
    <m/>
    <m/>
    <m/>
    <m/>
    <m/>
    <n v="60"/>
  </r>
  <r>
    <x v="1"/>
    <x v="6"/>
    <s v="MT/LE"/>
    <s v="DGT"/>
    <s v="Joel Máximo Reis"/>
    <s v="NA"/>
    <m/>
    <s v="Construção de 2 muros"/>
    <s v="Construção de 2 muros: SE Mesquita e Taquaril"/>
    <s v="Risco de acidentes com a população, vandalismo, invasões e roubos na instalação"/>
    <m/>
    <n v="0"/>
    <m/>
    <m/>
    <m/>
    <m/>
    <m/>
    <m/>
    <m/>
    <n v="0"/>
    <m/>
    <m/>
    <n v="268.53983000000017"/>
    <m/>
    <m/>
    <m/>
    <m/>
    <m/>
    <m/>
    <m/>
    <m/>
    <m/>
    <n v="268.53983000000017"/>
  </r>
  <r>
    <x v="1"/>
    <x v="6"/>
    <s v="MT/TA"/>
    <s v="DGT"/>
    <s v="Joel Máximo Reis"/>
    <s v="NA"/>
    <m/>
    <s v="Construção de ferramentaria"/>
    <s v="Construção de ferramentaria para EMLT Ituiutaba"/>
    <s v="Danos ao ferramental da equipe devido ao mal acondicionamento e riscos de lesões devido à posturas inadequadas"/>
    <m/>
    <n v="0"/>
    <m/>
    <m/>
    <m/>
    <m/>
    <m/>
    <m/>
    <m/>
    <n v="0"/>
    <m/>
    <m/>
    <m/>
    <m/>
    <m/>
    <m/>
    <m/>
    <m/>
    <m/>
    <m/>
    <m/>
    <m/>
    <n v="0"/>
  </r>
  <r>
    <x v="1"/>
    <x v="6"/>
    <s v="MT/TA"/>
    <s v="DGT"/>
    <s v="Joel Máximo Reis"/>
    <s v="NA"/>
    <m/>
    <s v="Perfuração de um novo Poço artesiano"/>
    <s v="Perfuração de um novo Poço artesiano"/>
    <s v="Faltar água na SE São Gotardo 2."/>
    <m/>
    <n v="0"/>
    <m/>
    <m/>
    <m/>
    <m/>
    <m/>
    <m/>
    <m/>
    <n v="0"/>
    <m/>
    <m/>
    <n v="70"/>
    <m/>
    <m/>
    <m/>
    <m/>
    <m/>
    <m/>
    <m/>
    <m/>
    <m/>
    <n v="70"/>
  </r>
  <r>
    <x v="1"/>
    <x v="6"/>
    <s v="MT/CN MT/TA"/>
    <s v="DGT"/>
    <s v="Joel Máximo Reis"/>
    <s v="NA"/>
    <m/>
    <s v="Substituição de aparelhos de ar condicionado"/>
    <s v="Substituição de aparelhos de ar condicionado"/>
    <s v="Ruído elevado, calor excessivo no ambiente de trabalho, prejudicando o desempenho dos empregados._x000a_Risco de falha e danos nos equipamentos digitais por alta temperatura e condiçoes ergonômicas desfavoráveis, baixa qualidade do ar, desconforto térmico."/>
    <m/>
    <n v="0"/>
    <m/>
    <m/>
    <m/>
    <m/>
    <m/>
    <m/>
    <m/>
    <n v="0"/>
    <m/>
    <m/>
    <m/>
    <m/>
    <m/>
    <m/>
    <m/>
    <m/>
    <m/>
    <m/>
    <m/>
    <m/>
    <n v="0"/>
  </r>
  <r>
    <x v="1"/>
    <x v="7"/>
    <s v="TI/TC"/>
    <s v="DGE"/>
    <s v="Francisco Elson"/>
    <s v="NA"/>
    <s v="-"/>
    <s v="Comunicação via Satélite (Telefonia)"/>
    <s v="Aparelho para serviços de telefonia via satélite."/>
    <s v="Demora no restabelecimento de linhas de transmissão, onde não é possivel comunicar com a equipe, Risco de não execução de serviços e permanência da equipe na instalação sem poder executar manutenções em linhas de transmissão."/>
    <m/>
    <n v="0"/>
    <n v="0"/>
    <n v="0"/>
    <n v="0"/>
    <n v="0"/>
    <n v="142.21934999999999"/>
    <n v="0"/>
    <n v="0"/>
    <n v="142.21934999999999"/>
    <n v="0"/>
    <n v="0"/>
    <n v="0"/>
    <n v="0"/>
    <n v="0"/>
    <n v="0"/>
    <n v="0"/>
    <n v="0"/>
    <n v="0"/>
    <n v="0"/>
    <n v="0"/>
    <n v="0"/>
    <n v="0"/>
  </r>
  <r>
    <x v="1"/>
    <x v="7"/>
    <s v="TI/TC"/>
    <s v="DGE"/>
    <s v="Francisco Elson"/>
    <s v="NA"/>
    <s v="-"/>
    <s v="Redes Ópticas da Transmissora"/>
    <s v="Construção de Redes Ópticas da Geradora para interligação ao backbone de comunicação"/>
    <s v="Perda de comunicação por falta de alimentação comercial, penalidades previstas em contrato"/>
    <m/>
    <n v="0"/>
    <m/>
    <n v="0"/>
    <n v="0"/>
    <n v="0"/>
    <n v="29"/>
    <n v="0"/>
    <n v="0"/>
    <n v="29"/>
    <n v="0"/>
    <n v="0"/>
    <n v="0"/>
    <n v="0"/>
    <n v="0"/>
    <n v="0"/>
    <n v="0"/>
    <n v="0"/>
    <n v="0"/>
    <n v="0"/>
    <n v="0"/>
    <n v="45.5"/>
    <n v="45.5"/>
  </r>
  <r>
    <x v="1"/>
    <x v="7"/>
    <s v="TI/IO"/>
    <s v="DGE"/>
    <s v="Tiago Leite"/>
    <s v="NA"/>
    <m/>
    <s v="Sistemas de Ar Condicionado da Transmissora - Ses"/>
    <m/>
    <m/>
    <m/>
    <m/>
    <m/>
    <m/>
    <m/>
    <m/>
    <m/>
    <m/>
    <n v="19.5"/>
    <n v="19.5"/>
    <m/>
    <m/>
    <m/>
    <m/>
    <m/>
    <m/>
    <m/>
    <m/>
    <m/>
    <m/>
    <m/>
    <m/>
    <n v="0"/>
  </r>
  <r>
    <x v="1"/>
    <x v="8"/>
    <s v="TI/IO"/>
    <s v="DGE"/>
    <s v="Carlos Araújo"/>
    <s v="TI04418"/>
    <s v="TINV.18.T.045.MP"/>
    <s v="Modernização do Parque Microinformática (CORPORATIVO) T"/>
    <s v="Atualização do parque de microinformática para atender a política de substituição de 20% ao ano. Visa possibilitar a realização plena das atividades da força de trabalho, dentro dos processos da empresa, com a utilização de equipamentos."/>
    <s v="-"/>
    <m/>
    <n v="0"/>
    <n v="0"/>
    <n v="0"/>
    <n v="415"/>
    <n v="0"/>
    <n v="0"/>
    <n v="0"/>
    <n v="0"/>
    <n v="415"/>
    <n v="0"/>
    <n v="0"/>
    <n v="0"/>
    <n v="0"/>
    <n v="0"/>
    <n v="0"/>
    <n v="0"/>
    <n v="55"/>
    <n v="0"/>
    <n v="0"/>
    <n v="0"/>
    <n v="0"/>
    <n v="55"/>
  </r>
  <r>
    <x v="1"/>
    <x v="9"/>
    <s v="TI/TC"/>
    <s v="DGE"/>
    <s v="Roberto Sebastião"/>
    <s v="TI06118"/>
    <s v="TINV.18.T.054.FW"/>
    <s v="Atualizações de versão de software para Solução de Firewall Check Point "/>
    <s v="Proteção do ambiente corporativo da CEMIG contra ataques, invasões oriundas da Internet e terceiros; Autorização e controle de acesso remoto ao ambiente corporativo; Garantir a comunicação da Cemig com a CCEE e com os grandes consumidores de energia da Cemig."/>
    <s v="Exposição inadequada das informações da Cemig; Contaminação dos dados da Rede Corporativa; Indisponibilidade de sistemas corporativos."/>
    <m/>
    <n v="0"/>
    <n v="97.797319999999999"/>
    <n v="0"/>
    <n v="0"/>
    <n v="0"/>
    <n v="0"/>
    <n v="0"/>
    <m/>
    <n v="97.797319999999999"/>
    <n v="0"/>
    <n v="0"/>
    <n v="0"/>
    <n v="0"/>
    <n v="0"/>
    <m/>
    <n v="0"/>
    <n v="0"/>
    <n v="0"/>
    <n v="110.7733299999999"/>
    <n v="0"/>
    <n v="0"/>
    <n v="110.7733299999999"/>
  </r>
  <r>
    <x v="1"/>
    <x v="9"/>
    <s v="TI/SI"/>
    <s v="DGE"/>
    <s v="Álisson Costa"/>
    <s v="NA"/>
    <m/>
    <s v="Projeto PMT"/>
    <m/>
    <m/>
    <m/>
    <m/>
    <m/>
    <m/>
    <m/>
    <m/>
    <m/>
    <m/>
    <m/>
    <n v="0"/>
    <m/>
    <m/>
    <n v="50"/>
    <n v="50"/>
    <n v="100"/>
    <m/>
    <m/>
    <m/>
    <m/>
    <m/>
    <m/>
    <m/>
    <n v="200"/>
  </r>
  <r>
    <x v="1"/>
    <x v="10"/>
    <s v="MT/LE"/>
    <s v="DGT"/>
    <s v="Joel Máximo Reis"/>
    <s v="MT00218"/>
    <s v="INAT/18/VE"/>
    <s v="Equipamentos e veículos para a MT"/>
    <s v="Aquisição de equipamentos como plataformas aérea articuladas e guindastes para o processo de manutenção da Transmissão._x000a_Aquisição (físico):_x000a_- 5 (cinco) Guindastes até 14 toneladas para instalação em caminhão existente;_x000a_- 1 (um) Guindaste até 23 toneladas para instalação no caminhão existente com opcionais de guincho e controle remoto. (preço Hyva);_x000a_- 5 (cinco) Guindastes até 23 toneladas para instalação no caminhão existente com opcionais de guincho e controle remoto;_x000a_- 2 (duas) Plataformas aéreas articuladas  20 metros;_x000a_- 3 (três) Plataformas aéreas articuladas, máxima altura (Acima de 14m);_x000a_- 2 (dois) Veículos para instalação da plataforma._x000a__x000a_Necessidade de substituição dos atuais equipamentos pelos seguintes problemas:_x000a__x000a_-Cesto simples, apenas um executante, aumento no tempo de execução das tarefas._x000a_-Dificuldade de entrar ao cesto, risco de queda. Foto 1._x000a_-Limite de altura do Cesto simples de 10 metros, insuficiente para acesso aos equipamentos acima de 345kV e alguns equipamentos de 230kV._x000a_-Cesto simples sem acesso ao piso. Caso ocorra queda de alguma ferramenta ou material no piso do cesto é necessário baixar a lança até o solo. Foto 1._x000a_-Movimentos bruscos da lança, não linear, principalmente no início do movimento tem provocado aumento no tempo de posicionamento dos equipamentos içados e consequentemente possibilidade de danos aos equipamentos e risco para pessoas. _x000a_-Falta de articulações na lança, dificultando o acesso nos equipamentos e nas manobras nos pátios de 138 kV, aumentando o tempo de execução com perda de produtividade. Cestas Masal possui apenas uma articulação, foto 2._x000a_-Acidente com a equipe da CEMIG-D na cidade de Lafaiete, provocou recall, falha de projeto, em todas as cestas aéreas, provocando transtorno nas equipes e reprogramação de diversos serviços._x000a__x000a_"/>
    <s v="Comprometimento da produtividade, segurança e condições ergonômicas para a realização das atividades de manutenção do sistema elétrico;_x000a_Falta de ferramentas de trabalho para as equipes de manutenção, e a não adequação legal, comprometendo a segurança de empregados e a produtividade das equipes;_x000a_Manter na frota veículos obsoletos, com alto índice de indisponibilidade, podendo até mesmo comprometer a segurança dos empregados e sua produtividade._x000a_"/>
    <s v="Projeto com início previsto para 2018 (R$ 1.513 mil) postergado para 2019 devido a dificuldades com adaptação dos implementos nos veículos disponíveis e diferença de prazo de entrega, que era 60 dias e nos novos orçamentos foi de 150."/>
    <n v="0"/>
    <m/>
    <m/>
    <m/>
    <m/>
    <m/>
    <m/>
    <m/>
    <n v="0"/>
    <m/>
    <m/>
    <m/>
    <m/>
    <n v="1513"/>
    <m/>
    <m/>
    <m/>
    <m/>
    <m/>
    <m/>
    <m/>
    <n v="1513"/>
  </r>
  <r>
    <x v="1"/>
    <x v="10"/>
    <s v="SC"/>
    <s v="DGE"/>
    <s v="Ormindo Coutinho Filho"/>
    <s v="NA"/>
    <m/>
    <s v="Substituição de Veículos da Diretoria Executiva - Transmissão"/>
    <s v="Renovação da frota de veículos da Diretoria Executiva - Transmiss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5.44"/>
    <m/>
    <m/>
    <m/>
    <m/>
    <m/>
    <n v="105.44"/>
  </r>
  <r>
    <x v="1"/>
    <x v="11"/>
    <s v="MT/CT"/>
    <s v="DGT"/>
    <s v="Gustavo Soares/Leandro Veloso Cunha/Joel Máximo"/>
    <s v="NA"/>
    <m/>
    <s v="Aquisição de 04 cestas aéreas"/>
    <s v="Aquisição de 04 Cestas aérea para trabalho em Linha viva 345/500 kV até 18m em substituição as extensões isolantes para grua."/>
    <s v="Multas do MTE; Restrição de ferramentas para execução de serviços em linha viva; elevação dos custos de Parcela Variável."/>
    <m/>
    <n v="0"/>
    <n v="0"/>
    <n v="0"/>
    <n v="0"/>
    <n v="0"/>
    <n v="0"/>
    <n v="0"/>
    <n v="0"/>
    <n v="0"/>
    <n v="0"/>
    <n v="0"/>
    <n v="0"/>
    <n v="0"/>
    <n v="0"/>
    <n v="0"/>
    <n v="0"/>
    <n v="0"/>
    <n v="0"/>
    <n v="0"/>
    <n v="0"/>
    <n v="0"/>
    <n v="0"/>
  </r>
  <r>
    <x v="1"/>
    <x v="11"/>
    <s v="MT/CT"/>
    <s v="DGT"/>
    <s v="Gustavo Soares/Joel Máximo"/>
    <s v="MT01017"/>
    <s v="INAT/18/FE"/>
    <s v="Aquisição de ferramentas de manutenção diversas"/>
    <s v="Ferramentas de manutenção MT"/>
    <s v="Produtividade das rotinas de manutenção, mantendo-se as condições de segurança para os empregados, e cumprimento dos requisitos da ReN Aneel nº 669/2015 - Requisitos Mínimos de Manutenção"/>
    <m/>
    <n v="18.819390416145325"/>
    <m/>
    <m/>
    <n v="15.390969999999999"/>
    <n v="54.116079999999997"/>
    <n v="98.5"/>
    <m/>
    <n v="896.68239460319501"/>
    <n v="1083.5088350193403"/>
    <n v="77.703347499999992"/>
    <n v="77.703347499999992"/>
    <n v="77.703347499999992"/>
    <n v="77.703347499999992"/>
    <n v="77.703347499999992"/>
    <n v="77.703347499999992"/>
    <n v="77.703347499999992"/>
    <n v="77.703347499999992"/>
    <n v="77.703347499999992"/>
    <n v="77.703347499999992"/>
    <n v="77.703347499999992"/>
    <n v="77.703347499999992"/>
    <n v="932.44016999999974"/>
  </r>
  <r>
    <x v="1"/>
    <x v="11"/>
    <s v="MT"/>
    <s v="DGT"/>
    <s v="Gustavo Soares/Eduardo Martins/Adriana de Castro"/>
    <s v="MT00516"/>
    <s v="INAT/16/FE"/>
    <s v="Ferramentas 2016 - MT"/>
    <m/>
    <m/>
    <m/>
    <n v="4.3380299806594849"/>
    <m/>
    <m/>
    <m/>
    <m/>
    <m/>
    <m/>
    <m/>
    <n v="4.3380299806594849"/>
    <m/>
    <m/>
    <m/>
    <m/>
    <m/>
    <m/>
    <m/>
    <m/>
    <m/>
    <m/>
    <m/>
    <m/>
    <n v="0"/>
  </r>
  <r>
    <x v="1"/>
    <x v="11"/>
    <s v="PO/MT"/>
    <s v="DGT"/>
    <s v="Gustavo Soares/Eduardo Martins/Adriana de Castro"/>
    <s v="PO00417"/>
    <s v="INGT/18/783/FERR"/>
    <s v="Ferramentas para o Centro de Monitoramento Preditivo e para o Laboratório de integração de novos ativos de Proteção, Controle, Supervisão e Automação da PO/MT"/>
    <s v="Ferramentas PO/MT_CMP e PCSA"/>
    <s v="Produtividade; atraso na realização e análises de testes de integração/monitoramento de ativos; segurança de pessoal; "/>
    <m/>
    <n v="87.617710113525391"/>
    <n v="4.5140000000000002"/>
    <n v="0"/>
    <n v="13"/>
    <n v="47.237050000000004"/>
    <n v="196.03399999999999"/>
    <n v="330"/>
    <n v="48.967739886474803"/>
    <n v="727.37050000000011"/>
    <n v="0"/>
    <n v="0"/>
    <n v="0"/>
    <n v="0"/>
    <n v="0"/>
    <n v="0"/>
    <n v="0"/>
    <n v="0"/>
    <n v="0"/>
    <n v="0"/>
    <n v="0"/>
    <n v="363.29999999999995"/>
    <n v="363.29999999999995"/>
  </r>
  <r>
    <x v="2"/>
    <x v="12"/>
    <s v="RH/EC"/>
    <s v="DRH"/>
    <s v="Romeraldo"/>
    <s v="NA"/>
    <m/>
    <s v="2 Alicates amperímetros digital com tecnologia wi-fi."/>
    <s v="Equipamento para o curso de Termografia aplicada ao Sistema Elétrico."/>
    <s v="A falta de treinamento das equipes impossibilitará as manutenções preventivas dos equipamentos de subestações, ocasionando altos índices de defeitos e indisponibilidade do sistema elétrico."/>
    <m/>
    <n v="0"/>
    <m/>
    <m/>
    <m/>
    <m/>
    <m/>
    <m/>
    <m/>
    <n v="0"/>
    <m/>
    <m/>
    <m/>
    <m/>
    <m/>
    <m/>
    <m/>
    <m/>
    <m/>
    <m/>
    <m/>
    <m/>
    <n v="0"/>
  </r>
  <r>
    <x v="2"/>
    <x v="12"/>
    <s v="RH/EC"/>
    <s v="DRH"/>
    <s v="Januario"/>
    <s v="NA"/>
    <m/>
    <s v="2 HI-POTT CA até 60 kV"/>
    <s v="Equipamento para o treinamento de rede aerea isolada."/>
    <s v="A falta de treinamento das equipes impossibilitará as manutenções preventivas dos equipamentos de subestações, ocasionando altos índices de defeitos e indisponibilidade do sistema elétrico."/>
    <m/>
    <n v="0"/>
    <m/>
    <m/>
    <m/>
    <m/>
    <m/>
    <m/>
    <m/>
    <n v="0"/>
    <m/>
    <m/>
    <m/>
    <m/>
    <m/>
    <m/>
    <m/>
    <m/>
    <m/>
    <m/>
    <m/>
    <n v="10"/>
    <n v="10"/>
  </r>
  <r>
    <x v="2"/>
    <x v="12"/>
    <s v="GR/PC"/>
    <s v="DDC"/>
    <s v="Ronaldo Oliveira"/>
    <s v="GR00118"/>
    <s v="INFR.341.01918"/>
    <s v="Aquisição camara climática"/>
    <s v="Equipamento de testes de materiais e componentes eletricos e eletronicos em laboratorio, com temperatura e umidade programaveis"/>
    <s v="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
    <m/>
    <n v="0"/>
    <m/>
    <m/>
    <m/>
    <m/>
    <m/>
    <m/>
    <n v="350"/>
    <n v="350"/>
    <m/>
    <m/>
    <m/>
    <m/>
    <m/>
    <m/>
    <m/>
    <m/>
    <m/>
    <m/>
    <m/>
    <m/>
    <n v="0"/>
  </r>
  <r>
    <x v="2"/>
    <x v="12"/>
    <s v="EA/EO"/>
    <s v="DDC"/>
    <s v="Beline Q. A. Fonseca"/>
    <s v="NA"/>
    <m/>
    <s v="Aquisição de 2 computadores do tipo Notebook."/>
    <s v="Substituição de dois notebooks obsoletos (Agnaldo Neves e Ricardo Dourado)._x000a_"/>
    <s v="Demora na disponibilização de informações de campo e prestação de contas em sistemas corporativos._x000a_"/>
    <m/>
    <n v="0"/>
    <m/>
    <m/>
    <m/>
    <m/>
    <n v="6.8"/>
    <m/>
    <m/>
    <n v="6.8"/>
    <m/>
    <m/>
    <m/>
    <m/>
    <m/>
    <m/>
    <m/>
    <m/>
    <m/>
    <m/>
    <m/>
    <m/>
    <n v="0"/>
  </r>
  <r>
    <x v="2"/>
    <x v="12"/>
    <s v="EA/EO"/>
    <s v="DDC"/>
    <s v="Beline Q. A. Fonseca"/>
    <s v="NA"/>
    <m/>
    <s v="Aquisição de 4 computadores  Notebook."/>
    <s v="Aquisição de 4 Notebook´s para utilização dos técnicos de automação e comissionamento (2 Xomni e 2 Softer analisador de protocolo) "/>
    <s v="Dependencia de software  e hardware (Notebooks) das equipes de manutenção regional que nem sempre estao disponiveis ."/>
    <m/>
    <n v="0"/>
    <m/>
    <m/>
    <m/>
    <m/>
    <n v="10"/>
    <m/>
    <m/>
    <n v="10"/>
    <m/>
    <m/>
    <m/>
    <m/>
    <m/>
    <m/>
    <m/>
    <m/>
    <m/>
    <m/>
    <m/>
    <m/>
    <n v="0"/>
  </r>
  <r>
    <x v="2"/>
    <x v="12"/>
    <s v="AD/AC"/>
    <s v="DDC"/>
    <s v="Thais Freire"/>
    <s v="NA"/>
    <m/>
    <s v="Aquisição de medidores de qualidade de energia classe A para atendimento aos requisitos dos Procedimentos de Rede e da revisão 8 do Módulo 8 do PRODIST."/>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n v="0"/>
    <m/>
    <m/>
    <m/>
    <m/>
    <n v="300"/>
    <m/>
    <m/>
    <n v="300"/>
    <n v="180"/>
    <m/>
    <m/>
    <m/>
    <m/>
    <m/>
    <m/>
    <m/>
    <m/>
    <m/>
    <m/>
    <m/>
    <n v="180"/>
  </r>
  <r>
    <x v="2"/>
    <x v="12"/>
    <s v="RH/EC"/>
    <s v="DRH"/>
    <s v="Marcela Augusta"/>
    <s v="RH00218"/>
    <s v="INFR.341.01718"/>
    <s v="Aquisição de recursos pedagógicos para Univercemig"/>
    <s v="Aquisição de recursos pedagógicos para Univercemig 2018"/>
    <m/>
    <m/>
    <n v="0"/>
    <m/>
    <m/>
    <m/>
    <m/>
    <n v="230"/>
    <m/>
    <m/>
    <n v="230"/>
    <m/>
    <m/>
    <m/>
    <m/>
    <m/>
    <m/>
    <m/>
    <m/>
    <m/>
    <m/>
    <m/>
    <m/>
    <n v="0"/>
  </r>
  <r>
    <x v="2"/>
    <x v="12"/>
    <s v="RH/EC"/>
    <s v="DRH"/>
    <s v="Marcela Augusta"/>
    <s v="NA"/>
    <m/>
    <s v="Aquisição de recursos pedagógicos para Univercemig"/>
    <s v="Aquisição de recursos pedagógicos para Univercemig"/>
    <m/>
    <m/>
    <n v="0"/>
    <m/>
    <m/>
    <m/>
    <m/>
    <m/>
    <m/>
    <m/>
    <n v="0"/>
    <m/>
    <m/>
    <m/>
    <m/>
    <m/>
    <m/>
    <m/>
    <m/>
    <m/>
    <m/>
    <m/>
    <n v="162"/>
    <n v="162"/>
  </r>
  <r>
    <x v="2"/>
    <x v="12"/>
    <s v="EA/EL"/>
    <s v="DDC"/>
    <s v="José William Campomizzi"/>
    <s v="NA"/>
    <m/>
    <s v="AquisIção de Smartfone para os fiscais de obra, com recurso de internet e boa resolução para registro fotográfico, acesso em campo aos sistemas GESET e GEDEX."/>
    <s v="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
    <s v="Contribui para a morosidade na tomada de decisão do engenheiro de obra."/>
    <m/>
    <n v="0"/>
    <m/>
    <m/>
    <m/>
    <m/>
    <n v="4.8"/>
    <m/>
    <n v="2.4"/>
    <n v="7.1999999999999993"/>
    <m/>
    <m/>
    <m/>
    <m/>
    <m/>
    <m/>
    <m/>
    <m/>
    <m/>
    <m/>
    <m/>
    <m/>
    <n v="0"/>
  </r>
  <r>
    <x v="2"/>
    <x v="12"/>
    <s v="EA/EO"/>
    <s v="DDC"/>
    <s v="Beline Q. A. Fonseca"/>
    <s v="NA"/>
    <m/>
    <s v="Aquisição de uma máquina fotográfica Semi profissional"/>
    <s v="Aquisição de 4 máquinas fotográficas digital com Zoom ótico maior que 28X"/>
    <s v="A fiscalização, no solo, da montagem de estrturas em LD´s , pórticos etc.. Durante o pre-comissionamento, ocasionando o retrabalho do comissionamento das equipes de LD´s regionais."/>
    <m/>
    <n v="0"/>
    <m/>
    <m/>
    <m/>
    <m/>
    <n v="5"/>
    <m/>
    <m/>
    <n v="5"/>
    <m/>
    <m/>
    <m/>
    <m/>
    <m/>
    <m/>
    <m/>
    <m/>
    <m/>
    <m/>
    <m/>
    <m/>
    <n v="0"/>
  </r>
  <r>
    <x v="2"/>
    <x v="12"/>
    <s v="RH/EC"/>
    <s v="DRH"/>
    <s v="Romeraldo"/>
    <s v="NA"/>
    <m/>
    <s v="Calibrador tipo Corpo Negro (Fonte de Calor)"/>
    <s v="Equipamento para o curso de Termografia aplicada ao Sistema Elétrico."/>
    <s v="A falta de treinamento das equipes impossibilitará as manutenções preventivas dos equipamentos de subestações, ocasionando altos índices de defeitos e indisponibilidade do sistema elétrico."/>
    <m/>
    <n v="0"/>
    <m/>
    <m/>
    <m/>
    <m/>
    <m/>
    <m/>
    <m/>
    <n v="0"/>
    <m/>
    <m/>
    <m/>
    <m/>
    <m/>
    <m/>
    <m/>
    <m/>
    <m/>
    <m/>
    <m/>
    <m/>
    <n v="0"/>
  </r>
  <r>
    <x v="2"/>
    <x v="12"/>
    <s v="TI/TC"/>
    <s v="DGE"/>
    <s v="Daniel Sena"/>
    <s v="NA"/>
    <m/>
    <s v="Cemig D - Regionais de manutenção"/>
    <s v="Aquisição de Ferramentas manuais e Instrumentos para regionais de manutenção"/>
    <m/>
    <m/>
    <n v="0"/>
    <m/>
    <m/>
    <m/>
    <m/>
    <m/>
    <m/>
    <n v="66.982799999999997"/>
    <n v="66.982799999999997"/>
    <m/>
    <m/>
    <m/>
    <m/>
    <m/>
    <m/>
    <m/>
    <m/>
    <m/>
    <m/>
    <m/>
    <n v="44.655199999999994"/>
    <n v="44.655199999999994"/>
  </r>
  <r>
    <x v="2"/>
    <x v="12"/>
    <s v="AD/AD"/>
    <s v="DDC"/>
    <s v="Flavio Henrique M. Vieira"/>
    <s v="NA"/>
    <m/>
    <s v="Equipamento analisador de nível de sinal celular - AQS "/>
    <s v="Aquisição de 25 equipamento analisador de nível de sinal celular - AQS "/>
    <s v="Elevação de custos de OPEX com serviço de campo para  manutenção do pontos que apresentam baixa performance para operação do COD.  Não será capturado melhoria dos indicadores de qualidade, dentre eles o DEC"/>
    <m/>
    <n v="0"/>
    <m/>
    <m/>
    <m/>
    <m/>
    <n v="125"/>
    <m/>
    <m/>
    <n v="125"/>
    <n v="0"/>
    <m/>
    <m/>
    <m/>
    <m/>
    <m/>
    <m/>
    <m/>
    <m/>
    <m/>
    <m/>
    <m/>
    <n v="0"/>
  </r>
  <r>
    <x v="2"/>
    <x v="12"/>
    <s v="CD "/>
    <s v="DDC"/>
    <s v="Fábio"/>
    <s v="CD00315"/>
    <m/>
    <s v="Ferramentas DDC 2015"/>
    <m/>
    <m/>
    <m/>
    <n v="11.104649901390076"/>
    <m/>
    <m/>
    <m/>
    <m/>
    <m/>
    <m/>
    <n v="1.6000000238418499"/>
    <n v="12.704649925231926"/>
    <m/>
    <m/>
    <m/>
    <m/>
    <m/>
    <m/>
    <m/>
    <m/>
    <m/>
    <m/>
    <m/>
    <m/>
    <n v="0"/>
  </r>
  <r>
    <x v="2"/>
    <x v="12"/>
    <s v="AD/AD"/>
    <s v="DDC"/>
    <s v="Flavio Henrique M. Vieira"/>
    <s v="NA"/>
    <m/>
    <s v="Ferramentas e equipamentos para Laboratório de testes de equipamentos  em Uberlândia"/>
    <s v="Aquisição de equipamentos para testes em equipamentos de rede em Uberlândia (Fonte de corrente 300A,Hipots 10kV, Alicates volt amperímetro CAT IV e fontes de tensão VCC estabilizada)"/>
    <s v="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
    <m/>
    <n v="0"/>
    <m/>
    <m/>
    <m/>
    <m/>
    <m/>
    <n v="48"/>
    <m/>
    <n v="48"/>
    <n v="0"/>
    <m/>
    <m/>
    <m/>
    <m/>
    <m/>
    <m/>
    <m/>
    <m/>
    <m/>
    <m/>
    <m/>
    <n v="0"/>
  </r>
  <r>
    <x v="2"/>
    <x v="12"/>
    <s v="AD/AD"/>
    <s v="DDC"/>
    <s v="Flavio Henrique M. Vieira"/>
    <s v="NA"/>
    <m/>
    <s v="Laboratório para homologação de equipamentos de automação "/>
    <s v="Aquisição de equipamentos para montagem do laboratório de homologação de equipamentos de automação na cidade industrial Q14"/>
    <s v="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
    <m/>
    <n v="0"/>
    <m/>
    <m/>
    <m/>
    <m/>
    <m/>
    <m/>
    <m/>
    <n v="0"/>
    <m/>
    <m/>
    <m/>
    <m/>
    <m/>
    <m/>
    <m/>
    <m/>
    <m/>
    <m/>
    <m/>
    <m/>
    <n v="0"/>
  </r>
  <r>
    <x v="2"/>
    <x v="12"/>
    <s v="RH/EC"/>
    <s v="DRH"/>
    <s v="Denis"/>
    <s v="NA"/>
    <m/>
    <s v="Medidor de Relação de transformação digital"/>
    <s v="Equipamento para o curso de Ensaios Elétricos."/>
    <s v="A falta de treinamento das equipes impossibilitará as manutenções preventivas dos equipamentos de subestações, ocasionando altos índices de defeitos e indisponibilidade do sistema elétrico."/>
    <m/>
    <n v="0"/>
    <m/>
    <m/>
    <m/>
    <m/>
    <m/>
    <m/>
    <m/>
    <n v="0"/>
    <m/>
    <m/>
    <m/>
    <m/>
    <m/>
    <m/>
    <m/>
    <m/>
    <m/>
    <m/>
    <m/>
    <n v="33"/>
    <n v="33"/>
  </r>
  <r>
    <x v="2"/>
    <x v="12"/>
    <s v="EA/EP"/>
    <s v="DDC"/>
    <s v="Afonso Vanderlei Nunes Barbosa"/>
    <s v="NA"/>
    <m/>
    <s v="Modernização do parque tecnológio da EA/EP para serviços geodésicos."/>
    <s v="Aquisição de um par de Receptor GPS de dupla frequência L1/L2 - RTK  – Incluindo software de descarregamento e transformação dos dados brutos para formato RINEX e seus acessórios "/>
    <s v="Aumento do custo de mão-obra própria com o uso das tecnologias atuais;_x000a_Aumento do riscos de má qualidade do projetos;_x000a_Risco de atraso nas obras;_x000a_"/>
    <m/>
    <n v="0"/>
    <m/>
    <m/>
    <m/>
    <m/>
    <m/>
    <n v="50"/>
    <m/>
    <n v="50"/>
    <m/>
    <m/>
    <m/>
    <m/>
    <m/>
    <m/>
    <m/>
    <m/>
    <m/>
    <m/>
    <m/>
    <m/>
    <n v="0"/>
  </r>
  <r>
    <x v="2"/>
    <x v="12"/>
    <s v="EA/EP"/>
    <s v="DDC"/>
    <s v="Afonso Vanderlei Nunes Barbosa"/>
    <s v="NA"/>
    <m/>
    <s v="Modernização do parque tecnológio da EA/EP para serviços topográficos "/>
    <s v="Aquisição de uma estação total e seus acessórios  (mira, tripé, bolsae caixa de transporte, baliza e bastão de aluminio, baterias, controladora e trena eletrônica)"/>
    <s v="Aumento do custo de mão-obra própria com o uso das tecnologias atuais;_x000a_Aumento do riscos de má qualidade do projetos;_x000a_Risco de atraso nas obras;_x000a_"/>
    <m/>
    <n v="0"/>
    <m/>
    <m/>
    <m/>
    <m/>
    <m/>
    <n v="15"/>
    <m/>
    <n v="15"/>
    <m/>
    <m/>
    <m/>
    <m/>
    <m/>
    <m/>
    <m/>
    <m/>
    <m/>
    <m/>
    <m/>
    <m/>
    <n v="0"/>
  </r>
  <r>
    <x v="2"/>
    <x v="12"/>
    <s v="EM/CE"/>
    <s v="DDC"/>
    <s v="Emerson Sidney"/>
    <s v="EM00118"/>
    <s v="INFR.341.02718"/>
    <s v="Programa de Substituição e Modernização de Ferramentas EM/CE"/>
    <s v="Compra de ferramentas para as equipes de projetos e obras de resdes BT/MT(recomposição, prospecção)"/>
    <s v="Equipes produzindo menos"/>
    <m/>
    <n v="0"/>
    <m/>
    <m/>
    <m/>
    <m/>
    <n v="250"/>
    <m/>
    <m/>
    <n v="250"/>
    <m/>
    <m/>
    <m/>
    <m/>
    <m/>
    <m/>
    <m/>
    <m/>
    <m/>
    <m/>
    <m/>
    <m/>
    <n v="0"/>
  </r>
  <r>
    <x v="2"/>
    <x v="12"/>
    <s v="MD/CS"/>
    <s v="DDC"/>
    <s v="Emerson de Sales Cruz"/>
    <s v="MD00118"/>
    <s v="INFR.341.01118"/>
    <s v="Programa de Substituição e Modernização de Ferramentas MD/CS"/>
    <s v="Aquisição de ferramentas para as equipes das gerências de manutenção e serviços de campo da MD"/>
    <s v="Comprometer a produtividade das equipes, a qualidade dos serviços prestados  e atendimento aos indices de qualidade de fornecimento da Distribuição."/>
    <m/>
    <n v="0"/>
    <m/>
    <n v="423"/>
    <n v="0"/>
    <n v="517.29535007476807"/>
    <m/>
    <m/>
    <m/>
    <n v="940.29535007476807"/>
    <m/>
    <m/>
    <m/>
    <m/>
    <m/>
    <m/>
    <n v="1080"/>
    <n v="406"/>
    <n v="319"/>
    <m/>
    <m/>
    <m/>
    <n v="1805"/>
  </r>
  <r>
    <x v="2"/>
    <x v="13"/>
    <s v="SC"/>
    <s v="DGE"/>
    <s v="Rafael Braga"/>
    <s v="GE00214"/>
    <s v="INFR.342.00414.054.BEBED"/>
    <s v="2017 - Aquisição de Bebedouro e Itens 10 e 13 do PC 4500029072 Seal Telecom"/>
    <s v="2017 - Aquisição de Bebedouro e Itens 10 e 13 do PC 4500029072 Seal Telecom"/>
    <s v="2017 - Aquisição de Bebedouro e Itens 10 e 13 do PC 4500029072 Seal Telecom"/>
    <m/>
    <n v="1.7749999761581421"/>
    <n v="6.3078399999999997"/>
    <m/>
    <m/>
    <m/>
    <m/>
    <m/>
    <m/>
    <n v="8.0828399761581409"/>
    <m/>
    <m/>
    <m/>
    <m/>
    <m/>
    <m/>
    <m/>
    <m/>
    <m/>
    <m/>
    <m/>
    <m/>
    <n v="0"/>
  </r>
  <r>
    <x v="2"/>
    <x v="13"/>
    <s v="SC"/>
    <s v="DDC"/>
    <s v="Mariana Tanure"/>
    <s v="CD00215"/>
    <s v="PIGD.15.687.O1.GE"/>
    <s v="2017 - Prestobat - Itens 1 e 3 do Pedido de compras 4500029427 – 27 aparelhos de ar condicionado"/>
    <s v="2017 - Prestobat - Itens 1 e 3 do Pedido de compras 4500029427 – 27 aparelhos de ar condicionado"/>
    <s v="2017 - Prestobat - Itens 1 e 3 do Pedido de compras 4500029427 – 27 aparelhos de ar condicionado"/>
    <m/>
    <n v="54.296999216079712"/>
    <m/>
    <m/>
    <m/>
    <m/>
    <m/>
    <m/>
    <m/>
    <n v="54.296999216079712"/>
    <m/>
    <m/>
    <m/>
    <m/>
    <m/>
    <m/>
    <m/>
    <m/>
    <m/>
    <m/>
    <m/>
    <m/>
    <n v="0"/>
  </r>
  <r>
    <x v="2"/>
    <x v="14"/>
    <s v="CD/GP"/>
    <s v="DDC"/>
    <s v="Karla Louise"/>
    <s v="NA"/>
    <m/>
    <s v="Orçamento a ser priorizado pela DDC"/>
    <m/>
    <m/>
    <m/>
    <m/>
    <m/>
    <m/>
    <m/>
    <m/>
    <m/>
    <m/>
    <m/>
    <n v="0"/>
    <n v="0"/>
    <n v="0"/>
    <n v="0"/>
    <n v="0"/>
    <n v="0"/>
    <m/>
    <m/>
    <m/>
    <m/>
    <m/>
    <m/>
    <n v="2015.0433251530048"/>
    <n v="2015.0433251530048"/>
  </r>
  <r>
    <x v="2"/>
    <x v="13"/>
    <s v="SC"/>
    <s v="DGE"/>
    <s v="Flávio Henrique Silva Rosário"/>
    <s v="NA"/>
    <m/>
    <s v="Aquisição de baterias para os Nobreaks dos Edifícios Júlio Soares e Aureliano Chaves"/>
    <s v="Aquisição de baterias para os Nobreaks, que possuem vida útil média de 5 anos e precisam ser substituídas de periodicamente."/>
    <s v="Falha completa dos nobreaks, o que pode provocar interrupção no fornecimento de energia para áreas críticas da empresa, como COS, COD e TI, e consequentemente, diversos prejuízos em falhas operacionais e multas no Sistema Elétrica da Cemig."/>
    <m/>
    <n v="0"/>
    <m/>
    <m/>
    <m/>
    <m/>
    <m/>
    <m/>
    <m/>
    <n v="0"/>
    <m/>
    <m/>
    <m/>
    <m/>
    <m/>
    <m/>
    <m/>
    <m/>
    <m/>
    <m/>
    <m/>
    <m/>
    <n v="0"/>
  </r>
  <r>
    <x v="2"/>
    <x v="13"/>
    <s v="SC"/>
    <s v="DGE"/>
    <s v="Flávio Henrique Silva Rosário"/>
    <s v="NA"/>
    <m/>
    <s v="Aquisição de Bebedouros CEMIG"/>
    <s v="Aquisição de Bebedouros para várias unidades da Cemig."/>
    <s v="Dificuldade no fornecimento de bebedouros para as instalações da Cemig e consequentemente, no fornecimento de água para os funcionários conforme normas regulamentadores."/>
    <m/>
    <n v="0"/>
    <m/>
    <m/>
    <m/>
    <m/>
    <m/>
    <m/>
    <m/>
    <n v="0"/>
    <m/>
    <m/>
    <m/>
    <m/>
    <m/>
    <m/>
    <m/>
    <m/>
    <n v="25"/>
    <m/>
    <m/>
    <m/>
    <n v="25"/>
  </r>
  <r>
    <x v="2"/>
    <x v="13"/>
    <s v="SC"/>
    <s v="DGE"/>
    <s v="Daniel Bretas (31-35062945)"/>
    <s v="NA"/>
    <m/>
    <s v="AQUISIÇÃO DE ELETRODOMÉSTICOS"/>
    <s v="AQUISIÇÃO DE 18 ELETRODOMÉSTICOS (REFRIGERADORES E FOGÕES) PARA REGIONAIS DA DGE - INSTALAÇÕES DA CEMIG D"/>
    <s v="• Aumento nos custos de manutenção (despesa operacional), uma vez que os atuais equipamentos obsoletos são submetidos e reiterados consertos"/>
    <m/>
    <n v="0"/>
    <m/>
    <m/>
    <m/>
    <m/>
    <m/>
    <m/>
    <m/>
    <n v="0"/>
    <m/>
    <m/>
    <m/>
    <m/>
    <m/>
    <m/>
    <m/>
    <m/>
    <m/>
    <m/>
    <m/>
    <m/>
    <n v="0"/>
  </r>
  <r>
    <x v="2"/>
    <x v="13"/>
    <s v="SC"/>
    <s v="DGE"/>
    <s v="Flávio Henrique Silva Rosário/ Daniel Bretas"/>
    <s v="NA"/>
    <m/>
    <s v="Aquisição de Equipamento Geral - Ar Condicionado, Bebedouro, Projetor e Microondas - Distribuição"/>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s v="Alongamento da curva de desembolso, para atendimento à demanda financeira da empresa."/>
    <n v="0"/>
    <m/>
    <m/>
    <m/>
    <m/>
    <m/>
    <m/>
    <m/>
    <n v="0"/>
    <m/>
    <m/>
    <m/>
    <m/>
    <m/>
    <m/>
    <m/>
    <n v="200"/>
    <m/>
    <m/>
    <m/>
    <m/>
    <n v="200"/>
  </r>
  <r>
    <x v="2"/>
    <x v="13"/>
    <s v="SC"/>
    <s v="DGE"/>
    <s v="Flávio Henrique Silva Rosário/ Daniel Bretas"/>
    <s v="SC00418"/>
    <s v="INFR.342.01618"/>
    <s v="Aquisição de Equipamento Geral - Ar Condicionado, Bebedouro, Projetor e Microondas - Distribuição - SC00418"/>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m/>
    <n v="0"/>
    <n v="22.880000114440854"/>
    <n v="81"/>
    <n v="49.119999885559054"/>
    <m/>
    <m/>
    <m/>
    <m/>
    <n v="152.99999999999991"/>
    <m/>
    <m/>
    <m/>
    <m/>
    <m/>
    <m/>
    <m/>
    <m/>
    <m/>
    <m/>
    <m/>
    <m/>
    <n v="0"/>
  </r>
  <r>
    <x v="2"/>
    <x v="13"/>
    <s v="EM/CE"/>
    <s v="DDC"/>
    <s v="Emerson Sidney"/>
    <s v="EM00218"/>
    <s v="INFR.342.02818"/>
    <s v="Aquisição de Equipamento Geral (câmera fotográfica) para EM"/>
    <m/>
    <m/>
    <m/>
    <m/>
    <m/>
    <m/>
    <m/>
    <m/>
    <m/>
    <m/>
    <n v="125"/>
    <n v="125"/>
    <m/>
    <m/>
    <m/>
    <m/>
    <m/>
    <m/>
    <m/>
    <m/>
    <m/>
    <m/>
    <m/>
    <m/>
    <n v="0"/>
  </r>
  <r>
    <x v="2"/>
    <x v="13"/>
    <s v="CE"/>
    <s v="DRC"/>
    <s v="Tércia Moreira"/>
    <s v="CE00118"/>
    <s v="INFR.342.02618"/>
    <s v="Aquisição de equipamentos de video/imagem para CE"/>
    <m/>
    <m/>
    <m/>
    <n v="0"/>
    <m/>
    <m/>
    <n v="60"/>
    <m/>
    <m/>
    <m/>
    <m/>
    <n v="60"/>
    <m/>
    <m/>
    <m/>
    <m/>
    <m/>
    <m/>
    <m/>
    <m/>
    <m/>
    <m/>
    <m/>
    <m/>
    <n v="0"/>
  </r>
  <r>
    <x v="2"/>
    <x v="13"/>
    <s v="MS/QL"/>
    <s v="DGE"/>
    <s v="Rodrigo Marques"/>
    <s v="NA"/>
    <m/>
    <s v="Aquisição de Equipamentos e instrumentos para laboratório MS/QL"/>
    <s v="Aquisição de Equipamentos e instrumentos para laboratório MS/QL, para realização de ensaios e adequação às necessidades atuais."/>
    <s v="A não execução pode levar ao risco de baixar a qualidade dos materiais adquiridos pela CEMIG e até mesMO de paralizar a realização de ensaios dos laboratórios da MS/QL."/>
    <m/>
    <n v="0"/>
    <m/>
    <n v="114"/>
    <m/>
    <m/>
    <m/>
    <m/>
    <m/>
    <n v="114"/>
    <m/>
    <m/>
    <m/>
    <m/>
    <m/>
    <m/>
    <m/>
    <m/>
    <m/>
    <m/>
    <m/>
    <m/>
    <n v="0"/>
  </r>
  <r>
    <x v="2"/>
    <x v="13"/>
    <s v="TI/TC"/>
    <s v="DGE"/>
    <s v="Sebastião Jacinto"/>
    <s v="TI05018"/>
    <s v="INFR.342.01418"/>
    <s v="Aquisição de equipamentos e mobiliário para o CGR"/>
    <s v="Aquisição de 6 cadeiras e 1 geladeira para atender  aos operadores de Telecom durante a escala 24/7."/>
    <s v="Risco de afastamento de funcionário._x000a_Risco de processos contra a Cemig._x000a_Aumento do horário de intervalo de descanso do operador._x000a_Não atendimento as normas de operação."/>
    <m/>
    <n v="0"/>
    <n v="7.8109999999999999"/>
    <n v="2.2000000000000002"/>
    <n v="9.9890000000000008"/>
    <m/>
    <m/>
    <m/>
    <m/>
    <n v="20"/>
    <m/>
    <m/>
    <m/>
    <m/>
    <m/>
    <m/>
    <m/>
    <m/>
    <m/>
    <m/>
    <m/>
    <m/>
    <n v="0"/>
  </r>
  <r>
    <x v="2"/>
    <x v="13"/>
    <s v="SC"/>
    <s v="DGE"/>
    <s v="Rogério Elias"/>
    <s v="NA"/>
    <m/>
    <s v="Aquisição de mobiliário para atender ao Estudo Estratégico de Ativos (EEA)"/>
    <s v="Aquisição de mobiliário para atender cidades do interior do estado para otimização da ocupação predial, dando suporte ao Estudo Estratégico de Ativos"/>
    <s v="Aumento da área construída para viabilizar a liberação de um imóvel."/>
    <m/>
    <n v="0"/>
    <m/>
    <m/>
    <m/>
    <m/>
    <m/>
    <m/>
    <m/>
    <n v="0"/>
    <m/>
    <m/>
    <m/>
    <m/>
    <m/>
    <m/>
    <m/>
    <m/>
    <m/>
    <m/>
    <n v="63"/>
    <m/>
    <n v="63"/>
  </r>
  <r>
    <x v="2"/>
    <x v="13"/>
    <s v="SC"/>
    <s v="DGE"/>
    <s v="Rogério Elias"/>
    <s v="NA"/>
    <m/>
    <s v="Aquisição de mobiliário para atendimento cliente interno D"/>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n v="50"/>
    <m/>
    <n v="50"/>
  </r>
  <r>
    <x v="2"/>
    <x v="13"/>
    <s v="SC"/>
    <s v="DGE"/>
    <s v="Flávio Henrique Silva Rosário"/>
    <s v="NA"/>
    <m/>
    <s v="Aquisição de Sistema de Proteção contra Descargas Atmosféricas (SPDA)"/>
    <s v="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
    <s v="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
    <m/>
    <n v="0"/>
    <m/>
    <m/>
    <m/>
    <m/>
    <m/>
    <m/>
    <m/>
    <n v="0"/>
    <m/>
    <m/>
    <m/>
    <m/>
    <m/>
    <m/>
    <m/>
    <m/>
    <n v="100"/>
    <m/>
    <m/>
    <m/>
    <n v="100"/>
  </r>
  <r>
    <x v="2"/>
    <x v="13"/>
    <s v="SC"/>
    <s v="DGE"/>
    <s v="Flávio Henrique Silva Rosário"/>
    <s v="SC00618"/>
    <s v="INFR.342.02418"/>
    <s v="Aquisição de Sistema multiponto RPCS VE  Equipado para 40 conexões HD ou 80 conexões SD "/>
    <s v="Aquisição de um sistema conexão multiponto para modernização e ampliação e substituição da unidade MCU - MGC 10,0 em utilização atualmente no sistema de videoconferência da Cemig."/>
    <s v="Impossibilidade de conexão entre todos os terminais de sistema de videoconferência. Negativa do fafricante Polycom, em prestar manutenção corretiva na MGC 100, por se tratar de equipamento ultrapassado e sem peças de reposição."/>
    <s v="Orçamento de mercado superior ao previsto em função de variação do dólar. O desembolso ocorre na entrega do pagamento, logo houve antecipação."/>
    <n v="0"/>
    <m/>
    <m/>
    <m/>
    <m/>
    <m/>
    <m/>
    <n v="1209"/>
    <n v="1209"/>
    <m/>
    <m/>
    <m/>
    <m/>
    <m/>
    <m/>
    <m/>
    <m/>
    <n v="62"/>
    <m/>
    <m/>
    <m/>
    <n v="62"/>
  </r>
  <r>
    <x v="2"/>
    <x v="13"/>
    <s v="SC"/>
    <s v="DGE"/>
    <s v="Flávio Henrique Silva Rosário"/>
    <s v="NA"/>
    <m/>
    <s v="Aquisição de Subestação Predial para o Quarteirão 14"/>
    <s v="Aquisição de equipamentos para as subestações dos prédios do Quarteirão 14."/>
    <s v="Caso os equipamentos entrem em falha, há risco de interrupção no fornecimento de energia, acidentes e incêndio nas edificações envolvidas. Há também riscos de multas por parte da Aneel pelas irregularidades nas medições de energia."/>
    <m/>
    <n v="0"/>
    <m/>
    <m/>
    <m/>
    <m/>
    <m/>
    <m/>
    <m/>
    <n v="0"/>
    <m/>
    <m/>
    <m/>
    <m/>
    <m/>
    <m/>
    <m/>
    <m/>
    <n v="200"/>
    <m/>
    <m/>
    <m/>
    <n v="200"/>
  </r>
  <r>
    <x v="2"/>
    <x v="13"/>
    <s v="SC"/>
    <s v="DGE"/>
    <s v="Mariana Tanure"/>
    <s v="SC00518"/>
    <s v="INFR.342.02118"/>
    <s v="AQUISIÇÃO EXTINTORES DE INCÊNDIO - SE's CEMIG D-REGIONAIS LESTE E VALE DO AÇO "/>
    <m/>
    <m/>
    <m/>
    <n v="0"/>
    <m/>
    <m/>
    <n v="23.331"/>
    <m/>
    <m/>
    <m/>
    <m/>
    <n v="23.331"/>
    <m/>
    <m/>
    <m/>
    <m/>
    <m/>
    <m/>
    <m/>
    <m/>
    <m/>
    <m/>
    <m/>
    <m/>
    <n v="0"/>
  </r>
  <r>
    <x v="2"/>
    <x v="13"/>
    <s v="MS/LA"/>
    <s v="DGE"/>
    <s v="José Flávio "/>
    <s v="NA"/>
    <m/>
    <s v="Aquisição/Instalção de Porta Pallets em Igarapé"/>
    <m/>
    <m/>
    <m/>
    <m/>
    <m/>
    <m/>
    <m/>
    <m/>
    <m/>
    <m/>
    <m/>
    <n v="0"/>
    <m/>
    <m/>
    <m/>
    <m/>
    <n v="500"/>
    <m/>
    <m/>
    <m/>
    <m/>
    <m/>
    <m/>
    <m/>
    <n v="500"/>
  </r>
  <r>
    <x v="2"/>
    <x v="13"/>
    <s v="SC"/>
    <s v="DGE"/>
    <s v="Flávio Henrique Silva Rosário"/>
    <s v="SC00118"/>
    <s v="INFR.342.00418"/>
    <s v="CDI - Sete Lagoas - Execução de bacia de contenção coberta"/>
    <s v="Obra de bacia de contenção em concreto armado impermeabilizada com cobertura e fechamento lateral metálicos"/>
    <s v="Contaminação do solo por óleo; passivo ambiental"/>
    <s v="É necessário contratação de projeto executivo para realização de obras. O projeto está previsto para 2018. No entanto, a obra será desembolsada em 2019."/>
    <n v="0"/>
    <m/>
    <m/>
    <m/>
    <m/>
    <n v="6"/>
    <n v="2"/>
    <n v="16"/>
    <n v="24"/>
    <m/>
    <m/>
    <m/>
    <m/>
    <m/>
    <m/>
    <m/>
    <m/>
    <n v="55"/>
    <n v="100"/>
    <n v="55"/>
    <m/>
    <n v="210"/>
  </r>
  <r>
    <x v="2"/>
    <x v="13"/>
    <s v="SC"/>
    <s v="DGE"/>
    <s v="Flávio Henrique Silva Rosário"/>
    <s v="SC00117"/>
    <s v="INFR.342.00117"/>
    <s v="CDI - Sete Lagoas - Execução de reforço do talude e obra de drenagem"/>
    <s v="Reforço do talude, demolição da escada externa e reforma do sistema de drenagem no CDI-Sete Lagoas"/>
    <s v="Queda da caixa de escada; desmoronamento do talude em que os caminhões de linha viva estacionam; transbordamento do sistema de drenagem pluvial e alagamento do pátio de estacionamento externo; enxurradas em épocas de chuva"/>
    <s v="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
    <m/>
    <m/>
    <m/>
    <m/>
    <m/>
    <n v="16"/>
    <n v="29"/>
    <n v="7"/>
    <n v="52"/>
    <m/>
    <m/>
    <m/>
    <m/>
    <m/>
    <m/>
    <m/>
    <m/>
    <n v="50"/>
    <n v="100"/>
    <n v="48"/>
    <m/>
    <n v="198"/>
  </r>
  <r>
    <x v="2"/>
    <x v="13"/>
    <s v="MS/QL"/>
    <s v="DGE"/>
    <s v="Rodrigo Marques"/>
    <s v="NA"/>
    <m/>
    <s v="Construção de Laboratório de Ensaios de Materiais da MS/QL em novo CDM."/>
    <s v="Construção de Laboratório de Ensaios de Materiais da MS/QL em novo CDM-Centro de Distribuiçaõ de Materiais da CEMIG, tendo em vista a vendo dos sites atuais (quarteirões 1 e 2 do Jatobá)."/>
    <s v="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_x000a_Além disso, irá inviabilizar a desocupação do Q1, onde estão montados os laboratórios atuais, para alienação e consequentemente a apuração de receita para a companhia."/>
    <m/>
    <n v="0"/>
    <m/>
    <m/>
    <m/>
    <m/>
    <m/>
    <m/>
    <m/>
    <n v="0"/>
    <m/>
    <m/>
    <m/>
    <m/>
    <m/>
    <m/>
    <m/>
    <m/>
    <m/>
    <m/>
    <m/>
    <m/>
    <n v="0"/>
  </r>
  <r>
    <x v="2"/>
    <x v="13"/>
    <s v="SC"/>
    <s v="DGE"/>
    <s v="Ian Garcia"/>
    <s v="NA"/>
    <m/>
    <s v="Controle de Acesso - AR"/>
    <s v="Instalação de catracas na entrada principal e P21 do AR (depende do projeto de Infra._x000a_Infraestrutura para implantação de controle de acesso - AR_x000a_Instalação de infraestrutura para recebimento de controle de acesso no AR - Projeto elaborado_x000a_"/>
    <s v="Perda do controle da pontualidade dos empregados. Dificuldade no controle do fluxo de pessoas na unidade._x000a_Impossibilidade de implantação  do sistema eletrônico de controle de acesso. Dificuldade no controle do fluxo de pessoas na unidade."/>
    <s v="Alongamento da curva de desembolso, para atendimento à demanda financeira da empresa em conjunto com dificuldade de rastreamento do projeto, devido a desligamento de empregado pelo PDVP sem gestão do conhecimento."/>
    <n v="0"/>
    <m/>
    <m/>
    <m/>
    <m/>
    <m/>
    <m/>
    <m/>
    <n v="0"/>
    <m/>
    <m/>
    <m/>
    <m/>
    <m/>
    <m/>
    <m/>
    <m/>
    <m/>
    <m/>
    <m/>
    <m/>
    <n v="0"/>
  </r>
  <r>
    <x v="2"/>
    <x v="13"/>
    <s v="SC"/>
    <s v="DGE"/>
    <s v="Ian Garcia"/>
    <s v="NA"/>
    <m/>
    <s v="Controle de acesso Interior"/>
    <s v="Instalar catracas e controle de acesso nos prédios da Cemig localizados no interior do Estado"/>
    <s v="Dificuldade no controle e identificação de pessoas e, circulação no interior das unidades do interior."/>
    <s v="Cancelamento do projeto, devido a nova iniciativa que vem a substituir sua demanda. Previsto recurso mais baixo para aquisição de catraca para reposição em interiores, até a implantação total do projeto."/>
    <n v="0"/>
    <m/>
    <m/>
    <m/>
    <m/>
    <n v="0"/>
    <n v="0"/>
    <m/>
    <n v="0"/>
    <m/>
    <m/>
    <m/>
    <m/>
    <m/>
    <n v="60"/>
    <m/>
    <m/>
    <m/>
    <m/>
    <m/>
    <m/>
    <n v="60"/>
  </r>
  <r>
    <x v="2"/>
    <x v="13"/>
    <s v="SC"/>
    <s v="DGE"/>
    <s v="Flávio Henrique Silva Rosário"/>
    <s v="NA"/>
    <m/>
    <s v="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m/>
    <m/>
    <m/>
    <m/>
    <m/>
    <m/>
    <n v="191"/>
    <n v="191"/>
    <m/>
    <m/>
    <m/>
    <m/>
    <m/>
    <m/>
    <m/>
    <m/>
    <m/>
    <m/>
    <m/>
    <m/>
    <n v="0"/>
  </r>
  <r>
    <x v="2"/>
    <x v="13"/>
    <s v="SC"/>
    <s v="DGE"/>
    <s v="Flávio Henrique Silva Rosário"/>
    <s v="NA"/>
    <m/>
    <s v="Impermeabilização dos reservatórios de água"/>
    <s v="Impermeabilização interna dos reservatórios de água centrais inferiores e superior do Anel Rodoviário, Q14, Q10 e Q3 com manta líquida"/>
    <s v="Em pouco tempo deixará de atender normas da ANVISA; comprometer a qualidade da água potável consumida pelos trabalhadores do local"/>
    <s v="Necessidade de início dos serviços ainda em 2018. Parte do recurso foi antecipado em troca com planejamento previsto para o projeto &quot;Substituição do sistema de abastecimento de água das unidades AR, CI, IT e SE-NA&quot;."/>
    <n v="0"/>
    <m/>
    <m/>
    <m/>
    <m/>
    <n v="30"/>
    <n v="30"/>
    <m/>
    <n v="60"/>
    <m/>
    <m/>
    <m/>
    <n v="25"/>
    <n v="30"/>
    <m/>
    <n v="30"/>
    <m/>
    <m/>
    <m/>
    <m/>
    <m/>
    <n v="85"/>
  </r>
  <r>
    <x v="2"/>
    <x v="13"/>
    <s v="SC"/>
    <s v="DGE"/>
    <s v="Ian Garcia"/>
    <s v="NA"/>
    <m/>
    <s v="Implantação de Cancelas com acesso eletrônico e registro de veículos no edif. Julio Soares"/>
    <s v="Automatizar controle de entrada e saida de veículos da sede"/>
    <s v="Permanencia de controles manuais não precisos. Histórico comprometido."/>
    <m/>
    <n v="0"/>
    <m/>
    <m/>
    <m/>
    <m/>
    <m/>
    <m/>
    <m/>
    <n v="0"/>
    <m/>
    <m/>
    <m/>
    <m/>
    <m/>
    <m/>
    <m/>
    <m/>
    <m/>
    <m/>
    <m/>
    <m/>
    <n v="0"/>
  </r>
  <r>
    <x v="2"/>
    <x v="13"/>
    <s v="SC"/>
    <s v="DGE"/>
    <s v="Daniel Bretas (31-35062945)"/>
    <s v="NA"/>
    <m/>
    <s v="ITAJUBÁ - SUBSTITUIÇÃO DO TELHADO E MADEIRAMENTO DO PRÉDIO"/>
    <s v="SUBSTITUIÇÃO DO TELHADO E MADEIRAMENTO DO PRÉDIO"/>
    <s v="Aumento nos custos de manutenção (despesa operacional), danos a bens da Companhia quando de chuvas e vazamento dentro da instalação, impacto direto no clima organizacional com a insatisfação e reclamação dos empregados"/>
    <m/>
    <n v="0"/>
    <m/>
    <m/>
    <m/>
    <m/>
    <m/>
    <m/>
    <m/>
    <n v="0"/>
    <m/>
    <m/>
    <m/>
    <m/>
    <m/>
    <m/>
    <m/>
    <m/>
    <m/>
    <m/>
    <m/>
    <m/>
    <n v="0"/>
  </r>
  <r>
    <x v="2"/>
    <x v="13"/>
    <s v="SC"/>
    <s v="DGE"/>
    <s v="Daniel Bretas (31-35062945)"/>
    <s v="NA"/>
    <m/>
    <s v="JUIZ DE FORA - DRENAGEM DE SOLO E ASFALTAMENTO NA ÁREA DO SERVIÇO DE CAMPO"/>
    <s v="OBRA DE DRENAGEM, SUBSTITUIÇÃO DO ASFALTO EXISTENTE E IMPLANTAÇÃO DE ASFALTO ONDE NÃO HÁ"/>
    <s v="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
    <s v="Alongamento da curva de desembolso, para atendimento à demanda financeira da empresa. Além de necessidade de contratação de projeto anterior a obra, o que traz a necessidade de postergação do valor da obra."/>
    <n v="0"/>
    <m/>
    <m/>
    <m/>
    <m/>
    <m/>
    <m/>
    <m/>
    <n v="0"/>
    <m/>
    <m/>
    <m/>
    <m/>
    <m/>
    <m/>
    <m/>
    <m/>
    <m/>
    <m/>
    <m/>
    <n v="120"/>
    <n v="120"/>
  </r>
  <r>
    <x v="2"/>
    <x v="13"/>
    <s v="SC"/>
    <s v="DGE"/>
    <s v="Flávio Henrique Silva Rosário"/>
    <s v="NA"/>
    <m/>
    <s v="Kit para teste de detecção de fumaça "/>
    <s v="Aquisição de equipamentos para testes dos sistemas de alarme e combate a incêndio das edificações."/>
    <s v="Dificuldade na realização das manutenções preventivas nos detectores de fumaça, e aumento na chance de falha desses detectores."/>
    <s v="Projeto em planejamento, desembolso previsto apenas para 2019."/>
    <n v="0"/>
    <m/>
    <m/>
    <m/>
    <m/>
    <m/>
    <m/>
    <m/>
    <n v="0"/>
    <m/>
    <m/>
    <m/>
    <m/>
    <m/>
    <m/>
    <m/>
    <n v="80"/>
    <m/>
    <m/>
    <m/>
    <m/>
    <n v="80"/>
  </r>
  <r>
    <x v="2"/>
    <x v="13"/>
    <s v="RH/EC"/>
    <s v="DRH"/>
    <s v="Uaded"/>
    <s v="NA"/>
    <m/>
    <s v="Lavadoura de pratos industrial"/>
    <s v="Lavadora de pratos para o refeitorio da Univercemig"/>
    <s v="Máquina é essencial para economia de mão de obra e tempo."/>
    <m/>
    <n v="0"/>
    <m/>
    <m/>
    <m/>
    <m/>
    <m/>
    <m/>
    <m/>
    <n v="0"/>
    <m/>
    <m/>
    <m/>
    <m/>
    <m/>
    <m/>
    <m/>
    <m/>
    <m/>
    <m/>
    <m/>
    <n v="21"/>
    <n v="21"/>
  </r>
  <r>
    <x v="2"/>
    <x v="13"/>
    <s v="RH/EC"/>
    <s v="DRH"/>
    <s v="Marcela Augusta"/>
    <s v="RH00118"/>
    <s v="INFR.342.00118"/>
    <s v="Modernização de equipamentos e mobiliário e construção da pista off road para o curso de direção defensiva na UNIVERCEMIG."/>
    <s v="Modernização de equipamentos e mobiliário e construção da pista off road para o curso de direção defensiva na UNIVERCEMIG - RH00118"/>
    <s v="A falta de treinamento das equipes impossibilitará as manutenções preventivas e corretivas dos disjuntores, ocasionando altos índices de defeitos e indisponibilidade do sistema elétrico."/>
    <m/>
    <n v="0"/>
    <m/>
    <m/>
    <n v="152"/>
    <m/>
    <m/>
    <m/>
    <m/>
    <n v="152"/>
    <m/>
    <m/>
    <n v="161"/>
    <n v="200"/>
    <m/>
    <m/>
    <m/>
    <m/>
    <m/>
    <m/>
    <m/>
    <m/>
    <n v="361"/>
  </r>
  <r>
    <x v="2"/>
    <x v="13"/>
    <s v="RH/EC"/>
    <s v="DRH"/>
    <s v="Marcela Augusta"/>
    <s v="NA"/>
    <m/>
    <s v="Modernização de equipamentos e mobiliário UNIVERCEMIG."/>
    <s v="Modernização de equipamentos e mobiliário e construção da pista off road para o curso de direção defensiva na UNIVERCEMIG."/>
    <s v="A falta de treinamento das equipes impossibilitará as manutenções preventivas e corretivas dos disjuntores, ocasionando altos índices de defeitos e indisponibilidade do sistema elétrico."/>
    <m/>
    <n v="0"/>
    <m/>
    <m/>
    <m/>
    <m/>
    <m/>
    <m/>
    <m/>
    <n v="0"/>
    <m/>
    <m/>
    <m/>
    <m/>
    <m/>
    <m/>
    <m/>
    <m/>
    <m/>
    <m/>
    <m/>
    <n v="8"/>
    <n v="8"/>
  </r>
  <r>
    <x v="2"/>
    <x v="13"/>
    <s v="RH/EC"/>
    <s v="DRH"/>
    <s v="Marcela Augusta"/>
    <s v="NA"/>
    <m/>
    <s v="Modernização de Recursos Pedagógicos"/>
    <s v="Modernização de salas de aula, paineis, equipamentos didáticos em geral."/>
    <s v="Impossibilitará reposição de materiais e equipamentos desgastados, impossibilitando os treinamentos."/>
    <m/>
    <n v="0"/>
    <m/>
    <m/>
    <m/>
    <m/>
    <m/>
    <m/>
    <m/>
    <n v="0"/>
    <m/>
    <m/>
    <m/>
    <m/>
    <m/>
    <m/>
    <m/>
    <m/>
    <m/>
    <m/>
    <m/>
    <m/>
    <n v="0"/>
  </r>
  <r>
    <x v="2"/>
    <x v="13"/>
    <s v="GE/IM"/>
    <s v="DGE"/>
    <s v="Loan Lauar"/>
    <s v="NA"/>
    <m/>
    <s v="Otimização dos Ativos de Almenara"/>
    <s v="Alienação do compartilhado e estacionamento transferência das atividades para o depósito de materiais e locação de imóvel para agência. Adequação do depósito de materiais para recebimento da equipe."/>
    <s v="Não cumprimento do Acordo de Metas da Iniciativa 9 do Programa de Adequação da Cemig D ao Regulatório, a qual prevê a obtenção de receita com a alienação de imóvel inservível, e à redução de despesas operacionais."/>
    <m/>
    <n v="0"/>
    <m/>
    <m/>
    <m/>
    <m/>
    <m/>
    <m/>
    <m/>
    <n v="0"/>
    <m/>
    <n v="51.1"/>
    <m/>
    <m/>
    <m/>
    <m/>
    <m/>
    <m/>
    <m/>
    <m/>
    <m/>
    <m/>
    <n v="51.1"/>
  </r>
  <r>
    <x v="2"/>
    <x v="13"/>
    <s v="GE/IM"/>
    <s v="DGE"/>
    <s v="Evandro Jardim"/>
    <s v="NA"/>
    <m/>
    <s v="Otimização dos Ativos de Araxá"/>
    <s v="Execução de obra civil de nova instalação de escritório no imóvel anexo à Subestação para recebimento do pessoal do imóvel do Centro."/>
    <s v="Não cumprimento do Acordo de Metas da Iniciativa 9 do Programa de Adequação da Cemig D ao Regulatório, a qual prevê a obtenção de receita com a alienação de imóvel inservível, e à redução de despesas operacionais."/>
    <m/>
    <n v="0"/>
    <m/>
    <m/>
    <m/>
    <m/>
    <m/>
    <m/>
    <n v="16"/>
    <n v="16"/>
    <m/>
    <n v="66.37"/>
    <m/>
    <m/>
    <m/>
    <m/>
    <m/>
    <m/>
    <m/>
    <n v="103.00284166100001"/>
    <n v="125.19"/>
    <n v="227.02715833899987"/>
    <n v="521.58999999999992"/>
  </r>
  <r>
    <x v="2"/>
    <x v="13"/>
    <s v="GE/IM"/>
    <s v="DGE"/>
    <s v="Evandro Jardim"/>
    <s v="NA"/>
    <m/>
    <s v="Otimização dos Ativos de Barbacena"/>
    <s v="Execução de adequações/reforma civil do imóvel da SE Barbacena 2."/>
    <s v="Não cumprimento do Acordo de Metas da Iniciativa 9 do Programa de Adequação da Cemig D ao Regulatório, a qual prevê a obtenção de receita com a alienação de imóvel inservível, e à redução de despesas operacionais."/>
    <m/>
    <n v="0"/>
    <m/>
    <m/>
    <m/>
    <m/>
    <m/>
    <m/>
    <m/>
    <n v="0"/>
    <m/>
    <m/>
    <m/>
    <m/>
    <m/>
    <m/>
    <n v="30"/>
    <m/>
    <m/>
    <n v="70"/>
    <m/>
    <m/>
    <n v="100"/>
  </r>
  <r>
    <x v="2"/>
    <x v="13"/>
    <s v="GE/IM"/>
    <s v="DGE"/>
    <s v="Samuel Matos"/>
    <s v="NA"/>
    <m/>
    <s v="Otimização dos Ativos de Betim"/>
    <m/>
    <m/>
    <m/>
    <m/>
    <m/>
    <m/>
    <m/>
    <m/>
    <m/>
    <m/>
    <n v="100"/>
    <n v="100"/>
    <m/>
    <m/>
    <m/>
    <n v="49.5"/>
    <n v="116"/>
    <n v="100"/>
    <n v="150"/>
    <n v="70"/>
    <n v="93.4"/>
    <m/>
    <m/>
    <m/>
    <n v="578.9"/>
  </r>
  <r>
    <x v="2"/>
    <x v="13"/>
    <s v="GE/IM"/>
    <s v="DGE"/>
    <s v="Samuel Matos"/>
    <s v="GE01018"/>
    <s v="INFR.342.01818"/>
    <s v="Otimização dos Ativos de Divinópolis"/>
    <s v="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
    <m/>
    <n v="0"/>
    <m/>
    <m/>
    <m/>
    <n v="10"/>
    <n v="70"/>
    <m/>
    <n v="20"/>
    <n v="100"/>
    <m/>
    <n v="181.11600000000001"/>
    <m/>
    <n v="246.62400000000002"/>
    <m/>
    <m/>
    <m/>
    <m/>
    <m/>
    <n v="20.659999999999982"/>
    <n v="60.96"/>
    <n v="100.31284166100014"/>
    <n v="609.67284166100012"/>
  </r>
  <r>
    <x v="2"/>
    <x v="13"/>
    <s v="GE/IM"/>
    <s v="DGE"/>
    <s v="Loan Lauar"/>
    <s v="NA"/>
    <m/>
    <s v="Otimização dos Ativos de Governador Valadares"/>
    <s v="Alienação do imóvel do centro, transferência para o imóvel da Vila Mariana, onde será construída edificação,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m/>
    <m/>
    <m/>
    <m/>
    <n v="34.07"/>
    <m/>
    <n v="82.84"/>
    <n v="116.91"/>
    <m/>
    <m/>
    <m/>
    <m/>
    <m/>
    <m/>
    <m/>
    <n v="102.20399999999999"/>
    <n v="102.20399999999999"/>
    <n v="102.20399999999999"/>
    <n v="102.20399999999999"/>
    <n v="204.40799999999999"/>
    <n v="613.22399999999993"/>
  </r>
  <r>
    <x v="2"/>
    <x v="13"/>
    <s v="GE/IM"/>
    <s v="DGE"/>
    <s v="Samuel Matos"/>
    <s v="NA"/>
    <m/>
    <s v="Otimização dos Ativos de Itajubá"/>
    <s v="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
    <m/>
    <n v="0"/>
    <m/>
    <n v="0"/>
    <n v="0"/>
    <n v="0"/>
    <n v="0"/>
    <n v="0"/>
    <m/>
    <n v="0"/>
    <m/>
    <m/>
    <m/>
    <m/>
    <m/>
    <m/>
    <n v="20"/>
    <n v="60"/>
    <n v="32"/>
    <m/>
    <m/>
    <m/>
    <n v="112"/>
  </r>
  <r>
    <x v="2"/>
    <x v="13"/>
    <s v="GE/IM"/>
    <s v="DGE"/>
    <s v="Samuel Matos"/>
    <s v="GE01118"/>
    <s v="INFR.342.02018"/>
    <s v="Otimização dos Ativos de Lavras para atendimento da Cemig GT"/>
    <s v="Obras para viabilização da transferência da equipe da MG/CS do imóvel locado da Cemig GT, situado na rua Comendador José Esteves, nº 40, para o imóvel próprio da Cemig D, situado na Rua Chagas Doria, nº 95, atualmente ocupado pela MD/VR, visando à_x000a_rescisão do contrato de locação do imóvel da MG/CS, que possui custo mensal de R$ 9 mil e à otimização da ocupação do imóvel da Cemig D. Serão executadas obras na edificação visando  o adequado funcionamento das atividades das gerências locais."/>
    <s v="Não redução de despesa operacional, relativa à locação de imóvel para a Cemig GT, no município de Lavras."/>
    <m/>
    <n v="0"/>
    <m/>
    <m/>
    <m/>
    <m/>
    <n v="15"/>
    <n v="20"/>
    <n v="46"/>
    <n v="81"/>
    <m/>
    <m/>
    <m/>
    <m/>
    <m/>
    <m/>
    <n v="116.699"/>
    <n v="108.699"/>
    <n v="137.39699999999999"/>
    <n v="206.096"/>
    <n v="137.39699999999999"/>
    <m/>
    <n v="706.28800000000001"/>
  </r>
  <r>
    <x v="2"/>
    <x v="13"/>
    <s v="GE/IM"/>
    <s v="DGE"/>
    <s v="Evandro Jardim"/>
    <s v="NA"/>
    <m/>
    <s v="Otimização dos Ativos de Montes Claros"/>
    <s v="Alienação do compartilhado e transferência das atividades para o imóvel situado no bairro Vila Mauricéia e locação de imóvel para agência. Adequação do imóvel para recebimento da equipe."/>
    <s v="Não cumprimento do Acordo de Metas da Iniciativa 9 do Programa de Adequação da Cemig D ao Regulatório, a qual prevê a obtenção de receita com a alienação de imóvel inservível, e à redução de despesas operacionais."/>
    <m/>
    <n v="0"/>
    <m/>
    <m/>
    <m/>
    <m/>
    <m/>
    <m/>
    <n v="50"/>
    <n v="50"/>
    <m/>
    <m/>
    <m/>
    <m/>
    <m/>
    <m/>
    <m/>
    <n v="35"/>
    <n v="35"/>
    <n v="70"/>
    <n v="70"/>
    <n v="105"/>
    <n v="315"/>
  </r>
  <r>
    <x v="2"/>
    <x v="13"/>
    <s v="GE/IM"/>
    <s v="DGE"/>
    <s v="Loan Lauar"/>
    <s v="NA"/>
    <m/>
    <s v="Otimização dos Ativos de Passos"/>
    <s v="Obra de adequação do imóvel compartilhado e alienação de parte do terreno do imóvel compartilhado."/>
    <s v="Não cumprimento do Acordo de Metas da Iniciativa 9 do Programa de Adequação da Cemig D ao Regulatório, a qual prevê a obtenção de receita com a alienação de imóvel inservível, e à redução de despesas operacionais."/>
    <m/>
    <n v="0"/>
    <m/>
    <n v="0"/>
    <m/>
    <m/>
    <m/>
    <m/>
    <m/>
    <n v="0"/>
    <m/>
    <n v="50"/>
    <m/>
    <m/>
    <m/>
    <m/>
    <n v="90"/>
    <m/>
    <m/>
    <m/>
    <m/>
    <m/>
    <n v="140"/>
  </r>
  <r>
    <x v="2"/>
    <x v="13"/>
    <s v="GE/IM"/>
    <s v="DGE"/>
    <s v="Loan Lauar"/>
    <s v="NA"/>
    <m/>
    <s v="Otimização dos Ativos de Patrocínio"/>
    <s v="Alienação do imóvel próprio, construção de edificação na SE e locação de agência de atendimento."/>
    <s v="Não cumprimento do Acordo de Metas da Iniciativa 9 do Programa de Adequação da Cemig D ao Regulatório, a qual prevê a obtenção de receita com a alienação de imóvel inservível, e à redução de despesas operacionais."/>
    <m/>
    <n v="0"/>
    <m/>
    <m/>
    <m/>
    <m/>
    <m/>
    <m/>
    <n v="50"/>
    <n v="50"/>
    <m/>
    <m/>
    <m/>
    <n v="91.322000000000003"/>
    <n v="101.762"/>
    <n v="95"/>
    <m/>
    <m/>
    <m/>
    <m/>
    <m/>
    <m/>
    <n v="288.084"/>
  </r>
  <r>
    <x v="2"/>
    <x v="13"/>
    <s v="GE/IM"/>
    <s v="DGE"/>
    <s v="Loan Lauar"/>
    <s v="NA"/>
    <m/>
    <s v="Otimização dos Ativos de Três Corações"/>
    <s v="Alienação do imóvel compartilhado, construção na SE e locação de imóvel para agência de atendimento."/>
    <s v="Não cumprimento do Acordo de Metas da Iniciativa 9 do Programa de Adequação da Cemig D ao Regulatório, a qual prevê a obtenção de receita com a alienação de imóvel inservível, e à redução de despesas operacionais."/>
    <m/>
    <n v="0"/>
    <m/>
    <m/>
    <m/>
    <m/>
    <m/>
    <m/>
    <m/>
    <n v="0"/>
    <m/>
    <n v="30"/>
    <m/>
    <n v="71"/>
    <m/>
    <m/>
    <m/>
    <m/>
    <m/>
    <m/>
    <m/>
    <m/>
    <n v="101"/>
  </r>
  <r>
    <x v="2"/>
    <x v="13"/>
    <s v="GE/IM"/>
    <s v="DGE"/>
    <s v="Loan Lauar"/>
    <s v="NA"/>
    <m/>
    <s v="Otimização dos Ativos de Varginha"/>
    <s v="Alienação do imóvel do centro, obras de adequação da SE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m/>
    <m/>
    <m/>
    <m/>
    <m/>
    <m/>
    <m/>
    <n v="0"/>
    <m/>
    <n v="39.462000000000003"/>
    <m/>
    <n v="92.078000000000003"/>
    <m/>
    <m/>
    <m/>
    <m/>
    <n v="87.144999999999996"/>
    <n v="87.144999999999996"/>
    <n v="174.29"/>
    <n v="174.29"/>
    <n v="654.41"/>
  </r>
  <r>
    <x v="2"/>
    <x v="13"/>
    <s v="SC"/>
    <s v="DGE"/>
    <s v="Flávio Henrique Silva Rosário"/>
    <s v="NA"/>
    <m/>
    <s v="Q14/P2 e 3 e P2/Adelaide - Obra de recuperação estrutural e instalações"/>
    <s v="Obra de instalação do sistema de combate a incêndio, Sistema de Proteção conta Descargas Atmosféricas - SPDA e substituição de telhado."/>
    <s v="Infiltração do telhado podendo avariar equipamentos e materiais; segurança em relação a combate a incêndio, SPDA e instalações elétricas"/>
    <s v="Alongamento da curva de desembolso, para atendimento à demanda financeira da empresa. Além disso, está sendo elaborada pelo SC ata de registro de preços para obras, a fim de viabilizar execução dos trabalhos a partir de 2018."/>
    <n v="0"/>
    <m/>
    <m/>
    <m/>
    <m/>
    <m/>
    <m/>
    <m/>
    <n v="0"/>
    <m/>
    <m/>
    <m/>
    <m/>
    <m/>
    <m/>
    <m/>
    <m/>
    <m/>
    <m/>
    <m/>
    <n v="369"/>
    <n v="369"/>
  </r>
  <r>
    <x v="2"/>
    <x v="13"/>
    <s v="SC"/>
    <s v="DGE"/>
    <s v="Flávio Henrique Silva Rosário"/>
    <s v="NA"/>
    <m/>
    <s v="Reforma total e impermeabilização do telhado do imóvel Q3 - Bloco A e B - Agência de Atendimento"/>
    <s v="Desintalação e remoção do telhado existente e troca total por telhado metálico novo e impermeabilização de áreas abertas."/>
    <s v="Infiltração do telhado podendo avariar equipamentos e materiais; segurança em relação a combate a incêndio, SPDA e instalações elétricas"/>
    <m/>
    <n v="0"/>
    <m/>
    <m/>
    <m/>
    <m/>
    <m/>
    <m/>
    <m/>
    <n v="0"/>
    <n v="10"/>
    <n v="10"/>
    <m/>
    <m/>
    <m/>
    <m/>
    <m/>
    <m/>
    <m/>
    <m/>
    <m/>
    <m/>
    <n v="20"/>
  </r>
  <r>
    <x v="2"/>
    <x v="13"/>
    <s v="SC"/>
    <s v="DGE"/>
    <s v="DANILO SOARES DA SILVA "/>
    <s v="SC00718"/>
    <s v="INFR.342.02518"/>
    <s v="Registrador eletrônico de ponto"/>
    <m/>
    <m/>
    <m/>
    <n v="0"/>
    <m/>
    <n v="16"/>
    <m/>
    <m/>
    <m/>
    <m/>
    <m/>
    <n v="16"/>
    <m/>
    <m/>
    <m/>
    <m/>
    <m/>
    <m/>
    <m/>
    <m/>
    <m/>
    <m/>
    <m/>
    <m/>
    <n v="0"/>
  </r>
  <r>
    <x v="2"/>
    <x v="13"/>
    <s v="GE/IM"/>
    <s v="DGE"/>
    <s v="Francely Duarte Sales Marques dos Santos _x000a__x000a_Rodrigo Elias S.  Santos"/>
    <s v="NA"/>
    <m/>
    <s v="Regularização de Pendência com Imóveis - Distribuição"/>
    <s v="Casos Atípicos - Qualquer solicitação que fuja das atividades rotineiras. Ex.: Solicitação de indenização para empreendimento já construído, Averbação de Servidão existente, Solicitação de indenização por danos em imóveis de terceiros."/>
    <s v="Processos Judiciais, insatisfação do cliente, aumento de gastos para empresas."/>
    <m/>
    <n v="0"/>
    <m/>
    <m/>
    <m/>
    <m/>
    <m/>
    <m/>
    <n v="60"/>
    <n v="60"/>
    <m/>
    <m/>
    <m/>
    <m/>
    <m/>
    <m/>
    <m/>
    <m/>
    <m/>
    <m/>
    <m/>
    <n v="60"/>
    <n v="60"/>
  </r>
  <r>
    <x v="2"/>
    <x v="13"/>
    <s v="SC"/>
    <s v="DGE"/>
    <s v="Daniel Bretas (31-35062945)"/>
    <s v="NA"/>
    <m/>
    <s v="SÃO JOÃO DEL REI - SUBSTITUIÇÃO DE TELHADO  "/>
    <s v="SUBSTITUIÇÃO COMPLETA DE TELHADO  "/>
    <s v="Aumento nos custos de manutenção (despesa operacional), danos a bens da Companhia quando de chuvas e vazamento dentro da instalação, impacto direto no clima organizacional com a insatisfação e reclamação dos empregados"/>
    <m/>
    <n v="0"/>
    <m/>
    <m/>
    <m/>
    <m/>
    <m/>
    <m/>
    <m/>
    <n v="0"/>
    <m/>
    <m/>
    <m/>
    <m/>
    <m/>
    <m/>
    <m/>
    <m/>
    <m/>
    <m/>
    <m/>
    <n v="250"/>
    <n v="250"/>
  </r>
  <r>
    <x v="2"/>
    <x v="13"/>
    <s v="SC"/>
    <s v="DGE"/>
    <s v="Flávio Henrique Silva Rosário"/>
    <s v="NA"/>
    <m/>
    <s v="Substituição do sistema de abastecimento de água das unidades AR, CI, IT e SE-NA"/>
    <s v="Substituição de toda a malha hidráulica dos prédios dentro das unidades AR, CI, IT e SE-NA dentro dos novos padrões de mercado e de produto"/>
    <s v="Rompimento de tubulações; interrupção de abastecimento em local de trabalho; contaminação em água potável; atendimentos emergenciais aos vazamentos; dificuldade para manutenção; impacto em outros sistemas construtivos, aumentando custo de manutenção"/>
    <s v="Alongamento da curva de desembolso, para atendimento à demanda financeira da empresa. Além disso, está sendo elaborada pelo SC ata de registro de preços para obras, a fim de viabilizar execução dos trabalhos a partir de 2018."/>
    <n v="0"/>
    <m/>
    <m/>
    <m/>
    <m/>
    <m/>
    <m/>
    <m/>
    <n v="0"/>
    <m/>
    <m/>
    <m/>
    <m/>
    <m/>
    <m/>
    <m/>
    <m/>
    <n v="40"/>
    <n v="48"/>
    <n v="50"/>
    <n v="55"/>
    <n v="193"/>
  </r>
  <r>
    <x v="2"/>
    <x v="13"/>
    <s v="GE/IM"/>
    <s v="DGE"/>
    <s v="Samuel Matos"/>
    <s v="NA"/>
    <m/>
    <s v="Transferência de Base Operativa da MD/MM do Itambé para o Anel Rodoviário e Barro Preto (Projeto de Centralização Administrativa)"/>
    <s v="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
    <s v="Não cumprimento de meta estabelecida no Projeto de Centralização Administrativa da Cemig no Edifício Aureliano Chaves, relativa à obtenção de receita com a alienação do prédio Itambé. "/>
    <m/>
    <n v="0"/>
    <m/>
    <m/>
    <m/>
    <m/>
    <m/>
    <m/>
    <n v="48"/>
    <n v="48"/>
    <m/>
    <m/>
    <m/>
    <m/>
    <m/>
    <m/>
    <n v="68.698999999999998"/>
    <m/>
    <m/>
    <m/>
    <m/>
    <m/>
    <n v="68.698999999999998"/>
  </r>
  <r>
    <x v="2"/>
    <x v="13"/>
    <s v="SC"/>
    <s v="DGE"/>
    <s v="Daniel Bretas (31-35062945)"/>
    <s v="NA"/>
    <m/>
    <s v="UBERLÂNDIA - SUBSTITUIÇÃO TELHADO NO CRIU"/>
    <s v="SUBSTITUIÇÃO DO TELHADO EXISTENTE, QUE ESTÁ MUITO DANIFICADO - BLOCO B, COMPREENDIDO PELA OFICINA, EQUIPES DA MD/UL, SA/SE E TI/TC"/>
    <s v="Aumento nos custos de manutenção (despesa operacional), danos a bens da Companhia quando de chuvas e vazamento dentro da instalação, impacto direto no clima organizacional com a insatisfação e reclamação dos empregados"/>
    <s v="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
    <n v="0"/>
    <m/>
    <m/>
    <m/>
    <m/>
    <m/>
    <m/>
    <n v="7"/>
    <n v="7"/>
    <m/>
    <n v="93"/>
    <n v="100"/>
    <n v="100"/>
    <n v="100"/>
    <m/>
    <m/>
    <m/>
    <m/>
    <m/>
    <m/>
    <m/>
    <n v="393"/>
  </r>
  <r>
    <x v="2"/>
    <x v="15"/>
    <s v="TI/TC"/>
    <s v="DGE"/>
    <s v="Francisco Elson"/>
    <s v="NA"/>
    <s v="-"/>
    <s v="ALMENARA E OURO PRETO - CENTRAL TELEFÔNICA PARA INSTALAÇAO DDR"/>
    <s v="AQUISIÇÃO E INSTALAÇAO DE DDR NA CENTRAL TELEFÔNICA "/>
    <s v="Continuidade de gastos em despesa operacional com custo mensal de Recepcionista para atendimento telefônico"/>
    <m/>
    <n v="0"/>
    <n v="0"/>
    <n v="0"/>
    <n v="0"/>
    <n v="100"/>
    <s v="                         -  "/>
    <n v="300"/>
    <s v="                         -  "/>
    <n v="400"/>
    <n v="0"/>
    <n v="0"/>
    <n v="0"/>
    <n v="0"/>
    <n v="0"/>
    <n v="0"/>
    <n v="0"/>
    <n v="0"/>
    <n v="0"/>
    <n v="0"/>
    <n v="0"/>
    <n v="0"/>
    <n v="0"/>
  </r>
  <r>
    <x v="2"/>
    <x v="15"/>
    <s v="TI/TC"/>
    <s v="DGE"/>
    <s v="Luciano Nunes"/>
    <s v="TI02918"/>
    <s v="TINV.18.D.054.SG"/>
    <s v="Atendimento de Telecom da Base Operativa do São Gabriel"/>
    <s v="Aquisição de uma central telefônica para migração do Sistema de Telecomunicações da Sala de Telecomunicações para a Sala de Telefonia."/>
    <s v="Perda do Sistema de Telefonia para os usuários do São Gabriel e/ou multa contratual"/>
    <m/>
    <n v="0"/>
    <n v="367"/>
    <n v="0"/>
    <n v="0"/>
    <n v="0"/>
    <n v="0"/>
    <n v="0"/>
    <n v="0"/>
    <n v="367"/>
    <n v="0"/>
    <n v="0"/>
    <n v="0"/>
    <n v="0"/>
    <n v="0"/>
    <n v="0"/>
    <n v="0"/>
    <n v="0"/>
    <n v="0"/>
    <n v="0"/>
    <n v="0"/>
    <n v="0"/>
    <n v="0"/>
  </r>
  <r>
    <x v="2"/>
    <x v="15"/>
    <s v="TI/TC"/>
    <s v="DGE"/>
    <s v="Francisco Elson"/>
    <s v="NA"/>
    <s v="-"/>
    <s v="Bancos de Baterias da Distribuidora"/>
    <s v="Aquisição de conjuntos de Bancos de Baterias da Distribuidora para estações de comunicação"/>
    <s v="Perda de comunicação por falta de alimentação comercial, penalidades previstas em copntrato"/>
    <m/>
    <n v="0"/>
    <n v="0"/>
    <n v="12.346"/>
    <m/>
    <n v="0"/>
    <n v="12.346"/>
    <n v="0"/>
    <n v="0"/>
    <n v="24.692"/>
    <n v="0"/>
    <n v="0"/>
    <n v="0"/>
    <n v="0"/>
    <n v="0"/>
    <n v="0"/>
    <n v="0"/>
    <n v="0"/>
    <n v="0"/>
    <n v="0"/>
    <n v="0"/>
    <n v="38.408999999999999"/>
    <n v="38.408999999999999"/>
  </r>
  <r>
    <x v="2"/>
    <x v="15"/>
    <s v="TI/TC"/>
    <s v="DGE"/>
    <s v="Francisco Elson"/>
    <s v="NA"/>
    <s v="-"/>
    <s v="Centrais Telefônicas da Distribuidora"/>
    <s v="Aquisição de Centrais Telefônicas da Distribuidora"/>
    <s v="Falha de comunicação com as equipes regionais, aumento do custo de O&amp;M"/>
    <m/>
    <n v="0"/>
    <n v="0"/>
    <n v="0"/>
    <n v="0"/>
    <n v="0"/>
    <n v="62.261200000000002"/>
    <n v="0"/>
    <n v="0"/>
    <n v="62.261200000000002"/>
    <n v="0"/>
    <n v="0"/>
    <n v="0"/>
    <n v="0"/>
    <n v="0"/>
    <n v="0"/>
    <n v="0"/>
    <n v="0"/>
    <n v="0"/>
    <n v="0"/>
    <n v="0"/>
    <n v="265.02199999999999"/>
    <n v="265.02199999999999"/>
  </r>
  <r>
    <x v="2"/>
    <x v="15"/>
    <s v="TI/TC"/>
    <s v="DGE"/>
    <s v="Francisco Elson"/>
    <s v="NA"/>
    <s v="-"/>
    <s v="Equipamentos de Linha Óptica da Distribuidora"/>
    <s v="Aquisição de Equipamentos de Linha Óptica da Distribuidora para estações de comunicação"/>
    <s v="Perda de comunicação por falta de alimentação comercial, penalidades previstas em copntrato"/>
    <m/>
    <n v="0"/>
    <n v="0"/>
    <n v="17.946000000000002"/>
    <n v="0"/>
    <n v="0"/>
    <n v="0"/>
    <n v="0"/>
    <n v="0"/>
    <n v="17.946000000000002"/>
    <n v="0"/>
    <n v="0"/>
    <n v="0"/>
    <n v="0"/>
    <n v="0"/>
    <n v="0"/>
    <n v="0"/>
    <n v="0"/>
    <n v="0"/>
    <n v="0"/>
    <n v="0"/>
    <n v="27.916"/>
    <n v="27.916"/>
  </r>
  <r>
    <x v="2"/>
    <x v="15"/>
    <s v="TI/TC"/>
    <s v="DGE"/>
    <s v="Francisco Elson"/>
    <s v="NA1"/>
    <s v="-"/>
    <s v="Ferramentas manual da Distribuidora"/>
    <s v="Aquisição Ferramentas manual da Distribuidora para suporte e manutenação em estações de comunicação"/>
    <s v="Aumento de tempo de reparo, riscos ergométricos"/>
    <m/>
    <n v="0"/>
    <n v="0"/>
    <n v="0.46800000000000003"/>
    <n v="0"/>
    <n v="0"/>
    <n v="0"/>
    <n v="0"/>
    <n v="0"/>
    <n v="0.46800000000000003"/>
    <n v="0"/>
    <n v="0"/>
    <n v="0"/>
    <n v="0"/>
    <n v="0"/>
    <n v="0"/>
    <n v="0"/>
    <n v="0"/>
    <n v="0"/>
    <n v="0"/>
    <n v="0"/>
    <n v="0.72799999999999998"/>
    <n v="0.72799999999999998"/>
  </r>
  <r>
    <x v="2"/>
    <x v="15"/>
    <s v="TI/TC"/>
    <s v="DGE"/>
    <s v="Francisco Elson"/>
    <s v="NA"/>
    <s v="-"/>
    <s v="Fontes de Alimentação da Distribuidora"/>
    <s v="Fontes de Alimentação da Distribuidora"/>
    <s v="Perda de comunicação por falta de alimentação comercial, penalidades previstas em copntrato"/>
    <m/>
    <n v="0"/>
    <n v="0"/>
    <n v="16.963000000000001"/>
    <n v="0"/>
    <n v="0"/>
    <n v="0"/>
    <n v="0"/>
    <n v="0"/>
    <n v="16.963000000000001"/>
    <n v="0"/>
    <n v="0"/>
    <n v="0"/>
    <n v="0"/>
    <n v="0"/>
    <n v="0"/>
    <n v="0"/>
    <n v="0"/>
    <n v="0"/>
    <n v="0"/>
    <n v="0"/>
    <n v="26.387"/>
    <n v="26.387"/>
  </r>
  <r>
    <x v="2"/>
    <x v="15"/>
    <s v="TI/TC"/>
    <s v="DGE"/>
    <s v="Francisco Elson"/>
    <s v="NA"/>
    <s v="-"/>
    <s v="Instrumentos da Distribuidora"/>
    <s v="Aquisição de Instrumentos da Distribuidora  para suporte e manutenção em estações de comunicação"/>
    <s v="Auemento do tempo de reparo, risco de queima de equipamentos por uso de instrumentos inadequados"/>
    <m/>
    <n v="0"/>
    <n v="0"/>
    <n v="13.95"/>
    <m/>
    <n v="0"/>
    <n v="13.95"/>
    <n v="0"/>
    <n v="0"/>
    <n v="27.9"/>
    <n v="0"/>
    <n v="0"/>
    <n v="0"/>
    <n v="0"/>
    <n v="0"/>
    <n v="0"/>
    <n v="0"/>
    <n v="0"/>
    <n v="0"/>
    <n v="0"/>
    <n v="0"/>
    <n v="43.399000000000001"/>
    <n v="43.399000000000001"/>
  </r>
  <r>
    <x v="2"/>
    <x v="15"/>
    <s v="TI/TC"/>
    <s v="DGE"/>
    <s v="Francisco Elson"/>
    <s v="NA"/>
    <s v="-"/>
    <s v="Multiplexadores da Distribuidora"/>
    <s v="Aquisição de Multiplexadores da Distribuidora para estações de comunicação"/>
    <s v="Perda de comunicação por falta de alimentação comercial, penalidades previstas em copntrato"/>
    <m/>
    <n v="0"/>
    <n v="0"/>
    <n v="35"/>
    <m/>
    <n v="0"/>
    <n v="34.883000000000003"/>
    <n v="0"/>
    <n v="0"/>
    <n v="69.88300000000001"/>
    <n v="0"/>
    <n v="0"/>
    <n v="0"/>
    <n v="0"/>
    <n v="0"/>
    <n v="0"/>
    <n v="0"/>
    <n v="0"/>
    <n v="0"/>
    <n v="0"/>
    <n v="0"/>
    <n v="108.526"/>
    <n v="108.526"/>
  </r>
  <r>
    <x v="2"/>
    <x v="15"/>
    <s v="TI/TC"/>
    <s v="DGE"/>
    <s v="Luciano Nunes"/>
    <s v="TI03118"/>
    <s v="TINV.18.D.054.PS"/>
    <s v="Projeto Sigma - Substituição dos Gateways Mediant 1000"/>
    <s v="Possibilitar a continuidade dos serviços de voz dos escritórios da Cemig Distribuição com o sistema de telefonia adquirido da CEMIGTelecom."/>
    <s v="Aumento de Opex com serviços de reparos e manutenção dos atuais equipamentos (Gateways Mediant 1000)."/>
    <m/>
    <n v="0"/>
    <n v="0"/>
    <n v="0"/>
    <n v="0"/>
    <n v="43.06"/>
    <n v="64.864800000000002"/>
    <n v="0"/>
    <n v="0"/>
    <n v="107.9248"/>
    <m/>
    <m/>
    <m/>
    <m/>
    <m/>
    <m/>
    <m/>
    <m/>
    <m/>
    <m/>
    <m/>
    <m/>
    <n v="0"/>
  </r>
  <r>
    <x v="2"/>
    <x v="15"/>
    <s v="TI/TC"/>
    <s v="DGE"/>
    <s v="Francisco Elson"/>
    <s v="TI05918"/>
    <s v="TINV.18.D.054.RO"/>
    <s v="Redes Ópticas da Distribuidora"/>
    <s v="Construção de Redes Ópticas da Distribuidora para interligação ao backbone de comunicação e redução de alugueis de links"/>
    <s v="Perda de comunicação por falta de alimentação comercial, penalidades previstas em copntrato"/>
    <m/>
    <n v="0"/>
    <m/>
    <n v="0"/>
    <n v="0"/>
    <n v="1755"/>
    <n v="0"/>
    <n v="1170"/>
    <n v="0"/>
    <n v="2925"/>
    <n v="0"/>
    <n v="0"/>
    <n v="0"/>
    <n v="0"/>
    <n v="0"/>
    <n v="2000"/>
    <n v="0"/>
    <n v="0"/>
    <n v="0"/>
    <n v="0"/>
    <n v="0"/>
    <n v="2550"/>
    <n v="4550"/>
  </r>
  <r>
    <x v="2"/>
    <x v="15"/>
    <s v="TI/TC"/>
    <s v="DGE"/>
    <s v="Francisco Elson"/>
    <s v="NA"/>
    <s v="-"/>
    <s v="Remotas de Telecontrole da Distribuidora"/>
    <s v="Aquisição de Remotas de Telecontrole da Distribuidora para estações de comunicação"/>
    <s v="Perda de comunicação por falta de alimentação comercial, penalidades previstas em copntrato"/>
    <m/>
    <n v="0"/>
    <m/>
    <n v="0"/>
    <n v="8.4369999999999994"/>
    <n v="0"/>
    <n v="0"/>
    <n v="0"/>
    <n v="0"/>
    <n v="8.4369999999999994"/>
    <n v="0"/>
    <n v="0"/>
    <n v="0"/>
    <n v="0"/>
    <n v="0"/>
    <n v="0"/>
    <n v="0"/>
    <n v="0"/>
    <n v="0"/>
    <n v="0"/>
    <n v="0"/>
    <n v="13.124000000000001"/>
    <n v="13.124000000000001"/>
  </r>
  <r>
    <x v="2"/>
    <x v="15"/>
    <s v="TI/TC"/>
    <s v="DGE"/>
    <s v="Francisco Elson"/>
    <s v="NA"/>
    <s v="-"/>
    <s v="Sistemas de Ar Condicionado da Distribuidora"/>
    <s v="Aquisição de Sistemas de Ar Condicionado da Distribuidora para estações de comunicação"/>
    <s v="Queima dos equipametos de comunicaçõ por temperatura alta nas estações de comunicação"/>
    <m/>
    <n v="0"/>
    <n v="0"/>
    <n v="14"/>
    <m/>
    <n v="0"/>
    <n v="15.228"/>
    <n v="0"/>
    <n v="0"/>
    <n v="29.228000000000002"/>
    <n v="0"/>
    <n v="0"/>
    <n v="0"/>
    <n v="0"/>
    <n v="0"/>
    <n v="0"/>
    <n v="0"/>
    <n v="0"/>
    <n v="0"/>
    <n v="0"/>
    <n v="0"/>
    <n v="45.465000000000003"/>
    <n v="45.465000000000003"/>
  </r>
  <r>
    <x v="2"/>
    <x v="15"/>
    <s v="TI/IO"/>
    <s v="DGE"/>
    <s v="Tiago Leite"/>
    <s v="NA"/>
    <s v="-"/>
    <s v="Sistemas de Ar Condicionado SEs"/>
    <m/>
    <m/>
    <m/>
    <m/>
    <m/>
    <m/>
    <m/>
    <m/>
    <m/>
    <m/>
    <n v="42.9"/>
    <n v="42.9"/>
    <m/>
    <m/>
    <m/>
    <m/>
    <m/>
    <m/>
    <m/>
    <m/>
    <m/>
    <m/>
    <m/>
    <m/>
    <n v="0"/>
  </r>
  <r>
    <x v="2"/>
    <x v="15"/>
    <s v="TI/TC"/>
    <s v="DGE"/>
    <s v="Francisco Elson"/>
    <s v="NA"/>
    <s v="-"/>
    <s v="Sistemas de Balisamento Noturno da Distribuidora"/>
    <s v="Aquisição de Sistemas de Balisamento Noturno da Distribuidora para estações de comunicação"/>
    <s v="Colisão de aeronaves, multas pelos órgãos competentes"/>
    <m/>
    <n v="0"/>
    <n v="0"/>
    <n v="0.9"/>
    <n v="0"/>
    <n v="0"/>
    <n v="0"/>
    <n v="0"/>
    <n v="0"/>
    <n v="0.9"/>
    <n v="0"/>
    <n v="0"/>
    <n v="0"/>
    <n v="0"/>
    <n v="0"/>
    <n v="0"/>
    <n v="0"/>
    <n v="0"/>
    <n v="0"/>
    <n v="0"/>
    <n v="0"/>
    <n v="1.4"/>
    <n v="1.4"/>
  </r>
  <r>
    <x v="2"/>
    <x v="15"/>
    <s v="TI/TC"/>
    <s v="DGE"/>
    <s v="Francisco Elson"/>
    <s v="NA"/>
    <s v="-"/>
    <s v="Sistemas Rádios da Distribuidora"/>
    <s v="Aquisição de Sistemas Rádios da Distribuidora para estações de comunicação"/>
    <s v="Perda de comunicação por falta de alimentação comercial, penalidades previstas em copntrato"/>
    <m/>
    <n v="0"/>
    <n v="0"/>
    <n v="0"/>
    <n v="53.244999999999997"/>
    <n v="0"/>
    <n v="0"/>
    <n v="0"/>
    <n v="0"/>
    <n v="53.244999999999997"/>
    <n v="0"/>
    <n v="0"/>
    <n v="0"/>
    <n v="0"/>
    <n v="0"/>
    <n v="0"/>
    <n v="0"/>
    <n v="0"/>
    <n v="0"/>
    <n v="0"/>
    <n v="0"/>
    <n v="82.825999999999993"/>
    <n v="82.825999999999993"/>
  </r>
  <r>
    <x v="2"/>
    <x v="16"/>
    <s v="TI/IO"/>
    <s v="DDC"/>
    <s v="Carlos Araújo"/>
    <s v="NA"/>
    <s v="-"/>
    <s v="Aquisição Berço"/>
    <s v="Equipamento para leitura de consumo dos cosumidores do mercado cativo"/>
    <s v="Não faturamento, afetando diretamente o caixa da empresa_x000a_Descomprimento da regulação - Multa"/>
    <m/>
    <n v="0"/>
    <n v="0"/>
    <n v="0"/>
    <n v="0"/>
    <n v="0"/>
    <n v="0"/>
    <n v="0"/>
    <n v="0"/>
    <n v="0"/>
    <n v="0"/>
    <n v="0"/>
    <n v="0"/>
    <m/>
    <n v="0"/>
    <n v="0"/>
    <n v="0"/>
    <n v="1000"/>
    <n v="0"/>
    <n v="0"/>
    <n v="0"/>
    <n v="0"/>
    <n v="1000"/>
  </r>
  <r>
    <x v="2"/>
    <x v="16"/>
    <s v="TI/SI"/>
    <s v="DGE"/>
    <s v="Roberto Proença"/>
    <s v="TI01816"/>
    <s v="TINV.16.D.045.TB"/>
    <s v="Aquisição de Equipamento Móvel para Inspeção de Rede"/>
    <s v="Aquisição de equipamento móvel (tablets) para inspeção, desenho de projetos e recebimento de obras de rede distribuição em campo."/>
    <s v="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
    <m/>
    <n v="0"/>
    <n v="0"/>
    <m/>
    <n v="0"/>
    <n v="0"/>
    <n v="0"/>
    <n v="0"/>
    <n v="0"/>
    <n v="0"/>
    <n v="0"/>
    <n v="0"/>
    <n v="280"/>
    <n v="0"/>
    <n v="0"/>
    <n v="0"/>
    <n v="0"/>
    <n v="0"/>
    <n v="0"/>
    <n v="0"/>
    <n v="0"/>
    <n v="0"/>
    <n v="280"/>
  </r>
  <r>
    <x v="2"/>
    <x v="16"/>
    <s v="TI/IO"/>
    <s v="DDC"/>
    <s v="Carlos Araújo"/>
    <s v="NA"/>
    <s v="-"/>
    <s v="Aquisição Impressora LES"/>
    <s v="Equipamento para leitura de consumo dos cosumidores do mercado cativo"/>
    <s v="Não faturamento, afetando diretamente o caixa da empresa_x000a_Descomprimento da regulação - Multa"/>
    <m/>
    <n v="0"/>
    <n v="0"/>
    <n v="0"/>
    <n v="0"/>
    <n v="0"/>
    <n v="0"/>
    <n v="0"/>
    <n v="0"/>
    <n v="0"/>
    <n v="0"/>
    <n v="0"/>
    <n v="0"/>
    <m/>
    <n v="0"/>
    <n v="0"/>
    <n v="0"/>
    <n v="4000"/>
    <n v="0"/>
    <n v="0"/>
    <n v="0"/>
    <n v="0"/>
    <n v="4000"/>
  </r>
  <r>
    <x v="2"/>
    <x v="16"/>
    <s v="TI/IO"/>
    <s v="DDC"/>
    <s v="Carlos Araújo"/>
    <s v="NA"/>
    <s v="-"/>
    <s v="Aquisição Microcoletores"/>
    <s v="Equipamento para leitura de consumo dos cosumidores do mercado cativo"/>
    <s v="Não faturamento, afetando diretamente o caixa da empresa_x000a_Descomprimento da regulação - Multa"/>
    <m/>
    <n v="0"/>
    <n v="0"/>
    <n v="0"/>
    <n v="0"/>
    <n v="0"/>
    <n v="0"/>
    <n v="0"/>
    <n v="0"/>
    <n v="0"/>
    <n v="0"/>
    <n v="0"/>
    <n v="0"/>
    <m/>
    <n v="0"/>
    <n v="0"/>
    <n v="0"/>
    <n v="10000"/>
    <n v="0"/>
    <n v="0"/>
    <n v="0"/>
    <n v="0"/>
    <n v="10000"/>
  </r>
  <r>
    <x v="2"/>
    <x v="16"/>
    <s v="TI/IO"/>
    <s v="DGE"/>
    <s v="Carlos Araújo"/>
    <s v="TI04318"/>
    <s v="TINV.18.D.045.MP"/>
    <s v="Modernização do Parque Microinformática (CORPORATIVO) D"/>
    <s v="O projeto de modernização do parque de microinformática refere-se à aquisição de ativos de hardware e software para atendimento ao chamado kit empregado. Em virtude da alta variação do dólar observada ao longo de 2015, o balizamento de preços demonstrou-se inferior à expectativa dos licitantes para lotes específicos, resultando no fracasso de dois pregões eletrônicos (cerca de 30% do quantitativo previsto para aquisição no corrente ano). Ressalta-se, assim, que a taxa de obsolescência do parque em 2016 manter-se-á em patamar extremamente elevado, alcançando cerca de 50% do ativo."/>
    <s v="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
    <m/>
    <n v="0"/>
    <n v="0"/>
    <n v="0"/>
    <n v="4184"/>
    <n v="0"/>
    <n v="0"/>
    <n v="0"/>
    <n v="0"/>
    <n v="4184"/>
    <n v="0"/>
    <n v="0"/>
    <n v="50"/>
    <n v="0"/>
    <n v="0"/>
    <n v="0"/>
    <n v="50"/>
    <n v="0"/>
    <n v="0"/>
    <n v="50"/>
    <n v="0"/>
    <n v="100"/>
    <n v="250"/>
  </r>
  <r>
    <x v="2"/>
    <x v="16"/>
    <s v="TI/IO"/>
    <s v="DGE"/>
    <s v="Carlos Araújo"/>
    <s v="NA"/>
    <s v="-"/>
    <s v="Notebooks Laboratório MS/QL"/>
    <m/>
    <m/>
    <m/>
    <m/>
    <m/>
    <m/>
    <n v="30"/>
    <m/>
    <m/>
    <m/>
    <m/>
    <n v="30"/>
    <m/>
    <m/>
    <m/>
    <m/>
    <m/>
    <m/>
    <m/>
    <m/>
    <m/>
    <m/>
    <m/>
    <n v="6"/>
    <n v="6"/>
  </r>
  <r>
    <x v="2"/>
    <x v="14"/>
    <s v="TI/SI"/>
    <s v="DGE"/>
    <s v="Álisson Costa"/>
    <s v="TI02817"/>
    <s v="TINV.17.D.042.RT"/>
    <s v="Análise e Desenvolvimento Sistema Retrocálculo"/>
    <s v="Contratação dos serviços de desenvolvimento nos ambientes SAP ECC e SAP CCS."/>
    <s v=" Atrasos nos procedimentos e processos das equipes nas áreas de negócio (engenharia e recursos humanos); Multas pelo não atendimento dos compromissos obrigatórios dentro do prazo esperado pelos agentes governamentais."/>
    <m/>
    <n v="599.97772216796875"/>
    <n v="0"/>
    <n v="0"/>
    <n v="0"/>
    <n v="0"/>
    <n v="0"/>
    <n v="0"/>
    <n v="0"/>
    <n v="599.97772216796875"/>
    <n v="0"/>
    <n v="0"/>
    <n v="0"/>
    <n v="0"/>
    <n v="0"/>
    <n v="0"/>
    <n v="0"/>
    <n v="0"/>
    <n v="0"/>
    <n v="0"/>
    <n v="0"/>
    <n v="0"/>
    <n v="0"/>
  </r>
  <r>
    <x v="2"/>
    <x v="14"/>
    <s v="TI/TC"/>
    <s v="DGE"/>
    <s v="Roberto Sebastião"/>
    <s v="NA"/>
    <s v="-"/>
    <s v="Antivirus para 9500 estações de trabalho e servidores"/>
    <s v="Aquisição de licenciamento de _x000a_software Antivirus "/>
    <s v="Infecção de microcomputadores da Cemig, provocando indisponibiloidade e roubo de informações"/>
    <m/>
    <n v="0"/>
    <n v="0"/>
    <n v="0"/>
    <n v="0"/>
    <n v="0"/>
    <n v="0"/>
    <n v="0"/>
    <n v="0"/>
    <n v="0"/>
    <n v="0"/>
    <n v="0"/>
    <n v="0"/>
    <n v="0"/>
    <n v="0"/>
    <n v="0"/>
    <n v="0"/>
    <n v="0"/>
    <n v="0"/>
    <n v="0"/>
    <n v="0"/>
    <n v="0"/>
    <n v="0"/>
  </r>
  <r>
    <x v="2"/>
    <x v="14"/>
    <s v="TI/SI"/>
    <s v="DGE"/>
    <s v="Álisson Costa"/>
    <s v="NA"/>
    <s v="-"/>
    <s v="Aquisição da plataforma de geoprocessamento da ESRI na modalidade ELA"/>
    <s v="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
    <s v="Uso de software não adequado para a geração de informaçãoes ao órgão regulador"/>
    <m/>
    <n v="0"/>
    <n v="0"/>
    <n v="0"/>
    <n v="0"/>
    <n v="0"/>
    <n v="0"/>
    <n v="0"/>
    <n v="0"/>
    <n v="0"/>
    <n v="0"/>
    <n v="0"/>
    <n v="0"/>
    <n v="0"/>
    <n v="0"/>
    <n v="0"/>
    <n v="0"/>
    <n v="0"/>
    <n v="0"/>
    <n v="0"/>
    <n v="300"/>
    <n v="0"/>
    <n v="300"/>
  </r>
  <r>
    <x v="2"/>
    <x v="14"/>
    <s v="TI/IO"/>
    <s v="DGE"/>
    <s v="Carlos Araújo"/>
    <s v="NA"/>
    <s v="-"/>
    <s v="Aquisição de licenças de Sharepoint EPM"/>
    <s v="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
    <s v="Sobre recurso é preciso saber se isso é colocado na conta da casa ou se é algo que devemos aumentar e já inserir no rateio percentual, visto que o SharePoint, assim como EPM, estão com versão 2010 que já não mais recebe atualização. "/>
    <m/>
    <n v="0"/>
    <n v="0"/>
    <n v="0"/>
    <n v="0"/>
    <n v="0"/>
    <n v="0"/>
    <n v="0"/>
    <n v="0"/>
    <n v="0"/>
    <n v="0"/>
    <n v="0"/>
    <n v="1500"/>
    <n v="0"/>
    <n v="0"/>
    <n v="0"/>
    <n v="0"/>
    <n v="0"/>
    <n v="0"/>
    <n v="0"/>
    <n v="0"/>
    <n v="0"/>
    <n v="1500"/>
  </r>
  <r>
    <x v="2"/>
    <x v="14"/>
    <s v="TI/SI"/>
    <s v="DGE"/>
    <s v="Álisson Costa"/>
    <s v="NA"/>
    <s v="-"/>
    <s v="Aquisição de Licenças QlikView"/>
    <s v="Aquisição de novas licenças do softare de painéis de informação - QlikView"/>
    <s v="Falta de licenças para atendimento das áreas solicitantes de painéis de informação."/>
    <m/>
    <n v="0"/>
    <n v="0"/>
    <n v="0"/>
    <n v="0"/>
    <n v="0"/>
    <n v="0"/>
    <n v="0"/>
    <n v="0"/>
    <n v="0"/>
    <n v="0"/>
    <n v="0"/>
    <n v="0"/>
    <n v="0"/>
    <n v="0"/>
    <n v="0"/>
    <n v="0"/>
    <n v="0"/>
    <n v="0"/>
    <n v="0"/>
    <n v="0"/>
    <n v="0"/>
    <n v="0"/>
  </r>
  <r>
    <x v="2"/>
    <x v="14"/>
    <s v="TI/TC"/>
    <s v="DGE"/>
    <s v="Roberto Sebastião"/>
    <s v="TI01118"/>
    <s v="TINV.18.D.054.SO"/>
    <s v="Aquisição de Produtos e Serviços de Segurança da Informação."/>
    <s v="Renovação dos produtos que garantem a segurança da Informação na Cemig; Renovação do Serviço de Operação da Infraestrutura de Segurança de Informação da Cemig; Renovação do serviço de análise de Vulnerabilidade dos sistemas da rede Cemig."/>
    <s v="Descontinuidade de serviços informatizados_x000a_Roubo de informações confidenciais e invasão de redes corporativas"/>
    <m/>
    <n v="1236.459716796875"/>
    <n v="0"/>
    <n v="0"/>
    <n v="0"/>
    <n v="0"/>
    <n v="0"/>
    <n v="0"/>
    <n v="0"/>
    <n v="1236.459716796875"/>
    <n v="0"/>
    <n v="0"/>
    <n v="0"/>
    <n v="0"/>
    <n v="0"/>
    <n v="0"/>
    <n v="0"/>
    <n v="0"/>
    <n v="0"/>
    <n v="0"/>
    <n v="0"/>
    <n v="0"/>
    <n v="0"/>
  </r>
  <r>
    <x v="2"/>
    <x v="14"/>
    <s v="TI/IO"/>
    <s v="DGE"/>
    <s v="Carlos Araújo"/>
    <s v="NA"/>
    <s v="-"/>
    <s v="Aquisição de Servidores x86 "/>
    <s v="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
    <s v="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
    <m/>
    <n v="0"/>
    <n v="0"/>
    <n v="0"/>
    <n v="0"/>
    <n v="0"/>
    <n v="0"/>
    <n v="0"/>
    <n v="0"/>
    <n v="0"/>
    <n v="0"/>
    <n v="0"/>
    <n v="0"/>
    <n v="0"/>
    <n v="0"/>
    <n v="0"/>
    <n v="0"/>
    <n v="0"/>
    <n v="0"/>
    <n v="0"/>
    <n v="0"/>
    <n v="500"/>
    <n v="500"/>
  </r>
  <r>
    <x v="2"/>
    <x v="14"/>
    <s v="TI/TC"/>
    <s v="DGE"/>
    <s v="Francisco Elson"/>
    <s v="NA"/>
    <s v="-"/>
    <s v="Aquisição de software específicos para estudos de enlace e cobertura"/>
    <s v="-"/>
    <s v="-"/>
    <m/>
    <n v="0"/>
    <n v="0"/>
    <n v="0"/>
    <n v="0"/>
    <n v="0"/>
    <n v="0"/>
    <n v="0"/>
    <n v="0"/>
    <n v="0"/>
    <n v="0"/>
    <n v="0"/>
    <n v="0"/>
    <n v="0"/>
    <n v="0"/>
    <n v="0"/>
    <n v="0"/>
    <n v="0"/>
    <n v="0"/>
    <n v="0"/>
    <n v="250"/>
    <n v="0"/>
    <n v="250"/>
  </r>
  <r>
    <x v="2"/>
    <x v="14"/>
    <s v="TI/TC"/>
    <s v="DGE"/>
    <s v="Roberto Sebastião"/>
    <s v="NA"/>
    <s v="-"/>
    <s v="Aquisição do SIEM "/>
    <s v="Solução de Gerenciamento e Correlação de Eventos de Segurança"/>
    <s v="Descumprimento de controles de Auditoria e riscos de ataques em função de não correlação de logs de segurança"/>
    <m/>
    <n v="0"/>
    <n v="0"/>
    <n v="0"/>
    <n v="0"/>
    <n v="0"/>
    <n v="0"/>
    <n v="0"/>
    <n v="0"/>
    <n v="0"/>
    <n v="0"/>
    <n v="0"/>
    <n v="0"/>
    <n v="0"/>
    <n v="0"/>
    <n v="0"/>
    <n v="0"/>
    <n v="0"/>
    <n v="0"/>
    <n v="0"/>
    <n v="0"/>
    <n v="0"/>
    <n v="0"/>
  </r>
  <r>
    <x v="2"/>
    <x v="14"/>
    <s v="TI/SI"/>
    <s v="DDC"/>
    <s v="Álisson Costa"/>
    <s v="NA"/>
    <s v="-"/>
    <s v="Aquisição do Sistema Cyme"/>
    <s v="O projeto consiste na contratação do fornecimento, manutenção e suporte de aplicativos especializados para cálculos e análise de sistemas de distribuição de energia elétrica a serem disponibilizados em rede."/>
    <s v="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_x000a_Descontinuidade dos Dados históricos de demanda, existentes desde 1984, comprometendo a projeção da distribuição espacial da carga e consequente a otimização dos investimentos._x000a_Não otimização da rede implicando em aumento de Perdas Técnicas, investimentos adicionais, violação de Requisitos Regulatórios como DEC, DIC/FIC/DMIC, DRC/DRP, perda de Flexibilidade Operativa._x000a_A atual quantidade de licenças Cyme é insuficiente para permitir a produção adequada das equipes de Planejamento, Operação e Engenharia, ocasionando descumprimento dos prazos regulatórios._x000a_Continuidade do dispêndio de Hh com o processo de obtenção e validação de dados, já que os casos ajustados ficam disponíveis apenas nas estações de trabalho."/>
    <m/>
    <n v="0"/>
    <n v="0"/>
    <n v="0"/>
    <n v="0"/>
    <n v="0"/>
    <n v="0"/>
    <n v="0"/>
    <n v="0"/>
    <n v="0"/>
    <n v="0"/>
    <n v="0"/>
    <n v="0"/>
    <n v="0"/>
    <n v="0"/>
    <n v="0"/>
    <n v="3261"/>
    <n v="0"/>
    <n v="0"/>
    <n v="0"/>
    <n v="0"/>
    <n v="0"/>
    <n v="3261"/>
  </r>
  <r>
    <x v="2"/>
    <x v="14"/>
    <s v="TI/IO"/>
    <s v="DDC"/>
    <s v="Carlos Araújo"/>
    <s v="NA"/>
    <s v="-"/>
    <s v="Aquisição do Software analisador de protocolo. Ex.: ASE2000._x000a__x000a_NOTA - Este software pode ser adquirido dentro do contrato das SECIs. Para isso, há necessidade da solicitação através do gerente para a EA/EP._x000a_"/>
    <s v="Aquisição de 2 licenças de  Software analisador de protocolos Industriais e redes Ethernet industriais_x000a_"/>
    <s v="Contribui para a morosidade na identificação de problemas de integração de equipamentos e conexão via redes de automação das novas SEs."/>
    <m/>
    <n v="0"/>
    <n v="0"/>
    <n v="50"/>
    <n v="0"/>
    <n v="0"/>
    <n v="0"/>
    <n v="0"/>
    <n v="0"/>
    <n v="50"/>
    <n v="0"/>
    <n v="0"/>
    <n v="0"/>
    <n v="0"/>
    <n v="0"/>
    <n v="0"/>
    <n v="0"/>
    <n v="0"/>
    <n v="0"/>
    <n v="0"/>
    <n v="0"/>
    <n v="0"/>
    <n v="0"/>
  </r>
  <r>
    <x v="2"/>
    <x v="14"/>
    <s v="TI/SI"/>
    <s v="DGE"/>
    <s v="Álisson Costa"/>
    <s v="TI04117"/>
    <s v="TINV.17.D.042.RE"/>
    <s v="Aquisição Solução REINF"/>
    <s v="Aquisição da solução para atendimento à obrigação junto à RFB, relativa a Escrituração Fiscal Digital - REINF"/>
    <s v="Descumprimento de obrigações perante órgão federais."/>
    <m/>
    <n v="0"/>
    <n v="0"/>
    <n v="16"/>
    <n v="0"/>
    <n v="0"/>
    <n v="0"/>
    <n v="0"/>
    <n v="0"/>
    <n v="16"/>
    <n v="0"/>
    <n v="0"/>
    <n v="0"/>
    <n v="0"/>
    <n v="0"/>
    <n v="150"/>
    <n v="0"/>
    <n v="0"/>
    <n v="0"/>
    <n v="0"/>
    <n v="0"/>
    <n v="150"/>
    <n v="300"/>
  </r>
  <r>
    <x v="2"/>
    <x v="14"/>
    <s v="TI/SI"/>
    <s v="DGE"/>
    <s v="Álisson Costa"/>
    <s v="NA"/>
    <s v="-"/>
    <s v="Aquisição Solução SAP Mobile"/>
    <s v="Aquisição de solução SAP para o uso e aprovações em dispositivos móveis"/>
    <s v="Falta de usa solução mais moderna para as aprovações gerenciais relativas ao sistema SAP na Cemig."/>
    <m/>
    <n v="0"/>
    <n v="0"/>
    <n v="0"/>
    <n v="0"/>
    <n v="0"/>
    <n v="0"/>
    <n v="0"/>
    <n v="0"/>
    <n v="0"/>
    <n v="0"/>
    <n v="0"/>
    <n v="0"/>
    <n v="0"/>
    <n v="0"/>
    <n v="0"/>
    <n v="0"/>
    <n v="0"/>
    <n v="0"/>
    <n v="0"/>
    <n v="0"/>
    <n v="0"/>
    <n v="0"/>
  </r>
  <r>
    <x v="2"/>
    <x v="14"/>
    <s v="TI/IO"/>
    <s v="DGE"/>
    <s v="Carlos Araújo"/>
    <s v="NA"/>
    <s v="-"/>
    <s v="Aquisição Storage (armazenamento)"/>
    <s v="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
    <s v="Limitação da capacidade de processamento de dados das soluções da empresa. Como ressaltado, trata-se de aplicações de desempenho crítico e que, por essa razão, requerem alto nível de performance. "/>
    <m/>
    <n v="0"/>
    <n v="0"/>
    <n v="0"/>
    <n v="0"/>
    <n v="0"/>
    <n v="0"/>
    <n v="0"/>
    <n v="20000"/>
    <n v="20000"/>
    <n v="0"/>
    <n v="0"/>
    <n v="0"/>
    <n v="0"/>
    <n v="0"/>
    <n v="0"/>
    <n v="0"/>
    <n v="0"/>
    <n v="0"/>
    <n v="0"/>
    <n v="0"/>
    <n v="0"/>
    <n v="0"/>
  </r>
  <r>
    <x v="2"/>
    <x v="14"/>
    <s v="TI/IO"/>
    <s v="DGE"/>
    <s v="Carlos Araújo"/>
    <s v="NA"/>
    <s v="-"/>
    <s v="Aquisição/Upgrade do ambiente de backup "/>
    <s v="Melhoria no ambiente de backup (hardware e software) para atendimento ao crescimento vegetativo e novas aplicações"/>
    <s v="-"/>
    <m/>
    <n v="0"/>
    <n v="0"/>
    <n v="0"/>
    <n v="0"/>
    <n v="0"/>
    <n v="0"/>
    <n v="0"/>
    <n v="0"/>
    <n v="0"/>
    <n v="0"/>
    <n v="0"/>
    <n v="0"/>
    <n v="0"/>
    <n v="0"/>
    <n v="0"/>
    <n v="0"/>
    <n v="0"/>
    <n v="0"/>
    <n v="0"/>
    <n v="0"/>
    <n v="0"/>
    <n v="0"/>
  </r>
  <r>
    <x v="2"/>
    <x v="14"/>
    <s v="TI/SI"/>
    <s v="DGE"/>
    <s v="Álisson Costa"/>
    <s v="TI04718"/>
    <s v="TINV.18.D.042.AG"/>
    <s v="Arquitetura GEO (LayerCast + OpenLayers Cemig)"/>
    <s v="Construção de uma arquitetura para otimização de camadas geográficas com armazenamento e controle de cache."/>
    <s v="Aumento do tempo de abertura dos painéis de informação; Time out nas solicitações para processamento das informações geográficas."/>
    <m/>
    <n v="0"/>
    <n v="0"/>
    <n v="23.5"/>
    <n v="23.5"/>
    <n v="23.5"/>
    <n v="23.5"/>
    <n v="23.5"/>
    <n v="23.5"/>
    <n v="141"/>
    <n v="23.58"/>
    <n v="23.58"/>
    <n v="23.58"/>
    <n v="23.58"/>
    <n v="23.58"/>
    <n v="23.58"/>
    <n v="23.58"/>
    <n v="23.58"/>
    <n v="23.58"/>
    <n v="23.58"/>
    <n v="23.58"/>
    <n v="23.58"/>
    <n v="282.95999999999992"/>
  </r>
  <r>
    <x v="2"/>
    <x v="14"/>
    <s v="TI/SI"/>
    <s v="DGE"/>
    <s v="Roberto Proença"/>
    <s v="TI02115"/>
    <s v="TINV.15.D.042.AT"/>
    <s v="ATLÂNTIS - Aquisição de uma plataforma GIS (Geographic Information System) para suporte aos processos da Cemig Distribuição, em substituição ao atual sistema GEMINI e aquisição da infraestrutura necessária para suportar a nova solução."/>
    <s v="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
    <s v="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_x000a_perda da melhoria do processo de capitalização e gestão de ativos da Cemig Distribuidora._x000a_"/>
    <m/>
    <n v="456.630859375"/>
    <n v="350"/>
    <n v="160"/>
    <n v="600"/>
    <n v="400"/>
    <n v="650"/>
    <n v="150"/>
    <n v="1000"/>
    <n v="3766.630859375"/>
    <n v="1150"/>
    <n v="1261"/>
    <n v="1200"/>
    <n v="1250"/>
    <n v="1200"/>
    <n v="1250"/>
    <n v="1200"/>
    <n v="0"/>
    <n v="0"/>
    <n v="0"/>
    <n v="0"/>
    <n v="0"/>
    <n v="8511"/>
  </r>
  <r>
    <x v="2"/>
    <x v="14"/>
    <s v="TI/SI"/>
    <s v="DGE"/>
    <s v="Álisson Costa"/>
    <s v="NA"/>
    <s v="-"/>
    <s v="Atualização da Cemignet/Portal Cemig"/>
    <s v="Atualização do site da Cemig na internet e do site da intranet corporativa (Cemignet 2.0)."/>
    <s v="Imagem da Empresa prejudicada e associada ao antigo e desatualizado."/>
    <m/>
    <n v="0"/>
    <n v="0"/>
    <n v="0"/>
    <n v="0"/>
    <n v="0"/>
    <n v="0"/>
    <n v="0"/>
    <n v="0"/>
    <n v="0"/>
    <n v="0"/>
    <n v="0"/>
    <n v="0"/>
    <n v="150"/>
    <n v="0"/>
    <n v="0"/>
    <n v="0"/>
    <n v="159"/>
    <n v="0"/>
    <n v="0"/>
    <n v="0"/>
    <n v="250"/>
    <n v="559"/>
  </r>
  <r>
    <x v="2"/>
    <x v="14"/>
    <s v="TI/SI"/>
    <s v="DGE"/>
    <s v="Álisson Costa"/>
    <s v="TI03117"/>
    <s v="TINV.17.D.042.BC"/>
    <s v="Barramento Comercial (Canais de Atendimento Virtuais e Comunicação Bancária)"/>
    <s v="Desenvolvimento de um barramento de serviços comerciais usando a Arquitetura Orientada a Serviços - SOA"/>
    <s v="Respostas divergentes considerando um mesmo tipo de solicitação; Impacto no atendimento comercial da Cemig, pelo aumento do uso dos canais virtuais; Alto custo para manter interfaces replicadas e despadronizadas."/>
    <m/>
    <n v="11.423999786376953"/>
    <n v="54"/>
    <n v="0"/>
    <n v="0"/>
    <n v="42.576000000000001"/>
    <n v="54"/>
    <n v="0"/>
    <n v="54"/>
    <n v="215.99999978637695"/>
    <n v="0"/>
    <n v="0"/>
    <n v="36"/>
    <n v="0"/>
    <n v="0"/>
    <n v="36"/>
    <n v="0"/>
    <n v="0"/>
    <n v="36"/>
    <n v="0"/>
    <n v="0"/>
    <n v="36"/>
    <n v="144"/>
  </r>
  <r>
    <x v="2"/>
    <x v="14"/>
    <s v="TI/SI"/>
    <s v="DGE"/>
    <s v="Roberto Proença"/>
    <s v="TI03015"/>
    <s v="TINV.15.D.042.BR"/>
    <s v="Barramento de Serviços G-DIS"/>
    <s v="O projeto refere-se à criação de um barramento de serviços para o Sistema G-DIS como SOA - Service Oriented Achitecture, conforme necessidade apontada pelo Programa Conexão - Implantação de sistemas em sinergia com outras empresas do Grupo Cemig."/>
    <s v="Perda de sinergia no compartilhamento de serviços; despadronização de fornecedores e tecnologias; piora no tempo de resposta e no processamento das requisições; perda na distribuição de carga de solicitações em outro ambiente computacional."/>
    <m/>
    <n v="96.815998077392578"/>
    <n v="26"/>
    <n v="15"/>
    <n v="15"/>
    <n v="15"/>
    <n v="15"/>
    <n v="15"/>
    <n v="15"/>
    <n v="212.81599807739258"/>
    <n v="50"/>
    <n v="50"/>
    <n v="50"/>
    <n v="50"/>
    <n v="87"/>
    <n v="0"/>
    <n v="150"/>
    <n v="100"/>
    <n v="0"/>
    <n v="0"/>
    <n v="0"/>
    <n v="0"/>
    <n v="537"/>
  </r>
  <r>
    <x v="2"/>
    <x v="14"/>
    <s v="TI/SI"/>
    <s v="DGE"/>
    <s v="Álisson Costa"/>
    <s v="NA"/>
    <s v="-"/>
    <s v="Barramentos de Integração de Sistemas"/>
    <s v="Construção de barramentos de serviço para a integração e padronização de acessos às informações corporativas mais consumidas, usando o conceito SOA - Arquitetura Orientada a Serviços"/>
    <s v="Multiplicação de interfaces e duplicidade ou desencontro de informações"/>
    <m/>
    <n v="0"/>
    <n v="0"/>
    <n v="0"/>
    <n v="0"/>
    <n v="0"/>
    <n v="0"/>
    <n v="0"/>
    <n v="0"/>
    <n v="0"/>
    <n v="0"/>
    <n v="0"/>
    <n v="0"/>
    <n v="0"/>
    <n v="0"/>
    <n v="0"/>
    <n v="0"/>
    <n v="0"/>
    <n v="0"/>
    <n v="0"/>
    <n v="0"/>
    <n v="0"/>
    <n v="0"/>
  </r>
  <r>
    <x v="2"/>
    <x v="14"/>
    <s v="TI/SI"/>
    <s v="DGE"/>
    <s v="Álisson Costa"/>
    <s v="NA"/>
    <s v="-"/>
    <s v="Canais de Atendimento Cemig - AGV/AGB/AGA"/>
    <s v="Desenvolvimento web de novos serviços comerciais nos canais de atendimento oficiais da Cemig"/>
    <s v="Falta de canais de atendimento disponíveis, aumento de clientes nas agências de atendimento presencial da Cemig."/>
    <m/>
    <n v="0"/>
    <n v="0"/>
    <n v="0"/>
    <n v="0"/>
    <n v="0"/>
    <n v="0"/>
    <n v="0"/>
    <n v="0"/>
    <n v="0"/>
    <n v="0"/>
    <n v="0"/>
    <n v="0"/>
    <n v="0"/>
    <n v="0"/>
    <n v="0"/>
    <n v="0"/>
    <n v="0"/>
    <n v="0"/>
    <n v="0"/>
    <n v="0"/>
    <n v="0"/>
    <n v="0"/>
  </r>
  <r>
    <x v="2"/>
    <x v="14"/>
    <s v="TI/SI"/>
    <s v="DGE"/>
    <s v="Álisson Costa"/>
    <s v="TI00517"/>
    <s v="TINV.17.D.042.FR"/>
    <s v="Construção de Framework de Desenvolvimento"/>
    <s v="Elaborar e Construir um Framework de Desenvolvimento de Sistemas"/>
    <s v="Variedade de modelos e estruturas para os novos sistemas"/>
    <m/>
    <n v="64.575159072875977"/>
    <n v="72.628309999999999"/>
    <n v="33.799999999999997"/>
    <n v="0"/>
    <n v="0"/>
    <n v="0"/>
    <n v="0"/>
    <n v="0"/>
    <n v="171.00346907287599"/>
    <n v="30"/>
    <n v="30"/>
    <n v="0"/>
    <n v="0"/>
    <n v="0"/>
    <n v="0"/>
    <n v="0"/>
    <n v="0"/>
    <n v="0"/>
    <n v="0"/>
    <n v="0"/>
    <n v="0"/>
    <n v="60"/>
  </r>
  <r>
    <x v="2"/>
    <x v="14"/>
    <s v="TI/SI"/>
    <s v="DGE"/>
    <s v="Roberto Proença"/>
    <s v="NA"/>
    <s v="-"/>
    <s v="Crescimento do Hardware G-DIS"/>
    <s v="Aquisição de novos servidores  visando adequar a infraestrutura a especificação dos projetos G-DIS 2.0 e Atlantis; Permitir o crescimento vegetativo do sistema; Atendimento ao órgão regulador permitindo melhorias no batimento físico-contábil dos ativos da Cemig Distribuição."/>
    <s v="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
    <m/>
    <n v="0"/>
    <n v="0"/>
    <n v="0"/>
    <n v="0"/>
    <n v="0"/>
    <n v="0"/>
    <n v="0"/>
    <n v="0"/>
    <n v="0"/>
    <n v="0"/>
    <n v="0"/>
    <n v="0"/>
    <n v="0"/>
    <n v="0"/>
    <n v="0"/>
    <n v="0"/>
    <n v="0"/>
    <n v="0"/>
    <n v="0"/>
    <n v="0"/>
    <n v="0"/>
    <n v="0"/>
  </r>
  <r>
    <x v="2"/>
    <x v="14"/>
    <s v="TI/IO"/>
    <s v="DGE"/>
    <s v="Carlos Araújo"/>
    <s v="NA"/>
    <s v="-"/>
    <s v="Crescimento vegetativo ambiente SAP"/>
    <s v="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
    <s v="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
    <m/>
    <n v="0"/>
    <n v="0"/>
    <n v="0"/>
    <n v="0"/>
    <n v="0"/>
    <n v="0"/>
    <n v="0"/>
    <n v="0"/>
    <n v="0"/>
    <n v="0"/>
    <n v="0"/>
    <n v="0"/>
    <n v="0"/>
    <n v="0"/>
    <n v="0"/>
    <n v="0"/>
    <n v="0"/>
    <n v="0"/>
    <n v="0"/>
    <n v="0"/>
    <n v="0"/>
    <n v="0"/>
  </r>
  <r>
    <x v="2"/>
    <x v="14"/>
    <s v="TI/SI"/>
    <s v="DGE"/>
    <s v="Álisson Costa"/>
    <s v="TI00416"/>
    <s v="TINV.15.D.042.PT"/>
    <s v="Desenvolvimento de Melhorias do Sistema Part-APR"/>
    <s v="Faturamento Residual Ciclo 2013-2019"/>
    <s v="-"/>
    <m/>
    <n v="10.502650260925293"/>
    <n v="0"/>
    <n v="0"/>
    <n v="0"/>
    <n v="0"/>
    <n v="0"/>
    <n v="0"/>
    <n v="0"/>
    <n v="10.502650260925293"/>
    <n v="0"/>
    <n v="0"/>
    <n v="0"/>
    <n v="0"/>
    <n v="0"/>
    <n v="0"/>
    <n v="0"/>
    <n v="0"/>
    <n v="0"/>
    <n v="0"/>
    <n v="0"/>
    <n v="0"/>
    <n v="0"/>
  </r>
  <r>
    <x v="2"/>
    <x v="14"/>
    <s v="TI/SI"/>
    <s v="DGE"/>
    <s v="Álisson Costa"/>
    <s v="NA"/>
    <s v="-"/>
    <s v="Desenvolvimento de Sistemas Corporativos em BPMS"/>
    <s v="Criação de soluções baseadas nos fluxos criados pela notação de modelagem de processo de negócios - BPM"/>
    <s v="Falta de otimização e evolução para os processos empresariais"/>
    <m/>
    <n v="0"/>
    <n v="0"/>
    <n v="0"/>
    <n v="0"/>
    <n v="0"/>
    <n v="0"/>
    <n v="0"/>
    <n v="0"/>
    <n v="0"/>
    <n v="20"/>
    <n v="20"/>
    <n v="40"/>
    <n v="20"/>
    <n v="20"/>
    <n v="40"/>
    <n v="40"/>
    <n v="40"/>
    <n v="40"/>
    <n v="40"/>
    <n v="40"/>
    <n v="40"/>
    <n v="400"/>
  </r>
  <r>
    <x v="2"/>
    <x v="14"/>
    <s v="TI/SI"/>
    <s v="DGE"/>
    <s v="Álisson Costa"/>
    <s v="TI00216"/>
    <s v="TINV.15.D.042.NE"/>
    <s v="Desenvolvimento do Módulo Gestão da Inadimplência"/>
    <s v="Faturamento Residual Ciclo 2013-2017"/>
    <s v="-"/>
    <m/>
    <n v="14.010740280151367"/>
    <n v="0"/>
    <n v="0"/>
    <n v="0"/>
    <n v="0"/>
    <n v="0"/>
    <n v="0"/>
    <n v="0"/>
    <n v="14.010740280151367"/>
    <n v="0"/>
    <n v="0"/>
    <n v="0"/>
    <n v="0"/>
    <n v="0"/>
    <n v="0"/>
    <n v="0"/>
    <n v="0"/>
    <n v="0"/>
    <n v="0"/>
    <n v="0"/>
    <n v="0"/>
    <n v="0"/>
  </r>
  <r>
    <x v="2"/>
    <x v="14"/>
    <s v="TI/SI"/>
    <s v="DGE"/>
    <s v="Álisson Costa"/>
    <s v="TI00316"/>
    <s v="TINV.15.D.042.NC"/>
    <s v="Desenvolvimento do Módulo Negociação da Inadimplência"/>
    <s v="Faturamento Residual Ciclo 2013-2020"/>
    <s v="-"/>
    <m/>
    <n v="9.5870800018310547"/>
    <n v="0"/>
    <n v="0"/>
    <n v="0"/>
    <n v="0"/>
    <n v="0"/>
    <n v="0"/>
    <n v="0"/>
    <n v="9.5870800018310547"/>
    <n v="0"/>
    <n v="0"/>
    <n v="0"/>
    <n v="0"/>
    <n v="0"/>
    <n v="0"/>
    <n v="0"/>
    <n v="0"/>
    <n v="0"/>
    <n v="0"/>
    <n v="0"/>
    <n v="0"/>
    <n v="0"/>
  </r>
  <r>
    <x v="2"/>
    <x v="14"/>
    <s v="TI/SI"/>
    <s v="DGE"/>
    <s v="Álisson Costa"/>
    <s v="TI03617"/>
    <s v="TINV.17.D.042.RP"/>
    <s v="Desenvolvimento do Sistema de Recuperação de Perdas Comerciais"/>
    <s v="Construção de um sistema para a prevenção e recuperação de perdas comerciais."/>
    <s v="Crescimento das perdas comerciais que impactam a receita; Diminuição da arrecadação."/>
    <m/>
    <n v="0"/>
    <n v="30"/>
    <n v="31.8"/>
    <n v="31.8"/>
    <n v="30"/>
    <n v="30"/>
    <n v="31.8"/>
    <n v="61.8"/>
    <n v="247.2"/>
    <n v="0"/>
    <n v="0"/>
    <n v="92.7"/>
    <n v="0"/>
    <n v="0"/>
    <n v="92.7"/>
    <n v="0"/>
    <n v="0"/>
    <n v="0"/>
    <n v="0"/>
    <n v="0"/>
    <n v="0"/>
    <n v="185.4"/>
  </r>
  <r>
    <x v="2"/>
    <x v="14"/>
    <s v="TI/SI"/>
    <s v="DGE"/>
    <s v="Álisson Costa"/>
    <s v="TI00417"/>
    <s v="TINV.17.D.042.PI"/>
    <s v="Desenvolvimento do sistema PIC-Portal da Imagem Cemig"/>
    <s v="Prover o desenvolvimento do sistema PIC - Portal da Imagem Cemig"/>
    <s v="Gastos sem controle nos anúncios e comunicados da Empresa"/>
    <m/>
    <n v="52.566009163856506"/>
    <n v="63.433999999999997"/>
    <n v="30"/>
    <n v="0"/>
    <n v="0"/>
    <n v="0"/>
    <n v="0"/>
    <n v="0"/>
    <n v="146.0000091638565"/>
    <n v="20"/>
    <n v="35"/>
    <n v="0"/>
    <n v="0"/>
    <n v="0"/>
    <n v="0"/>
    <n v="0"/>
    <n v="0"/>
    <n v="0"/>
    <n v="0"/>
    <n v="0"/>
    <n v="0"/>
    <n v="55"/>
  </r>
  <r>
    <x v="2"/>
    <x v="14"/>
    <s v="TI/SI"/>
    <s v="DGE"/>
    <s v="Álisson Costa"/>
    <s v="TI02217"/>
    <s v="TINV.17.D.042.GX"/>
    <s v="Desenvolvimento GEDEX"/>
    <s v="Desenvolvimento da solução GEDEX"/>
    <s v="Indisponibilidade das soluções tecnológicas para todos os usuários; Atrasos nos procedimentos e processos das equipes nas áreas de negócio; Ociosidade dos usuários que ficam aguardando a liberação das licenças em uso (fila de espera)."/>
    <m/>
    <n v="0"/>
    <n v="45"/>
    <n v="0"/>
    <n v="45"/>
    <n v="0"/>
    <n v="30"/>
    <n v="0"/>
    <n v="0"/>
    <n v="120"/>
    <n v="0"/>
    <n v="15"/>
    <m/>
    <n v="45"/>
    <n v="0"/>
    <n v="0"/>
    <n v="0"/>
    <n v="0"/>
    <n v="0"/>
    <n v="0"/>
    <n v="0"/>
    <n v="0"/>
    <n v="60"/>
  </r>
  <r>
    <x v="2"/>
    <x v="14"/>
    <s v="TI/TC"/>
    <s v="DGE"/>
    <s v="Sebastião Jacinto"/>
    <s v="NA"/>
    <s v="-"/>
    <s v="Equipamento de Transmissão COD/COS"/>
    <m/>
    <m/>
    <m/>
    <n v="0"/>
    <n v="0"/>
    <n v="0"/>
    <n v="0"/>
    <n v="0"/>
    <n v="400"/>
    <n v="0"/>
    <n v="0"/>
    <n v="400"/>
    <n v="0"/>
    <n v="0"/>
    <n v="0"/>
    <n v="0"/>
    <n v="0"/>
    <n v="0"/>
    <n v="0"/>
    <n v="0"/>
    <n v="0"/>
    <n v="0"/>
    <n v="0"/>
    <n v="0"/>
    <n v="0"/>
  </r>
  <r>
    <x v="2"/>
    <x v="14"/>
    <s v="TI/TC"/>
    <s v="DGE"/>
    <s v="Roberto Sebastião"/>
    <s v="TI02618"/>
    <s v="TINV.18.D.054.RD"/>
    <s v="Equipamentos e Softwares da Rede de Dados"/>
    <m/>
    <m/>
    <m/>
    <n v="0"/>
    <n v="0"/>
    <n v="0"/>
    <n v="0"/>
    <n v="1080"/>
    <n v="145"/>
    <n v="0"/>
    <n v="0"/>
    <n v="1225"/>
    <n v="0"/>
    <n v="0"/>
    <n v="0"/>
    <n v="0"/>
    <n v="0"/>
    <n v="0"/>
    <n v="0"/>
    <n v="0"/>
    <n v="0"/>
    <n v="0"/>
    <n v="0"/>
    <n v="0"/>
    <n v="0"/>
  </r>
  <r>
    <x v="2"/>
    <x v="14"/>
    <s v="TI/TC"/>
    <s v="DGE"/>
    <s v="Roberto Sebastião"/>
    <s v="NA"/>
    <s v="-"/>
    <s v="Equipamentos para as redes LAN e WAN dos sites do interior"/>
    <s v="Troca de equipamentos de rede LAN de sites do interior de Minas, em função de obsolescência do parque"/>
    <s v="Alto índice de defeitos e falhas nestes equipamentos provocando indisponibilidades de rede das localidades onde eles estão instalados."/>
    <m/>
    <n v="0"/>
    <n v="0"/>
    <n v="0"/>
    <n v="0"/>
    <n v="0"/>
    <n v="0"/>
    <n v="0"/>
    <n v="0"/>
    <n v="0"/>
    <n v="0"/>
    <n v="200"/>
    <n v="1760"/>
    <n v="222"/>
    <n v="0"/>
    <n v="0"/>
    <n v="0"/>
    <n v="0"/>
    <n v="0"/>
    <n v="0"/>
    <n v="0"/>
    <n v="0"/>
    <n v="2182"/>
  </r>
  <r>
    <x v="2"/>
    <x v="14"/>
    <s v="TI/TC"/>
    <s v="DGE"/>
    <s v="Roberto Sebastião"/>
    <s v="TI05518"/>
    <s v="TINV.18.D.054.EP"/>
    <s v="Equipamentos SPARE (Readequações Rede Operativa)"/>
    <s v="Aquisição e implantação de equipamentos para atualização tecnológica de estruturas de redes Operativas e Corporativas envolvendo Rede Subterrânea e SCADA; Melhoria da disponibilidade e do desempenho de estruturas de rede que suportam aplicações críticas."/>
    <s v="Indisponibilidade de estruturas Operativas e Corporativas  em função de falhas de rede e falta de equipamentos Reserva para substituição; Indisponibilidade de estruturas Operativas e Corporativas  em função de falhas  de equipamentos por obsolescência."/>
    <m/>
    <n v="0"/>
    <n v="0"/>
    <n v="0"/>
    <n v="0"/>
    <n v="0"/>
    <n v="620"/>
    <n v="140"/>
    <n v="0"/>
    <n v="760"/>
    <n v="0"/>
    <n v="0"/>
    <n v="0"/>
    <n v="0"/>
    <n v="0"/>
    <n v="0"/>
    <n v="0"/>
    <n v="0"/>
    <n v="0"/>
    <n v="0"/>
    <n v="0"/>
    <n v="0"/>
    <n v="0"/>
  </r>
  <r>
    <x v="2"/>
    <x v="14"/>
    <s v="TI/SI"/>
    <s v="DGE"/>
    <s v="Álisson Costa"/>
    <s v="TI03517"/>
    <s v="TINV.17.D.042.CF"/>
    <s v="Evolução do Sistema de Gestão - Cemig Fácil"/>
    <s v=" Implementação de melhorias no sistema Cemig Fácil."/>
    <s v="Ocorrência de falhas na operação e na gestão do sistema; Impacto no fluxo de arrecadação da empresa."/>
    <m/>
    <n v="0"/>
    <n v="38"/>
    <n v="0"/>
    <n v="0"/>
    <n v="38"/>
    <n v="0"/>
    <n v="38"/>
    <n v="40.5"/>
    <n v="154.5"/>
    <n v="20"/>
    <n v="20"/>
    <n v="23"/>
    <n v="30"/>
    <n v="0"/>
    <n v="0"/>
    <n v="0"/>
    <n v="0"/>
    <n v="0"/>
    <n v="0"/>
    <n v="0"/>
    <n v="0"/>
    <n v="93"/>
  </r>
  <r>
    <x v="2"/>
    <x v="14"/>
    <s v="TI/SI"/>
    <s v="DGE"/>
    <s v="Roberto Proença"/>
    <s v="NA"/>
    <s v="-"/>
    <s v="Evolução e Sustentação JAVA - Magik"/>
    <s v="Desenvolvimento de funcionalidades inerentes aos processos da DDC dentro do sistema Atlantis"/>
    <s v="Inconformidade do sistema com o processo da distribuição"/>
    <m/>
    <n v="0"/>
    <n v="0"/>
    <n v="0"/>
    <n v="0"/>
    <n v="0"/>
    <n v="0"/>
    <n v="0"/>
    <n v="0"/>
    <n v="0"/>
    <n v="0"/>
    <n v="0"/>
    <n v="50"/>
    <n v="100"/>
    <n v="100"/>
    <n v="100"/>
    <n v="100"/>
    <n v="100"/>
    <n v="100"/>
    <n v="100"/>
    <n v="100"/>
    <n v="150"/>
    <n v="1000"/>
  </r>
  <r>
    <x v="2"/>
    <x v="14"/>
    <s v="TI/SI"/>
    <s v="DGE"/>
    <s v="Álisson Costa"/>
    <s v="TI00914"/>
    <s v="TINV.14.D.042.ES"/>
    <s v="Evolução e Sustentação SAP TI00914"/>
    <s v="Faturamento Residual Ciclo 2013-2018"/>
    <s v="-"/>
    <m/>
    <n v="0.70901525020599365"/>
    <n v="0"/>
    <n v="0"/>
    <n v="0"/>
    <n v="0"/>
    <n v="0"/>
    <n v="0"/>
    <n v="0"/>
    <n v="0.70901525020599365"/>
    <n v="0"/>
    <n v="0"/>
    <n v="0"/>
    <n v="0"/>
    <n v="0"/>
    <n v="0"/>
    <n v="0"/>
    <n v="0"/>
    <n v="0"/>
    <n v="0"/>
    <n v="0"/>
    <n v="0"/>
    <n v="0"/>
  </r>
  <r>
    <x v="2"/>
    <x v="14"/>
    <s v="TI/SI"/>
    <s v="DGE"/>
    <s v="Álisson Costa"/>
    <s v="TI03217"/>
    <s v="TINV.17.D.042.ES"/>
    <s v="Evolução e Sustentação SAP TI03217"/>
    <s v="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
    <s v="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
    <m/>
    <n v="0"/>
    <n v="0"/>
    <n v="0"/>
    <n v="0"/>
    <n v="450"/>
    <n v="450"/>
    <n v="600"/>
    <n v="600"/>
    <n v="2100"/>
    <n v="600"/>
    <n v="0"/>
    <n v="0"/>
    <n v="0"/>
    <n v="0"/>
    <n v="0"/>
    <n v="0"/>
    <n v="600"/>
    <n v="600"/>
    <n v="600"/>
    <n v="600"/>
    <n v="600"/>
    <n v="3600"/>
  </r>
  <r>
    <x v="2"/>
    <x v="14"/>
    <s v="TI/SI"/>
    <s v="DGE"/>
    <s v="Álisson Costa"/>
    <s v="TI06218"/>
    <s v="TINV.18.D.042.PC"/>
    <s v="Evolução Portal Cemig (Sharepoint)"/>
    <s v="Reconstrução do Portal Cemig na internet"/>
    <s v="Diminuição do acesso ao site da empresa na internet; Time out nas solicitações para processamento das informações."/>
    <m/>
    <n v="0"/>
    <n v="0"/>
    <n v="0"/>
    <n v="0"/>
    <n v="0"/>
    <n v="0"/>
    <n v="0"/>
    <n v="0"/>
    <n v="0"/>
    <n v="23.965199999999999"/>
    <n v="23.965199999999999"/>
    <n v="23.965199999999999"/>
    <n v="23.965199999999999"/>
    <n v="23.965199999999999"/>
    <n v="23.965199999999999"/>
    <n v="23.965199999999999"/>
    <n v="23.965199999999999"/>
    <n v="23.965199999999999"/>
    <n v="23.965199999999999"/>
    <n v="23.965199999999999"/>
    <n v="27.3888"/>
    <n v="291.00600000000003"/>
  </r>
  <r>
    <x v="2"/>
    <x v="14"/>
    <s v="TI/SI"/>
    <s v="DGE"/>
    <s v="Álisson Costa"/>
    <s v="TI06318"/>
    <s v=" TINV.18.D.042.SG"/>
    <s v="Evolução SGCP - Sistema de Gestão e Controle de Patrocínio"/>
    <s v="Desenvolvimento de novas funcionalidades no sistema SGCP; Adequação do processo de gestão dos patrocínios na empresa."/>
    <s v="Obsolescência da solução de gestão de patrocínios da empresa; Ocorrência de erros que podem gerar inconformidades; Falta de compatibilidade do sistema com os processos vigentes na empresa."/>
    <m/>
    <n v="0"/>
    <n v="0"/>
    <n v="0"/>
    <n v="8.56"/>
    <n v="0"/>
    <n v="8.56"/>
    <n v="0"/>
    <n v="8.56"/>
    <n v="25.68"/>
    <n v="8.5589999999999993"/>
    <n v="0"/>
    <n v="8.5589999999999993"/>
    <n v="8.5589999999999993"/>
    <n v="8.5589999999999993"/>
    <n v="0"/>
    <n v="8.5589999999999993"/>
    <n v="8.5589999999999993"/>
    <n v="8.5589999999999993"/>
    <n v="0"/>
    <n v="8.5589999999999993"/>
    <n v="8.5589999999999993"/>
    <n v="77.030999999999992"/>
  </r>
  <r>
    <x v="2"/>
    <x v="14"/>
    <s v="TI/SI"/>
    <s v="DGE"/>
    <s v="Álisson Costa"/>
    <s v="TI00617"/>
    <s v="TINV.17.D.042.AG"/>
    <s v="Expansão e Sustentação da AGV"/>
    <s v="Aumentar os serviços disponíveis na Agência Virtual da Cemig"/>
    <s v="Migração dos consumidores para canais de atendimento de maior custo para a Cemig D"/>
    <m/>
    <n v="159.43008804321289"/>
    <n v="30"/>
    <n v="25"/>
    <n v="20"/>
    <n v="52.07"/>
    <n v="32.200000000000003"/>
    <n v="43.497280000000003"/>
    <n v="75"/>
    <n v="437.19736804321286"/>
    <n v="15"/>
    <n v="20"/>
    <n v="15"/>
    <n v="12"/>
    <n v="15"/>
    <n v="15"/>
    <n v="30"/>
    <n v="30"/>
    <n v="20"/>
    <n v="20"/>
    <n v="25"/>
    <n v="40"/>
    <n v="257"/>
  </r>
  <r>
    <x v="2"/>
    <x v="14"/>
    <s v="TI/TC"/>
    <s v="DGE"/>
    <s v="Roberto Sebastião"/>
    <s v="TI03318"/>
    <s v="TINV.18.D.054.FW"/>
    <s v="Firewall Corporativo"/>
    <s v="Solução de Rede Baseada em Firewall para proteção de Rede Corporativa"/>
    <s v="Computadores infectados ou usuários não autorizados podem ter acesso à rede, provocando infecções, roubo de informações, indisponibilidade de serviços etc..."/>
    <m/>
    <n v="0"/>
    <n v="0"/>
    <n v="0"/>
    <n v="245"/>
    <n v="0"/>
    <n v="0"/>
    <n v="0"/>
    <n v="0"/>
    <n v="245"/>
    <n v="0"/>
    <n v="0"/>
    <n v="0"/>
    <n v="0"/>
    <n v="0"/>
    <n v="0"/>
    <n v="0"/>
    <n v="0"/>
    <n v="935"/>
    <n v="0"/>
    <n v="0"/>
    <n v="0"/>
    <n v="935"/>
  </r>
  <r>
    <x v="2"/>
    <x v="14"/>
    <s v="TI/TC"/>
    <s v="DGE"/>
    <s v="Roberto Sebastião"/>
    <s v="TI06518"/>
    <s v="TINV.18.D.054.FI"/>
    <s v="Firewall para implantação de Internet Descentralizada"/>
    <s v="Solução de Rede Baseada em Firewall para implantação de acesso descentralizado à Internet"/>
    <s v="Necessidades constantes de aumento de links, sem opção de trafegar dados menos prioritários por canais de mais baixo custo."/>
    <m/>
    <n v="0"/>
    <n v="0"/>
    <n v="0"/>
    <n v="0"/>
    <n v="0"/>
    <n v="0"/>
    <n v="700"/>
    <n v="160"/>
    <n v="860"/>
    <n v="250"/>
    <n v="250"/>
    <n v="0"/>
    <n v="0"/>
    <n v="0"/>
    <n v="0"/>
    <n v="0"/>
    <n v="0"/>
    <n v="0"/>
    <n v="0"/>
    <n v="0"/>
    <n v="0"/>
    <n v="500"/>
  </r>
  <r>
    <x v="2"/>
    <x v="14"/>
    <s v="TI/TC"/>
    <s v="DGE"/>
    <s v="Roberto Sebastião"/>
    <s v="NA"/>
    <s v="-"/>
    <s v="Firewall para Segurança de SEs e Salas de Telemática"/>
    <s v="Solução de Rede Baseada em Firewall paragarantir segurança de borda para Ses"/>
    <s v="Riscos de Invasão a redes de Ses provocando indisponibilidade e perda de Operação por parte dos Centros de Gerência"/>
    <m/>
    <n v="0"/>
    <n v="0"/>
    <n v="0"/>
    <n v="0"/>
    <n v="0"/>
    <n v="0"/>
    <n v="0"/>
    <n v="0"/>
    <n v="0"/>
    <n v="0"/>
    <n v="0"/>
    <n v="0"/>
    <n v="0"/>
    <n v="0"/>
    <n v="1880"/>
    <n v="451"/>
    <n v="0"/>
    <n v="0"/>
    <n v="0"/>
    <n v="0"/>
    <n v="0"/>
    <n v="2331"/>
  </r>
  <r>
    <x v="2"/>
    <x v="14"/>
    <s v="TI/SI"/>
    <s v="DGE"/>
    <s v="Álisson Costa"/>
    <s v="TI06418"/>
    <s v="TINV.18.D.042.SS"/>
    <s v="Front End - Saúde e Segurança do Trabalho (EH&amp;S)"/>
    <s v="Desenvolvimento de um Front Ende para o Portal Médico; Acesso a laudos e informações médicas por meio da internet."/>
    <s v="Utilização de papel no envio das informações; Maior tempo para a divulgação das informações aos interessados; Extravios e acesso indevido às informações pessoais."/>
    <m/>
    <n v="0"/>
    <n v="0"/>
    <n v="0"/>
    <n v="0"/>
    <n v="17.117999999999999"/>
    <n v="17.117999999999999"/>
    <n v="17.117999999999999"/>
    <n v="17.117999999999999"/>
    <n v="68.471999999999994"/>
    <n v="17.117999999999999"/>
    <n v="17.117999999999999"/>
    <n v="17.117999999999999"/>
    <n v="4.2794999999999996"/>
    <n v="4.2794999999999996"/>
    <n v="4.2794999999999996"/>
    <n v="4.2794999999999996"/>
    <n v="4.2794999999999996"/>
    <n v="4.2794999999999996"/>
    <n v="4.2794999999999996"/>
    <n v="4.2794999999999996"/>
    <n v="4.2794999999999996"/>
    <n v="89.869499999999988"/>
  </r>
  <r>
    <x v="2"/>
    <x v="14"/>
    <s v="TI/TC"/>
    <s v="DGE"/>
    <s v="Roberto Sebastião"/>
    <s v="TI00818"/>
    <s v="TINV.18.D.054.GW"/>
    <s v="Gateway de Acesso à Internet e Acesso a Email"/>
    <s v="Solução de Proxys de acesso à_x000a_ Internet e gateway de correio eletrônico, que visa proteger a rede interna da Cemig contra acessos Indevidos à Internet."/>
    <s v="Impossibilidade de controle no acesso à Internet e risco de Invasões decorrentes de acessos a sites e páginas com virus e conteúdos maliciosos."/>
    <m/>
    <n v="0"/>
    <n v="0"/>
    <n v="0"/>
    <n v="0"/>
    <n v="0"/>
    <n v="0"/>
    <n v="0"/>
    <n v="0"/>
    <n v="0"/>
    <n v="0"/>
    <n v="0"/>
    <n v="1115"/>
    <n v="268"/>
    <n v="0"/>
    <n v="0"/>
    <n v="0"/>
    <n v="0"/>
    <n v="0"/>
    <n v="0"/>
    <n v="0"/>
    <n v="0"/>
    <n v="1383"/>
  </r>
  <r>
    <x v="2"/>
    <x v="14"/>
    <s v="TI/SI"/>
    <s v="DGE"/>
    <s v="Roberto Proença"/>
    <s v="3211/12"/>
    <s v="TINV.12.D.042.GS"/>
    <s v="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m/>
    <n v="16.69773006439209"/>
    <n v="35.170589999999997"/>
    <n v="0"/>
    <n v="0"/>
    <n v="0"/>
    <n v="0"/>
    <n v="0"/>
    <n v="0"/>
    <n v="51.868320064392087"/>
    <n v="0"/>
    <n v="0"/>
    <n v="0"/>
    <n v="0"/>
    <n v="0"/>
    <n v="0"/>
    <n v="0"/>
    <n v="0"/>
    <n v="0"/>
    <n v="0"/>
    <n v="0"/>
    <n v="0"/>
    <n v="0"/>
  </r>
  <r>
    <x v="2"/>
    <x v="14"/>
    <s v="TI/RT"/>
    <s v="DGE"/>
    <s v="Heberte Faria"/>
    <s v="NA"/>
    <s v="-"/>
    <s v="HP SERVICE MANAGER D"/>
    <s v="Renovação das licenças do software HP SERVICE MANAGER."/>
    <s v="-"/>
    <m/>
    <n v="0"/>
    <n v="0"/>
    <n v="0"/>
    <n v="0"/>
    <n v="0"/>
    <n v="0"/>
    <n v="0"/>
    <n v="0"/>
    <n v="0"/>
    <n v="0"/>
    <n v="0"/>
    <n v="0"/>
    <n v="0"/>
    <n v="0"/>
    <n v="0"/>
    <n v="400"/>
    <n v="0"/>
    <n v="0"/>
    <n v="0"/>
    <n v="0"/>
    <n v="0"/>
    <n v="400"/>
  </r>
  <r>
    <x v="2"/>
    <x v="14"/>
    <s v="TI/SI"/>
    <s v="DDC"/>
    <s v="Álisson Costa"/>
    <s v="NA"/>
    <s v="-"/>
    <s v="Integração CIM - COD para falta de energia"/>
    <s v=" A integração do CIM com GDIS visa o registro e a criação notas para o restabelecimento da falta de energia na unidade consumidora"/>
    <s v="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
    <m/>
    <n v="0"/>
    <n v="0"/>
    <n v="0"/>
    <n v="0"/>
    <n v="0"/>
    <n v="0"/>
    <n v="0"/>
    <n v="0"/>
    <n v="0"/>
    <n v="0"/>
    <n v="0"/>
    <n v="0"/>
    <n v="0"/>
    <n v="0"/>
    <n v="0"/>
    <n v="0"/>
    <n v="0"/>
    <n v="0"/>
    <n v="0"/>
    <n v="0"/>
    <n v="0"/>
    <n v="0"/>
  </r>
  <r>
    <x v="2"/>
    <x v="14"/>
    <s v="TI/IO"/>
    <s v="DDC"/>
    <s v="Carlos Araújo"/>
    <s v="NA"/>
    <s v="-"/>
    <s v="Integração da rede de oscilografia das subestações "/>
    <s v=" Aquisição de infraestrutura de conectividade para permitir acesso remoto aos dados dos IEDS visando oscilografia das subestações"/>
    <s v="Elevação de custos de OPEX com serviço de campo para  análise e  localização de faltas e ocorrências no SEP. Não será capturado melhoria dos indicadores de qualidade, dentre eles o DEC"/>
    <m/>
    <n v="0"/>
    <n v="0"/>
    <n v="0"/>
    <n v="0"/>
    <n v="0"/>
    <n v="0"/>
    <n v="0"/>
    <n v="0"/>
    <n v="0"/>
    <n v="0"/>
    <n v="0"/>
    <n v="0"/>
    <n v="0"/>
    <n v="0"/>
    <n v="0"/>
    <n v="0"/>
    <n v="0"/>
    <n v="1500"/>
    <n v="0"/>
    <n v="0"/>
    <n v="0"/>
    <n v="1500"/>
  </r>
  <r>
    <x v="2"/>
    <x v="14"/>
    <s v="TI/SI"/>
    <s v="DDC"/>
    <s v="Álisson Costa"/>
    <s v="NA"/>
    <s v="-"/>
    <s v="Integração em ambiente de produção do sistema Landis+GYr do projeto  Cidades do Futuro (P&amp;D 423) visando disponibilizar funções de leitura e corte/religa automatizados "/>
    <s v="Existe necessidade de investimento para desenvolvimento de integrações com o sistema MECE e SAP/CCS para   automatização da leitura dos medidores e de corte/religa"/>
    <s v="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
    <m/>
    <n v="0"/>
    <n v="0"/>
    <n v="0"/>
    <n v="0"/>
    <n v="0"/>
    <n v="0"/>
    <n v="0"/>
    <n v="0"/>
    <n v="0"/>
    <n v="0"/>
    <n v="0"/>
    <n v="0"/>
    <n v="190"/>
    <n v="0"/>
    <n v="190"/>
    <n v="0"/>
    <n v="0"/>
    <n v="0"/>
    <n v="0"/>
    <n v="0"/>
    <n v="0"/>
    <n v="380"/>
  </r>
  <r>
    <x v="2"/>
    <x v="14"/>
    <s v="TI/IO"/>
    <s v="DDC"/>
    <s v="Carlos Araújo"/>
    <s v="TI06718"/>
    <s v="TINV.18.D.045.TF"/>
    <s v="Licença do programa TF_SE"/>
    <s v="Programa para calculo das trações e flechas em barramentos flexíveis em subestações"/>
    <s v="Comprometimento de atendimento aos projetos de expansão no prazo desejado dentro do ciclo tarifário."/>
    <m/>
    <n v="0"/>
    <n v="0"/>
    <n v="12"/>
    <n v="0"/>
    <n v="0"/>
    <n v="0"/>
    <n v="0"/>
    <n v="0"/>
    <n v="12"/>
    <n v="0"/>
    <n v="0"/>
    <n v="0"/>
    <n v="0"/>
    <n v="0"/>
    <n v="0"/>
    <n v="0"/>
    <n v="0"/>
    <n v="0"/>
    <n v="0"/>
    <n v="0"/>
    <n v="0"/>
    <n v="0"/>
  </r>
  <r>
    <x v="2"/>
    <x v="14"/>
    <s v="TI/RT"/>
    <s v="DGE"/>
    <s v="Heberte Faria"/>
    <s v="TI05318"/>
    <s v="TINV.18.D.762.WZ"/>
    <s v="Licenças WARPZ de otimização de programas no ambiente SAP"/>
    <s v="Otimização do processamento no ambiente SAP, realizado por programas ABAP utilizando  20 licenças  do produto WARPZ , com o objetivo de reduzir o tempo de execução dos programas, menor necessidade de hardwares como memorias e processadores."/>
    <s v="Necessitar maior investimento em hardware de processamento; Ocorrer frequentemente reclamação em função de problema de desempenho no processo on-line provocado por atraso no processamento da Janela batch;"/>
    <m/>
    <n v="0"/>
    <n v="800"/>
    <n v="0"/>
    <n v="0"/>
    <n v="0"/>
    <n v="0"/>
    <n v="0"/>
    <n v="0"/>
    <n v="800"/>
    <m/>
    <m/>
    <m/>
    <m/>
    <m/>
    <m/>
    <m/>
    <m/>
    <m/>
    <m/>
    <m/>
    <m/>
    <n v="0"/>
  </r>
  <r>
    <x v="2"/>
    <x v="14"/>
    <s v="TI/SI"/>
    <s v="DGE"/>
    <s v="Álisson Costa"/>
    <s v="TI05218"/>
    <s v="TINV.18.D.042.BE"/>
    <s v="Licenciamento BENTLEY"/>
    <s v="Atualização da plataforma de software BENTLEY, ferramentas para elaboração de projetos em desenho auxiliado por computador - CAD"/>
    <s v="Limitação da quantidade de licenças para os usuários na Cemig; Falta de suporte para o uso dos produtos e a resolução de problemas; Obsolescência dos produtos usados pela Empresa."/>
    <m/>
    <n v="0"/>
    <n v="0"/>
    <n v="0"/>
    <n v="0"/>
    <n v="0"/>
    <n v="420.45"/>
    <n v="0"/>
    <n v="0"/>
    <n v="420.45"/>
    <n v="0"/>
    <n v="0"/>
    <n v="0"/>
    <n v="0"/>
    <n v="0"/>
    <n v="0"/>
    <n v="0"/>
    <n v="0"/>
    <n v="0"/>
    <n v="0"/>
    <n v="0"/>
    <n v="0"/>
    <n v="0"/>
  </r>
  <r>
    <x v="2"/>
    <x v="14"/>
    <s v="TI/SI"/>
    <s v="DGE"/>
    <s v="Álisson Costa"/>
    <s v="TI00118"/>
    <s v="TINV.18.D.042.OR"/>
    <s v="Licenciamento de Softwares (Oracle) D"/>
    <s v="O projeto decorre da atualização de versão e licenciamento da plataforma de software de gerenciamento de banco de dados da ORACLE."/>
    <s v="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
    <m/>
    <n v="479.32675170898437"/>
    <n v="0"/>
    <n v="0"/>
    <n v="0"/>
    <n v="0"/>
    <n v="0"/>
    <n v="0"/>
    <n v="0"/>
    <n v="479.32675170898437"/>
    <n v="0"/>
    <n v="603"/>
    <n v="0"/>
    <n v="0"/>
    <n v="0"/>
    <n v="0"/>
    <n v="0"/>
    <n v="0"/>
    <n v="0"/>
    <n v="0"/>
    <n v="0"/>
    <n v="0"/>
    <n v="603"/>
  </r>
  <r>
    <x v="2"/>
    <x v="14"/>
    <s v="TI/SI"/>
    <s v="DGE"/>
    <s v="Álisson Costa"/>
    <s v="NA"/>
    <s v="-"/>
    <s v="Licenciamento HEXAGON D"/>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m/>
    <n v="0"/>
    <n v="0"/>
    <n v="0"/>
    <n v="0"/>
    <n v="0"/>
    <n v="0"/>
    <n v="0"/>
    <n v="0"/>
    <n v="0"/>
    <n v="0"/>
    <n v="0"/>
    <n v="0"/>
    <n v="0"/>
    <n v="0"/>
    <n v="0"/>
    <n v="0"/>
    <n v="0"/>
    <n v="0"/>
    <n v="0"/>
    <n v="0"/>
    <n v="0"/>
    <n v="0"/>
  </r>
  <r>
    <x v="2"/>
    <x v="14"/>
    <s v="TI/IO"/>
    <s v="DGE"/>
    <s v="Carlos Araújo"/>
    <s v="NA"/>
    <s v="-"/>
    <s v="Licenciamento IBM Sterling_x000a_"/>
    <s v="Licenciamento IBM Sterling_x000a_"/>
    <s v="-"/>
    <m/>
    <n v="0"/>
    <n v="0"/>
    <n v="0"/>
    <n v="0"/>
    <n v="0"/>
    <n v="0"/>
    <n v="0"/>
    <n v="0"/>
    <n v="0"/>
    <n v="0"/>
    <n v="0"/>
    <n v="0"/>
    <n v="0"/>
    <n v="0"/>
    <n v="0"/>
    <n v="0"/>
    <n v="0"/>
    <n v="0"/>
    <n v="0"/>
    <n v="0"/>
    <n v="650"/>
    <n v="650"/>
  </r>
  <r>
    <x v="2"/>
    <x v="14"/>
    <s v="TI/IO"/>
    <s v="DGE"/>
    <s v="Marcus Souto"/>
    <s v="NA"/>
    <s v="-"/>
    <s v="Licenciamento Microsoft (TrueUp Microsoft 2013)"/>
    <s v="Renovação do contrato de licenciamento de software que contempla Windows Server, Office, etc (2015). Para os demais anos, atendimento às demandas de novos projetos"/>
    <s v="-"/>
    <m/>
    <n v="0"/>
    <n v="0"/>
    <n v="0"/>
    <n v="0"/>
    <n v="0"/>
    <n v="0"/>
    <n v="0"/>
    <n v="0"/>
    <n v="0"/>
    <n v="0"/>
    <n v="0"/>
    <n v="0"/>
    <n v="0"/>
    <n v="0"/>
    <n v="0"/>
    <n v="0"/>
    <n v="0"/>
    <n v="0"/>
    <n v="0"/>
    <n v="0"/>
    <n v="0"/>
    <n v="0"/>
  </r>
  <r>
    <x v="2"/>
    <x v="14"/>
    <s v="TI/IO"/>
    <s v="DGE"/>
    <s v="Marcus Souto"/>
    <s v="TI07018"/>
    <s v="TINV.18.D.045.MS"/>
    <s v="Licenciamento Microsoft D"/>
    <s v="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
    <s v="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
    <m/>
    <n v="0"/>
    <n v="0"/>
    <n v="0"/>
    <n v="100"/>
    <n v="0"/>
    <n v="0"/>
    <n v="0"/>
    <n v="0"/>
    <n v="100"/>
    <n v="0"/>
    <n v="0"/>
    <n v="0"/>
    <n v="0"/>
    <n v="0"/>
    <n v="0"/>
    <n v="0"/>
    <n v="100"/>
    <n v="0"/>
    <n v="0"/>
    <n v="0"/>
    <n v="0"/>
    <n v="100"/>
  </r>
  <r>
    <x v="2"/>
    <x v="14"/>
    <s v="TI/SI"/>
    <s v="DGE"/>
    <s v="Álisson Costa"/>
    <s v="TI02418"/>
    <s v="TINV.18.D.042.SA"/>
    <s v="Licenciamento SAS"/>
    <s v="Atualização da plataforma de software do instituto SAS em uso da empresa, para atendimento aos requisitos regulatórios."/>
    <s v="Defasagem tecnológica perante o software usado no setor de energia para atendimento regulatório."/>
    <m/>
    <n v="693.4403076171875"/>
    <n v="0"/>
    <n v="0"/>
    <n v="0"/>
    <n v="0"/>
    <n v="0"/>
    <n v="0"/>
    <n v="0"/>
    <n v="693.4403076171875"/>
    <n v="0"/>
    <n v="0"/>
    <n v="0"/>
    <n v="0"/>
    <n v="0"/>
    <n v="0"/>
    <n v="0"/>
    <n v="0"/>
    <n v="0"/>
    <n v="750"/>
    <n v="0"/>
    <n v="0"/>
    <n v="750"/>
  </r>
  <r>
    <x v="2"/>
    <x v="14"/>
    <s v="TI/TC"/>
    <s v="DGE"/>
    <s v="Roberto Sebastião"/>
    <s v="TI05618"/>
    <s v="TINV.18.D.054.ME"/>
    <s v="Merit Conectividade - Triângulo  e Metropolitano"/>
    <s v="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
    <s v="Indisponibilidade de aplicações Operativas em função de falhas de rede; Gastos que poderiam ser evitados com canais de comunicação de Operadoras."/>
    <m/>
    <n v="0"/>
    <n v="0"/>
    <n v="0"/>
    <n v="0"/>
    <n v="0"/>
    <n v="1705"/>
    <n v="160"/>
    <n v="0"/>
    <n v="1865"/>
    <n v="0"/>
    <n v="0"/>
    <n v="0"/>
    <n v="0"/>
    <n v="0"/>
    <n v="0"/>
    <n v="0"/>
    <n v="0"/>
    <n v="0"/>
    <n v="0"/>
    <n v="0"/>
    <n v="0"/>
    <n v="0"/>
  </r>
  <r>
    <x v="2"/>
    <x v="14"/>
    <s v="TI/SI"/>
    <s v="DGE"/>
    <s v="Álisson Costa"/>
    <s v="NA"/>
    <s v="-"/>
    <s v="Migração para NFE de Entrada"/>
    <s v="Adequação do SAP para emissão de NFE de Entrada"/>
    <s v="Falha nas retenções de impostos e tarifas."/>
    <m/>
    <n v="0"/>
    <n v="0"/>
    <n v="0"/>
    <n v="0"/>
    <n v="0"/>
    <n v="0"/>
    <n v="0"/>
    <n v="0"/>
    <n v="0"/>
    <n v="0"/>
    <n v="0"/>
    <n v="0"/>
    <n v="0"/>
    <n v="0"/>
    <n v="0"/>
    <n v="0"/>
    <n v="0"/>
    <n v="0"/>
    <n v="0"/>
    <n v="0"/>
    <n v="0"/>
    <n v="0"/>
  </r>
  <r>
    <x v="2"/>
    <x v="14"/>
    <s v="TI/SI"/>
    <s v="DGE"/>
    <s v="Álisson Costa"/>
    <s v="NA"/>
    <s v="-"/>
    <s v="Migração para TAXBRA"/>
    <s v="Migração do modelo de tarifas usado na Cemig para o modelo TAXBRA"/>
    <s v="Continuidade de uso de um modelo de tarifas inadequado na Companhia."/>
    <m/>
    <n v="0"/>
    <n v="0"/>
    <n v="0"/>
    <n v="0"/>
    <n v="0"/>
    <n v="0"/>
    <n v="0"/>
    <n v="0"/>
    <n v="0"/>
    <n v="0"/>
    <n v="0"/>
    <n v="0"/>
    <n v="0"/>
    <n v="0"/>
    <n v="0"/>
    <n v="0"/>
    <n v="0"/>
    <n v="0"/>
    <n v="0"/>
    <n v="0"/>
    <n v="0"/>
    <n v="0"/>
  </r>
  <r>
    <x v="2"/>
    <x v="14"/>
    <s v="TI/SI"/>
    <s v="DGE"/>
    <s v="Álisson Costa"/>
    <s v="NA"/>
    <s v="-"/>
    <s v="Migração Ponto Negativo para Positivo (SAP HR)"/>
    <m/>
    <m/>
    <m/>
    <n v="0"/>
    <n v="0"/>
    <n v="0"/>
    <n v="0"/>
    <n v="0"/>
    <n v="0"/>
    <n v="0"/>
    <n v="0"/>
    <n v="0"/>
    <n v="0"/>
    <n v="0"/>
    <n v="0"/>
    <n v="0"/>
    <n v="0"/>
    <n v="0"/>
    <n v="300"/>
    <n v="0"/>
    <n v="0"/>
    <n v="0"/>
    <n v="0"/>
    <n v="0"/>
    <n v="300"/>
  </r>
  <r>
    <x v="2"/>
    <x v="14"/>
    <s v="TI/SI"/>
    <s v="DGE"/>
    <s v="Roberto Proença"/>
    <s v="NA"/>
    <s v="-"/>
    <s v="Mobilidade - Aquisição de Equipamento Móvel para Projeto e Recebimento de Obras"/>
    <s v="Aquisição de equipamento móvel (tablets) para desenho de projetos e recebimento de obras de rede distribuição em campo."/>
    <s v="Perda de oportunidade de ganho de produtividade no processo de elaboração e execução de projetos de expansão da rede de distribuição; Perda de oportunidade de visibilidade e controle de obras e previsibilidade de realização."/>
    <m/>
    <n v="0"/>
    <n v="0"/>
    <n v="0"/>
    <n v="0"/>
    <n v="0"/>
    <n v="0"/>
    <n v="0"/>
    <n v="0"/>
    <n v="0"/>
    <n v="0"/>
    <n v="0"/>
    <n v="0"/>
    <n v="0"/>
    <n v="0"/>
    <n v="525"/>
    <n v="0"/>
    <n v="0"/>
    <n v="0"/>
    <n v="0"/>
    <n v="0"/>
    <n v="0"/>
    <n v="525"/>
  </r>
  <r>
    <x v="2"/>
    <x v="14"/>
    <s v="TI/SI"/>
    <s v="DGE"/>
    <s v="Roberto Proença"/>
    <s v="NA"/>
    <s v="-"/>
    <s v="Mobilidade - Desenvolvimento e integração com Atlantis (Projeto/As built)"/>
    <s v="Construção de sistema para dispositivo móvel integrado ao Atlantis/GDIS para projeto de rede em campo e recebimento de obras."/>
    <s v="Perda de oportunidade de ganho de produtividade no processo de elaboração e execução de projetos de expansão da rede de distribuição; Perda de oportunidade de visibilidade e controle de obras e previsibilidade de realização."/>
    <m/>
    <n v="0"/>
    <n v="0"/>
    <n v="0"/>
    <n v="0"/>
    <n v="0"/>
    <n v="0"/>
    <n v="0"/>
    <n v="200"/>
    <n v="200"/>
    <n v="100"/>
    <n v="200"/>
    <n v="200"/>
    <n v="250"/>
    <n v="250"/>
    <n v="200"/>
    <n v="200"/>
    <n v="200"/>
    <n v="200"/>
    <n v="0"/>
    <n v="0"/>
    <n v="0"/>
    <n v="1800"/>
  </r>
  <r>
    <x v="2"/>
    <x v="14"/>
    <s v="TI/SI"/>
    <s v="DGE"/>
    <s v="Roberto Proença"/>
    <s v="TI01016"/>
    <s v="TINV.16.D.042.SC"/>
    <s v="Modernização do Sistema de Aquisição de Dados e Monitoramento do COD e aquisição de EMS "/>
    <s v="Aquisição e implantação de Sistema de Aquisição de Dados e Monitoramento com funcionalidades de EMS, OTS dentre outras definidas na Especificação Técnica, e aquisição de Sistema de Controle Backup, a ser implementado como serviço de Colocation."/>
    <s v="-"/>
    <m/>
    <n v="126.48376083374023"/>
    <n v="0"/>
    <n v="0"/>
    <n v="135"/>
    <n v="1576"/>
    <n v="52"/>
    <n v="152"/>
    <n v="52"/>
    <n v="2093.4837608337402"/>
    <n v="151"/>
    <n v="151"/>
    <n v="151"/>
    <n v="151"/>
    <n v="151"/>
    <n v="151"/>
    <n v="151"/>
    <n v="151"/>
    <n v="151"/>
    <n v="151"/>
    <n v="151"/>
    <n v="51"/>
    <n v="1712"/>
  </r>
  <r>
    <x v="2"/>
    <x v="14"/>
    <s v="SC"/>
    <s v="DGE"/>
    <s v="Márcio Rosa"/>
    <s v="TI04618"/>
    <s v="TINV.18.D.741.NA"/>
    <s v="NetAdmin Gerenciamento das estações de trabalho"/>
    <s v="O projeto refere-se à contratação do licenciamento do software NetAdmin para a gestão e inventário lógico de estações de trabalho e demais ativos utilizados na rede de dados da Cemig."/>
    <s v="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
    <m/>
    <n v="0"/>
    <n v="150"/>
    <n v="0"/>
    <n v="0"/>
    <n v="0"/>
    <n v="0"/>
    <n v="0"/>
    <n v="0"/>
    <n v="150"/>
    <n v="0"/>
    <n v="0"/>
    <n v="0"/>
    <n v="0"/>
    <n v="0"/>
    <n v="0"/>
    <n v="0"/>
    <n v="0"/>
    <n v="0"/>
    <n v="0"/>
    <n v="0"/>
    <n v="0"/>
    <n v="0"/>
  </r>
  <r>
    <x v="2"/>
    <x v="14"/>
    <s v="TI/SI"/>
    <s v="DGE"/>
    <s v="Álisson Costa"/>
    <s v="TI03317"/>
    <s v="TINV.17.D.042.DR"/>
    <s v="Novo Sistema de Controle de Documentos Regulatórios"/>
    <s v="Substituição do sistema Condor - Controle de Documentos Regulatórios."/>
    <s v="Ocorrência de falhas na operação e na gestão do sistema; Impacto no processo de envio e recepção de documentos."/>
    <m/>
    <n v="108.51967239379883"/>
    <n v="30"/>
    <n v="39"/>
    <n v="0"/>
    <n v="39"/>
    <n v="30"/>
    <n v="0"/>
    <n v="31.580329999999996"/>
    <n v="278.10000239379883"/>
    <n v="14"/>
    <n v="0"/>
    <n v="20"/>
    <n v="15"/>
    <n v="15"/>
    <n v="30"/>
    <n v="30"/>
    <n v="0"/>
    <n v="0"/>
    <n v="0"/>
    <n v="0"/>
    <n v="0"/>
    <n v="124"/>
  </r>
  <r>
    <x v="2"/>
    <x v="14"/>
    <s v="TI/IO"/>
    <s v="DDC"/>
    <s v="Carlos Araújo"/>
    <s v="NA"/>
    <s v="-"/>
    <s v="PLS-CADD"/>
    <s v="Aquisição de 2 licenças do software PLS-CADD"/>
    <s v="Comprometimento ao atendimento dos projetos de expansão do ciclo tarifário (2018/2022)._x000a_Comprometimento da produtividade da equipe devido à indisponibilidade de licenças suficientes para trabalhar com o SPELT."/>
    <m/>
    <n v="0"/>
    <n v="0"/>
    <n v="0"/>
    <n v="120"/>
    <n v="0"/>
    <n v="0"/>
    <n v="0"/>
    <n v="0"/>
    <n v="120"/>
    <n v="0"/>
    <n v="0"/>
    <n v="0"/>
    <n v="0"/>
    <n v="0"/>
    <n v="0"/>
    <n v="0"/>
    <n v="0"/>
    <n v="0"/>
    <n v="0"/>
    <n v="0"/>
    <n v="0"/>
    <n v="0"/>
  </r>
  <r>
    <x v="2"/>
    <x v="14"/>
    <s v="TI/TC"/>
    <s v="DGE"/>
    <s v="Roberto Sebastião"/>
    <s v="NA"/>
    <s v="-"/>
    <s v="Pontes fase 2 - Aquisição de Routers para eliminação de Terminais Servers"/>
    <m/>
    <m/>
    <m/>
    <n v="0"/>
    <n v="0"/>
    <n v="0"/>
    <n v="0"/>
    <n v="0"/>
    <n v="0"/>
    <n v="0"/>
    <n v="0"/>
    <n v="0"/>
    <n v="0"/>
    <n v="0"/>
    <n v="0"/>
    <n v="0"/>
    <n v="0"/>
    <n v="0"/>
    <n v="0"/>
    <n v="1400"/>
    <n v="0"/>
    <n v="0"/>
    <n v="0"/>
    <n v="0"/>
    <n v="1400"/>
  </r>
  <r>
    <x v="2"/>
    <x v="14"/>
    <s v="TI/SI"/>
    <s v="DGE"/>
    <s v="Álisson Costa"/>
    <s v="TI02318"/>
    <s v="TINV.18.D.042.GP"/>
    <s v="Portal Geográfico Cemig - GeoPortal"/>
    <s v="Construção de um portal unificado com diversas feições geográficas de interesse corporativo da Cemig; Utilização de uma IDE geográfica e padronização das funcionalidades espaciais; Concentração dos produtos de geoprocessamento para maior visibilidade dos usuários."/>
    <s v="Dispersão das aplicações de geoprocessamento dentro da Cemignet, dificultando a localização e o acesso às funcionalidades; Falta de um padrão visual e de interface com os usuários; Aumento no custo tanto para a construção individualizada, como para as futuras manutenções."/>
    <m/>
    <n v="0"/>
    <n v="0"/>
    <n v="0"/>
    <n v="0"/>
    <n v="75"/>
    <n v="75"/>
    <n v="75"/>
    <n v="75"/>
    <n v="300"/>
    <n v="50"/>
    <n v="50"/>
    <n v="50"/>
    <n v="50"/>
    <n v="50"/>
    <n v="50"/>
    <n v="50"/>
    <n v="50"/>
    <n v="50"/>
    <n v="50"/>
    <n v="50"/>
    <n v="50"/>
    <n v="600"/>
  </r>
  <r>
    <x v="2"/>
    <x v="14"/>
    <s v="TI/SI"/>
    <s v="DGE"/>
    <s v="Álisson Costa"/>
    <s v="TI01317"/>
    <s v="TINV.17.D.042.PG"/>
    <s v="Portal Geográfico de Meteorologia"/>
    <s v="Construção do portal com feição geográfica para visão dos eventos meteorológicos no sistema elétrico."/>
    <s v="Falta de funcionalidades para gestão; Ausência de informações importantes para a tomada de decisão."/>
    <m/>
    <n v="141.84867095947266"/>
    <n v="19.28049"/>
    <n v="15"/>
    <n v="15"/>
    <n v="19"/>
    <n v="19.883230000000001"/>
    <n v="25"/>
    <n v="21.990000000000002"/>
    <n v="277.00239095947262"/>
    <n v="0"/>
    <n v="0"/>
    <n v="0"/>
    <n v="0"/>
    <n v="0"/>
    <n v="0"/>
    <n v="0"/>
    <n v="0"/>
    <n v="0"/>
    <n v="0"/>
    <n v="0"/>
    <n v="0"/>
    <n v="0"/>
  </r>
  <r>
    <x v="2"/>
    <x v="14"/>
    <s v="TI/IO"/>
    <s v="DDC"/>
    <s v="Carlos Araújo"/>
    <s v="NA"/>
    <s v="-"/>
    <s v="Programa de cálculo de janela de travessia e balanço de cabos"/>
    <s v="Cálculo de janelas de travessias de MD sob LD e de balanço de cabos._x000a_8 licenças."/>
    <s v="Atendimento à demanda continuará com a EA/EP, consumindo recurso humano de um profissional em tempo integral e comprometendo seu desempenho e o atendimento às demandas de expansão. "/>
    <m/>
    <n v="0"/>
    <n v="0"/>
    <n v="72"/>
    <n v="0"/>
    <n v="0"/>
    <n v="0"/>
    <n v="0"/>
    <n v="0"/>
    <n v="72"/>
    <n v="0"/>
    <n v="0"/>
    <n v="0"/>
    <n v="0"/>
    <n v="0"/>
    <n v="0"/>
    <n v="0"/>
    <n v="0"/>
    <n v="0"/>
    <n v="0"/>
    <n v="0"/>
    <n v="0"/>
    <n v="0"/>
  </r>
  <r>
    <x v="2"/>
    <x v="14"/>
    <s v="TI/IO"/>
    <s v="DDC"/>
    <s v="Carlos Araújo"/>
    <s v="NA"/>
    <s v="-"/>
    <s v="Programa para substituição do Sistproj"/>
    <s v="Programa para cálculo de rotinas de projetos de LD._x000a_2 licenças"/>
    <s v="Paralização de atividades de projetos executivos de LD com comprometimento de prazos e custos dos planos de expansão._x000a_Impossibilidade de realizar a elaboração e a conferência de projetos contratados que utilizem resultados destas rotinas, que são comuns."/>
    <m/>
    <n v="0"/>
    <n v="95"/>
    <n v="0"/>
    <n v="0"/>
    <n v="0"/>
    <n v="0"/>
    <n v="0"/>
    <n v="0"/>
    <n v="95"/>
    <n v="0"/>
    <n v="0"/>
    <n v="0"/>
    <n v="0"/>
    <n v="0"/>
    <n v="0"/>
    <n v="0"/>
    <n v="0"/>
    <n v="0"/>
    <n v="0"/>
    <n v="0"/>
    <n v="0"/>
    <n v="0"/>
  </r>
  <r>
    <x v="2"/>
    <x v="14"/>
    <s v="TI/SI"/>
    <s v="DDC"/>
    <s v="Roberto Proença"/>
    <s v="TI05718"/>
    <s v="TINV.18.D.042.CI"/>
    <s v="Projeto Compartilhamento de Infraestrutura (antigo Projeto Uso Mútuo)"/>
    <s v="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
    <s v="Risco regulatório por não atendimento da resolução (RC004/2014); Perda de oportunidade de melhoria da base cadastral de compartilhamento de infraestrutura; Possível perda de receita devido falta de ferramentas para gestão do compartilhamento de infraestrutura."/>
    <m/>
    <n v="0"/>
    <n v="0"/>
    <n v="0"/>
    <n v="0"/>
    <n v="0"/>
    <n v="30"/>
    <n v="30"/>
    <n v="60"/>
    <n v="120"/>
    <n v="60"/>
    <n v="60"/>
    <n v="60"/>
    <n v="60"/>
    <n v="0"/>
    <n v="0"/>
    <n v="0"/>
    <n v="0"/>
    <n v="0"/>
    <n v="0"/>
    <n v="0"/>
    <n v="0"/>
    <n v="240"/>
  </r>
  <r>
    <x v="2"/>
    <x v="14"/>
    <s v="TI/RT"/>
    <s v="DGE"/>
    <s v="Sérgio Mourthé"/>
    <s v="NA"/>
    <s v="-"/>
    <s v="Projeto de Atualização da Versão do SAP CRM"/>
    <s v="Projeto de Atualização da Versão do SAP CRM"/>
    <s v="Impacto no atendimento aos clientes; Defasagem tecnológica;"/>
    <m/>
    <n v="0"/>
    <n v="0"/>
    <n v="0"/>
    <n v="0"/>
    <n v="0"/>
    <n v="0"/>
    <n v="0"/>
    <n v="0"/>
    <n v="0"/>
    <n v="0"/>
    <n v="0"/>
    <n v="0"/>
    <n v="0"/>
    <n v="0"/>
    <n v="0"/>
    <n v="0"/>
    <n v="0"/>
    <n v="0"/>
    <n v="0"/>
    <n v="0"/>
    <n v="0"/>
    <n v="0"/>
  </r>
  <r>
    <x v="2"/>
    <x v="14"/>
    <s v="TI/SI"/>
    <s v="DGE"/>
    <s v="Álisson Costa"/>
    <s v="TI01813"/>
    <s v="TINV.14.D.042.SO"/>
    <s v="Projeto Implantação do e-Social"/>
    <s v="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
    <s v="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
    <m/>
    <n v="133.71533203125"/>
    <n v="132"/>
    <n v="184"/>
    <n v="53"/>
    <n v="72"/>
    <n v="42"/>
    <n v="12"/>
    <n v="2"/>
    <n v="630.71533203125"/>
    <n v="37"/>
    <n v="2"/>
    <n v="15"/>
    <n v="0"/>
    <n v="0"/>
    <n v="0"/>
    <n v="0"/>
    <n v="0"/>
    <n v="0"/>
    <n v="0"/>
    <n v="0"/>
    <n v="0"/>
    <n v="54"/>
  </r>
  <r>
    <x v="2"/>
    <x v="14"/>
    <s v="TI/SI"/>
    <s v="DGE"/>
    <s v="Álisson Costa"/>
    <s v="NA"/>
    <s v="-"/>
    <s v="Prospecção Tecnológica, Desenvolvimento, Sustentação e Documentação de Sistemas de Engenharia que atendem os processos da empresa Cemig D"/>
    <s v="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
    <s v="Impacto em diversas iniciativas, paralisando as adequações de processo, desenvolvimento de novos sistemas ou módulos, implementação de automações, entre outros, impedindo a evolução das ferramentas e operações de rotina das áreas da Cemig D."/>
    <m/>
    <n v="0"/>
    <n v="0"/>
    <n v="0"/>
    <n v="0"/>
    <n v="0"/>
    <n v="0"/>
    <n v="0"/>
    <n v="0"/>
    <n v="0"/>
    <n v="0"/>
    <n v="0"/>
    <n v="0"/>
    <n v="0"/>
    <n v="0"/>
    <n v="0"/>
    <n v="0"/>
    <n v="0"/>
    <n v="0"/>
    <n v="0"/>
    <n v="0"/>
    <n v="35"/>
    <n v="35"/>
  </r>
  <r>
    <x v="2"/>
    <x v="14"/>
    <s v="TI/TC"/>
    <s v="DGE"/>
    <s v="Roberto Sebastião"/>
    <s v="TI00918"/>
    <s v="TINV.18.D.054.EX"/>
    <s v="Proteção Gateway Exchange"/>
    <s v="Antivirus para verificação de ameaças em caixas particulares de emails"/>
    <s v="Contaminação com virus e outros Malwares de arquivos contidos em pastas particulares do exchange"/>
    <m/>
    <n v="0"/>
    <n v="0"/>
    <n v="0"/>
    <n v="0"/>
    <n v="0"/>
    <n v="0"/>
    <n v="0"/>
    <n v="0"/>
    <n v="0"/>
    <n v="0"/>
    <n v="0"/>
    <n v="843"/>
    <n v="202"/>
    <n v="0"/>
    <n v="0"/>
    <n v="0"/>
    <n v="0"/>
    <n v="0"/>
    <n v="0"/>
    <n v="0"/>
    <n v="0"/>
    <n v="1045"/>
  </r>
  <r>
    <x v="2"/>
    <x v="14"/>
    <s v="TI/TC"/>
    <s v="DDC"/>
    <s v="Roberto Sebastião"/>
    <s v="TI05418"/>
    <s v="TINV.18.D.054.DM"/>
    <s v="Readequações DMZs"/>
    <s v="Aquisição de solução e ativos de Rede IP para reestruturação das DMZs das redes Corporativa e Operativa da Cemig; Atualização tecnológica da solução, que garante segmentação de redes para prover segurança contra ataques cibernéticos."/>
    <s v="Indisponibilidade de sistemas críticos, provocada por ataques cibernéticos; Indisponibilidade de sistemas críticos, provocada porfalhas em equipamentos desatualizados e sem suporte do fabricante; Roubo de informações críticas em decorrência de ataques cibernéticos."/>
    <m/>
    <n v="0"/>
    <n v="0"/>
    <n v="0"/>
    <n v="0"/>
    <n v="0"/>
    <n v="60"/>
    <n v="440"/>
    <n v="0"/>
    <n v="500"/>
    <n v="0"/>
    <n v="0"/>
    <n v="0"/>
    <n v="0"/>
    <n v="0"/>
    <n v="0"/>
    <n v="0"/>
    <n v="0"/>
    <n v="0"/>
    <n v="0"/>
    <n v="0"/>
    <n v="0"/>
    <n v="0"/>
  </r>
  <r>
    <x v="2"/>
    <x v="14"/>
    <s v="TI/SI"/>
    <s v="DGE"/>
    <s v="Álisson Costa"/>
    <s v=" NA"/>
    <s v="-"/>
    <s v="Reimplantação do HR (Back to Standard)"/>
    <m/>
    <m/>
    <m/>
    <n v="0"/>
    <n v="0"/>
    <n v="0"/>
    <n v="0"/>
    <n v="0"/>
    <n v="0"/>
    <n v="0"/>
    <n v="0"/>
    <n v="0"/>
    <n v="0"/>
    <n v="0"/>
    <n v="0"/>
    <n v="0"/>
    <n v="0"/>
    <n v="0"/>
    <n v="300"/>
    <n v="0"/>
    <n v="0"/>
    <n v="0"/>
    <n v="0"/>
    <n v="0"/>
    <n v="300"/>
  </r>
  <r>
    <x v="2"/>
    <x v="14"/>
    <s v="TI/TC"/>
    <s v="DGE"/>
    <s v="Roberto Sebastião"/>
    <s v="TI01218"/>
    <s v="TINV.18.D.054.GR"/>
    <s v="Renovação softwares de gerência de rede Cisco"/>
    <s v="Softwares de Gerência de Rede Prime, ISE, DHCP, IPAM, MSE, Provision, APIC-EM, Call manager Cisco"/>
    <s v="Riscos de indisponibilidade de Rede por falta de gerência das soluções adotadas."/>
    <m/>
    <n v="0"/>
    <n v="0"/>
    <n v="0"/>
    <n v="0"/>
    <n v="0"/>
    <n v="0"/>
    <n v="0"/>
    <n v="0"/>
    <n v="0"/>
    <n v="0"/>
    <n v="0"/>
    <n v="221"/>
    <n v="58"/>
    <n v="0"/>
    <n v="0"/>
    <n v="0"/>
    <n v="0"/>
    <n v="0"/>
    <n v="0"/>
    <n v="0"/>
    <n v="0"/>
    <n v="279"/>
  </r>
  <r>
    <x v="2"/>
    <x v="14"/>
    <s v="TI/SI"/>
    <s v="DGE"/>
    <s v="Álisson Costa"/>
    <s v="NA"/>
    <s v="-"/>
    <s v="Revisão simplificada do SGO"/>
    <s v="Este projeto atende a demanda para a revisão do Sistema de Gestão de Obras – SGO, que requer melhorias evolutivas desde sua implantação."/>
    <s v="Dificuldade para a gestão das obras e empreendimentos da Distribuidora; em ausência de uma revisão na modelagem de dados do sistema atual; e em baixa performance da customização, com geração de relatórios de análise inadequados. "/>
    <m/>
    <n v="0"/>
    <n v="0"/>
    <n v="0"/>
    <n v="0"/>
    <n v="0"/>
    <n v="0"/>
    <n v="0"/>
    <n v="0"/>
    <n v="0"/>
    <n v="0"/>
    <n v="0"/>
    <n v="0"/>
    <n v="0"/>
    <n v="0"/>
    <n v="0"/>
    <n v="0"/>
    <n v="0"/>
    <n v="0"/>
    <n v="0"/>
    <n v="0"/>
    <n v="0"/>
    <n v="0"/>
  </r>
  <r>
    <x v="2"/>
    <x v="14"/>
    <s v="TI/SI"/>
    <s v="DDC"/>
    <s v="Álisson Costa"/>
    <s v="NA"/>
    <s v="-"/>
    <s v="SADNET"/>
    <s v="Aquisição e implantação de Sistema de coleta, tratamento de registros oscilográficos e localização de faltas em subestações, linhas e redes de distribuição"/>
    <s v="Não redução do custos de Opex com serviço de campo para  análise e localização de faltas e ocorrências no SEP. Degradação dos indicadores de qualidade, dentre eles o DEC"/>
    <m/>
    <n v="0"/>
    <n v="0"/>
    <n v="0"/>
    <n v="0"/>
    <n v="0"/>
    <n v="0"/>
    <n v="0"/>
    <n v="0"/>
    <n v="0"/>
    <n v="0"/>
    <n v="0"/>
    <n v="0"/>
    <n v="200"/>
    <n v="0"/>
    <n v="150"/>
    <n v="0"/>
    <n v="0"/>
    <n v="0"/>
    <n v="0"/>
    <n v="0"/>
    <n v="0"/>
    <n v="350"/>
  </r>
  <r>
    <x v="2"/>
    <x v="14"/>
    <s v="TI/SI"/>
    <s v="DGE"/>
    <s v="Álisson Costa"/>
    <s v="NA"/>
    <s v="-"/>
    <s v="Sistema de Controle de Jornada"/>
    <m/>
    <m/>
    <m/>
    <n v="0"/>
    <n v="0"/>
    <n v="0"/>
    <n v="0"/>
    <n v="0"/>
    <m/>
    <m/>
    <m/>
    <n v="0"/>
    <n v="0"/>
    <n v="0"/>
    <n v="0"/>
    <n v="0"/>
    <n v="0"/>
    <n v="0"/>
    <n v="100"/>
    <n v="0"/>
    <n v="250"/>
    <n v="0"/>
    <n v="241"/>
    <n v="0"/>
    <n v="591"/>
  </r>
  <r>
    <x v="2"/>
    <x v="14"/>
    <s v="TI/SI"/>
    <s v="DDC"/>
    <s v="Álisson Costa"/>
    <s v="NA"/>
    <s v="-"/>
    <s v="Sistema de Controle e Suporte"/>
    <s v="Desenvolvimento de software para atividades voltadas para Contratos de Suporte."/>
    <s v="Acompanhamento manual das atividades, aumentando o risco de remuneração indevida por produtividade."/>
    <m/>
    <n v="0"/>
    <n v="0"/>
    <n v="0"/>
    <n v="25"/>
    <n v="25"/>
    <n v="50"/>
    <n v="25"/>
    <n v="75"/>
    <n v="200"/>
    <n v="0"/>
    <n v="0"/>
    <n v="0"/>
    <n v="0"/>
    <n v="0"/>
    <n v="0"/>
    <n v="0"/>
    <n v="0"/>
    <n v="0"/>
    <n v="0"/>
    <n v="0"/>
    <n v="0"/>
    <n v="0"/>
  </r>
  <r>
    <x v="2"/>
    <x v="14"/>
    <s v="TI/SI"/>
    <s v="DGE"/>
    <s v="Roberto Proença"/>
    <s v="TI02516"/>
    <s v="TINV.16.D.042.GA"/>
    <s v="Sistema de Gestão de Árvores - GDIS AR"/>
    <s v="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
    <s v="Não efetuar gestão e priorização de podas e limpezas de faixa de maneira eficiente incorrendo em riscos de utilização de orçamento disponível de forma empírica e pouco eficaz."/>
    <m/>
    <n v="0"/>
    <n v="0"/>
    <n v="0"/>
    <n v="0"/>
    <n v="100"/>
    <n v="100"/>
    <n v="125"/>
    <n v="124"/>
    <n v="449"/>
    <n v="0"/>
    <n v="0"/>
    <n v="0"/>
    <n v="0"/>
    <n v="0"/>
    <n v="0"/>
    <n v="0"/>
    <n v="0"/>
    <n v="0"/>
    <n v="0"/>
    <n v="0"/>
    <n v="0"/>
    <n v="0"/>
  </r>
  <r>
    <x v="2"/>
    <x v="14"/>
    <s v="TI/SI"/>
    <s v="DGE"/>
    <s v="Álisson Costa"/>
    <s v="NA"/>
    <s v="-"/>
    <s v="Sistema de Gestão de Leituras - SGL"/>
    <s v="Construção do módulo SGL-WEB"/>
    <m/>
    <m/>
    <n v="0"/>
    <n v="0"/>
    <n v="0"/>
    <n v="0"/>
    <n v="0"/>
    <n v="0"/>
    <n v="0"/>
    <n v="0"/>
    <n v="0"/>
    <n v="0"/>
    <n v="0"/>
    <n v="0"/>
    <n v="0"/>
    <n v="0"/>
    <n v="0"/>
    <n v="0"/>
    <n v="0"/>
    <n v="0"/>
    <n v="0"/>
    <n v="0"/>
    <n v="0"/>
    <n v="0"/>
  </r>
  <r>
    <x v="2"/>
    <x v="14"/>
    <s v="TI/RT"/>
    <s v="DGE"/>
    <s v="Heberte Faria"/>
    <s v="TI02616"/>
    <s v="TINV.16.D.042.CS"/>
    <s v="Sistema de Gestão de Serviços Corporativos em BPMS"/>
    <s v="Construção de um sistema para a área de serviços corporativos compartilhados, baseado na modelagem de processo de negócio; Padronização e Unificação de ferramentas usadas nos processos assumidos pela superintendência SC."/>
    <s v="Baixa produtividade das equipes centralizadas; Falta de padronização das ferramentas utilizadas; Demora no atendimento aos serviços corporativos compartilhados."/>
    <m/>
    <n v="0"/>
    <n v="0"/>
    <n v="47"/>
    <n v="50"/>
    <n v="0"/>
    <n v="0"/>
    <n v="0"/>
    <n v="0"/>
    <n v="97"/>
    <n v="0"/>
    <n v="0"/>
    <n v="0"/>
    <n v="0"/>
    <n v="0"/>
    <n v="0"/>
    <n v="0"/>
    <n v="0"/>
    <n v="0"/>
    <n v="0"/>
    <n v="0"/>
    <n v="0"/>
    <n v="0"/>
  </r>
  <r>
    <x v="2"/>
    <x v="14"/>
    <s v="TI/SI"/>
    <s v="DDC"/>
    <s v="Álisson Costa"/>
    <s v="NA"/>
    <s v="-"/>
    <s v="Sistema de gestão e monitoramento  da integração de comunicação do sistema SCADA"/>
    <s v="Aquisição de sistema de gestão e monitoramento  da integração de comunicação do sistema SCADA"/>
    <s v=" Elevação da indisponibilidade do telecontrole das SEs com forte impacto na operação do sistema elétrico e  degradação dos indicadores de qualidade, dentre eles o DEC. "/>
    <m/>
    <n v="0"/>
    <n v="0"/>
    <n v="0"/>
    <n v="0"/>
    <n v="0"/>
    <n v="0"/>
    <n v="0"/>
    <n v="0"/>
    <n v="0"/>
    <n v="0"/>
    <n v="0"/>
    <n v="0"/>
    <n v="0"/>
    <n v="0"/>
    <n v="300"/>
    <n v="0"/>
    <n v="0"/>
    <n v="0"/>
    <n v="0"/>
    <n v="0"/>
    <n v="200"/>
    <n v="500"/>
  </r>
  <r>
    <x v="2"/>
    <x v="14"/>
    <s v="TI/SI"/>
    <s v="DGE"/>
    <s v="Roberto Proença"/>
    <s v="TI02416"/>
    <s v="TINV.16.D.042.SI"/>
    <s v="Sistema de Inteligência de Negócios de Distribuição "/>
    <s v="Criação de  ferramentas analíticas para disponibilização de informações gerenciais e estrategicas as áreas de Negocio da Distribuição"/>
    <s v="Incapacidade de análise de dados estratégicos da distribuição reduzindo as informações para decisões importantes para os ganhos de negócio da empresa."/>
    <m/>
    <n v="69.509599685668945"/>
    <n v="0"/>
    <n v="0"/>
    <n v="0"/>
    <n v="0"/>
    <n v="0"/>
    <n v="0"/>
    <n v="50"/>
    <n v="119.50959968566895"/>
    <n v="0"/>
    <n v="0"/>
    <n v="100"/>
    <n v="0"/>
    <n v="0"/>
    <n v="100"/>
    <n v="0"/>
    <n v="0"/>
    <n v="0"/>
    <n v="130"/>
    <n v="0"/>
    <n v="350"/>
    <n v="680"/>
  </r>
  <r>
    <x v="2"/>
    <x v="14"/>
    <s v="TI/SI"/>
    <s v="DDC"/>
    <s v="Álisson Costa"/>
    <s v="NA"/>
    <s v="-"/>
    <s v="Sistema de selfhealing descentralizado"/>
    <s v="Aquisição e implantação de sistema de selfhealing descentralizado para 800 equipamentos telecontrolados da rede de Média Tensão "/>
    <s v="Não redução do custos de Opex com serviço de campo nas ocorrências no SEP. Não será capturado melhoria dos indicadores de qualidade, dentre eles o DEC"/>
    <m/>
    <n v="0"/>
    <n v="0"/>
    <n v="0"/>
    <n v="0"/>
    <n v="0"/>
    <n v="0"/>
    <n v="0"/>
    <n v="0"/>
    <n v="0"/>
    <n v="50"/>
    <n v="50"/>
    <n v="100"/>
    <n v="100"/>
    <n v="150"/>
    <n v="300"/>
    <n v="300"/>
    <n v="300"/>
    <n v="300"/>
    <n v="350"/>
    <n v="350"/>
    <n v="150"/>
    <n v="2500"/>
  </r>
  <r>
    <x v="2"/>
    <x v="14"/>
    <s v="TI/SI"/>
    <s v="DDC"/>
    <s v="Álisson Costa"/>
    <s v="NA"/>
    <s v="-"/>
    <s v="Sistema Nix"/>
    <s v="Aquisição e implantação de sistema Solução Inteligente para Estudos de Proteção de Sistemas de Distribuição de Energia Elétrica"/>
    <s v="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
    <m/>
    <n v="0"/>
    <n v="0"/>
    <n v="0"/>
    <n v="0"/>
    <n v="0"/>
    <n v="500"/>
    <n v="0"/>
    <n v="0"/>
    <n v="500"/>
    <n v="0"/>
    <n v="0"/>
    <n v="0"/>
    <n v="0"/>
    <n v="0"/>
    <n v="0"/>
    <n v="0"/>
    <n v="0"/>
    <n v="0"/>
    <n v="0"/>
    <n v="0"/>
    <n v="0"/>
    <n v="0"/>
  </r>
  <r>
    <x v="2"/>
    <x v="14"/>
    <s v="TI/SI"/>
    <s v="DGE"/>
    <s v="Álisson Costa"/>
    <s v="TI03417"/>
    <s v="TINV.17.D.042.SS"/>
    <s v="Sistema SAM"/>
    <s v="Construção e desenvolvimento do sistema SAM no ambiente SAP ECC."/>
    <s v="Atrasos nos procedimentos e processos das equipes nas áreas de negócio (engenharia); Multas pelo não atendimento dos compromissos obrigatórios dentro do prazo esperado pelos agentes governamentais."/>
    <m/>
    <n v="813.67767333984375"/>
    <n v="86.322310000000002"/>
    <n v="0"/>
    <n v="0"/>
    <n v="0"/>
    <n v="0"/>
    <n v="0"/>
    <n v="0"/>
    <n v="899.99998333984377"/>
    <n v="0"/>
    <n v="0"/>
    <n v="0"/>
    <n v="0"/>
    <n v="0"/>
    <n v="0"/>
    <n v="0"/>
    <n v="0"/>
    <n v="0"/>
    <n v="0"/>
    <n v="0"/>
    <n v="0"/>
    <n v="0"/>
  </r>
  <r>
    <x v="2"/>
    <x v="14"/>
    <s v="TI/TC"/>
    <s v="DGE"/>
    <s v="Sebastião Jacinto"/>
    <s v="TI05118"/>
    <s v="TINV.18.D.054.VW"/>
    <s v="Sistema Video Wall"/>
    <s v="Aquisição de video wall para o centro de operação de telecomunicações. Equipamento será utilizado para a supervição do sistema de telecomunicações."/>
    <s v="Ineficiência na identificação de problemas na rede. Aumento do tempo no reparo de defeitos na rede. Aumento de custo para na identificação de defeitos."/>
    <m/>
    <n v="0"/>
    <n v="0"/>
    <n v="0"/>
    <n v="0"/>
    <n v="200"/>
    <n v="0"/>
    <n v="0"/>
    <n v="0"/>
    <n v="200"/>
    <n v="0"/>
    <n v="0"/>
    <n v="0"/>
    <n v="0"/>
    <n v="0"/>
    <n v="0"/>
    <n v="0"/>
    <n v="0"/>
    <n v="0"/>
    <n v="0"/>
    <n v="0"/>
    <n v="0"/>
    <n v="0"/>
  </r>
  <r>
    <x v="2"/>
    <x v="14"/>
    <s v="TI/SI"/>
    <s v="DGE"/>
    <s v="Álisson Costa"/>
    <s v="NA"/>
    <s v="-"/>
    <s v="Sistemas Especialistas - GEO e GED"/>
    <s v="O projeto refere-se à prospecção, ao desenvolvimento e à implantação de soluções baseadas nas tecnologias GED, Geoprocessamento e BPM."/>
    <s v="Incapacidade de atendimento de solicitações das áreas de negócio da Cemig, relativas aos sistemas."/>
    <m/>
    <n v="0"/>
    <n v="0"/>
    <n v="0"/>
    <n v="0"/>
    <n v="0"/>
    <n v="0"/>
    <n v="0"/>
    <n v="0"/>
    <n v="0"/>
    <n v="0"/>
    <n v="0"/>
    <n v="0"/>
    <n v="0"/>
    <n v="0"/>
    <n v="0"/>
    <n v="0"/>
    <n v="0"/>
    <n v="0"/>
    <n v="0"/>
    <n v="0"/>
    <n v="0"/>
    <n v="0"/>
  </r>
  <r>
    <x v="2"/>
    <x v="14"/>
    <s v="TI/SI"/>
    <s v="DGE"/>
    <s v="Álisson Costa"/>
    <s v="NA"/>
    <s v="-"/>
    <s v="Sistemas WEB e SharePoint"/>
    <s v="O projeto atende à necessidade de evolução e desenvolvimento de softwares disponibilizados no ambiente da Intranet da Cemig."/>
    <s v="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
    <m/>
    <n v="0"/>
    <n v="0"/>
    <n v="0"/>
    <n v="0"/>
    <n v="50"/>
    <n v="50"/>
    <n v="55"/>
    <n v="100"/>
    <n v="255"/>
    <n v="0"/>
    <n v="25"/>
    <n v="25"/>
    <n v="40"/>
    <n v="50"/>
    <n v="50"/>
    <n v="30"/>
    <n v="30"/>
    <n v="50"/>
    <n v="50"/>
    <n v="50"/>
    <n v="100"/>
    <n v="500"/>
  </r>
  <r>
    <x v="2"/>
    <x v="14"/>
    <s v="TI/RT"/>
    <s v="DGE"/>
    <s v="Márcio Machado"/>
    <s v="NA"/>
    <s v="-"/>
    <s v="Software para Análise de Vulnerabilidades em Redes e Sistemas"/>
    <s v="Aquisição de ferramenta para análise de vulnerabilidades em Redes e Sistemas. Vulnerabilidades em redes e sistemas são utilizadas por atacantes cibernéticos para o roubo de informações confidenciais e invasão de redes corporativas e, se não forem identificadas e corrigidas antes que sejam exploradas, podem causar a interrupção total ou parcial dos negócios da Empresa. No processo de segurança da informação existem medidas preventivas e corretivas que podem ser tomadas de acordo com a situação de risco e a  linha do tempo.  A análise de vulnerabilidades é uma atividade que ocorre na fase de prevenção, onde ainda é possível evitar que uma ameaça explore uma vulnerabilidade e traga prejuízos financeiros e/ou à imagem da Cemig."/>
    <s v="Descontinuidade de serviços informatizados_x000a_Roubo de informações confidenciais e invasão de redes corporativas"/>
    <m/>
    <n v="0"/>
    <n v="0"/>
    <n v="0"/>
    <n v="0"/>
    <n v="0"/>
    <n v="0"/>
    <n v="0"/>
    <n v="80"/>
    <n v="80"/>
    <n v="0"/>
    <n v="0"/>
    <n v="0"/>
    <n v="0"/>
    <n v="0"/>
    <n v="0"/>
    <n v="0"/>
    <n v="0"/>
    <n v="0"/>
    <n v="0"/>
    <n v="0"/>
    <n v="0"/>
    <n v="0"/>
  </r>
  <r>
    <x v="2"/>
    <x v="14"/>
    <s v="TI/SI"/>
    <s v="DGE"/>
    <s v="Álisson Costa"/>
    <s v="NA"/>
    <s v="-"/>
    <s v="Software: Automatização de Processos de Suprimentos - BPMS"/>
    <s v="Desenvolvimento do sistema BPMS (IBM) para automatização dos processos da Cadeia de Suprimentos da Cemig."/>
    <s v="Processos de contratação despadronizados, pulverizados e sem controle das etapas e workflow."/>
    <m/>
    <n v="0"/>
    <n v="0"/>
    <n v="0"/>
    <n v="0"/>
    <m/>
    <m/>
    <m/>
    <n v="100"/>
    <n v="100"/>
    <n v="0"/>
    <n v="0"/>
    <n v="50"/>
    <n v="0"/>
    <n v="0"/>
    <n v="75"/>
    <n v="0"/>
    <n v="0"/>
    <n v="75"/>
    <n v="0"/>
    <n v="0"/>
    <n v="0"/>
    <n v="200"/>
  </r>
  <r>
    <x v="2"/>
    <x v="14"/>
    <s v="TI/SI"/>
    <s v="DGE"/>
    <s v="Álisson Costa"/>
    <s v="NA"/>
    <s v="-"/>
    <s v="Software: Banco de Preço e Inteligência em Compras"/>
    <s v="Imprementar a Assinatura Digital para o processo de Suprimentos"/>
    <s v="Continuar com os processos de contratação morosos, com assinatura física de documentos, impressão e altos custos com os Correios."/>
    <m/>
    <n v="0"/>
    <n v="0"/>
    <n v="0"/>
    <n v="0"/>
    <n v="0"/>
    <n v="0"/>
    <n v="40"/>
    <n v="40"/>
    <n v="80"/>
    <n v="0"/>
    <n v="0"/>
    <n v="30"/>
    <n v="0"/>
    <n v="15"/>
    <n v="30"/>
    <n v="0"/>
    <n v="15"/>
    <n v="30"/>
    <n v="0"/>
    <n v="0"/>
    <n v="30"/>
    <n v="150"/>
  </r>
  <r>
    <x v="2"/>
    <x v="14"/>
    <s v="TI/SI"/>
    <s v="DGE"/>
    <s v="Álisson Costa"/>
    <s v="NA"/>
    <m/>
    <s v="Software: Chatbot de atendimento do cadastro de fornecedores"/>
    <m/>
    <m/>
    <m/>
    <m/>
    <m/>
    <m/>
    <m/>
    <m/>
    <m/>
    <m/>
    <n v="50"/>
    <n v="50"/>
    <n v="0"/>
    <n v="0"/>
    <n v="0"/>
    <n v="0"/>
    <n v="0"/>
    <n v="20"/>
    <n v="0"/>
    <n v="0"/>
    <n v="0"/>
    <n v="0"/>
    <n v="0"/>
    <n v="0"/>
    <n v="20"/>
  </r>
  <r>
    <x v="2"/>
    <x v="14"/>
    <s v="TI/SI"/>
    <s v="DGE"/>
    <s v="Álisson Costa"/>
    <s v="NA"/>
    <s v="-"/>
    <s v="Software: Desenvolvimento BI"/>
    <s v="Desenvolvimento de um sistema que faça o controle das cláusulas editalícias e contratuais, permitindo ao usuário montar os editais e contratos de forma automatizada e padronizada."/>
    <s v="Morosidade na confecção de editais e contratos, falta de padronização e controle das cláusulas utilizadas."/>
    <m/>
    <n v="0"/>
    <n v="0"/>
    <n v="0"/>
    <n v="0"/>
    <n v="0"/>
    <n v="0"/>
    <n v="50"/>
    <n v="50"/>
    <n v="100"/>
    <n v="30"/>
    <n v="30"/>
    <n v="30"/>
    <n v="30"/>
    <n v="0"/>
    <n v="0"/>
    <n v="0"/>
    <n v="0"/>
    <n v="0"/>
    <n v="0"/>
    <n v="0"/>
    <n v="0"/>
    <n v="120"/>
  </r>
  <r>
    <x v="2"/>
    <x v="14"/>
    <s v="TI/TC"/>
    <s v="DGE"/>
    <s v="Roberto Sebastião"/>
    <s v="TI01018"/>
    <s v="TINV.18.D.054.AP"/>
    <s v="Solução de APT - Proteção contra ataques avançados e direcionados a estruturas de rede e sistemas da Cemig."/>
    <s v="Esta solução protege a rede Cemig contra ataques do tipo APT, que são ataques avançados e direcionados a um alvo específico. Estes ataques visam retirar de operação sistemas críticos."/>
    <s v="Indisponibilidade e baixo desempenho  de ambientes e aplicações operativas e corporativas críticas, roubos bem sucedidos de Informações."/>
    <m/>
    <n v="0"/>
    <n v="0"/>
    <n v="0"/>
    <n v="0"/>
    <n v="0"/>
    <n v="0"/>
    <n v="0"/>
    <n v="0"/>
    <n v="0"/>
    <n v="0"/>
    <n v="0"/>
    <n v="671"/>
    <n v="161"/>
    <n v="0"/>
    <n v="0"/>
    <n v="0"/>
    <n v="0"/>
    <n v="0"/>
    <n v="0"/>
    <n v="0"/>
    <n v="0"/>
    <n v="832"/>
  </r>
  <r>
    <x v="2"/>
    <x v="14"/>
    <s v="TI/TC"/>
    <s v="DGE"/>
    <s v="Roberto Sebastião"/>
    <s v="TI02718"/>
    <s v="TINV.18.D.054.IP"/>
    <s v="Solução de IPSs (Sistema de Proteção contra ataques provenientes da Internet) - Equipamentos SEDE e Aureliano Chaves"/>
    <s v="Solução para proteção da rede Cemig contra ataques provenientes da Internet"/>
    <s v="Invasões a aplicações e ambientes críticos, com indisponibilidade de ambientes Operativos e Corporativos."/>
    <m/>
    <n v="28.273269653320313"/>
    <n v="91"/>
    <n v="100"/>
    <n v="3003.7267299999999"/>
    <n v="0"/>
    <n v="0"/>
    <n v="0"/>
    <n v="0"/>
    <n v="3222.9999996533202"/>
    <n v="0"/>
    <n v="0"/>
    <n v="0"/>
    <n v="0"/>
    <n v="0"/>
    <n v="0"/>
    <n v="0"/>
    <n v="0"/>
    <n v="0"/>
    <n v="0"/>
    <n v="0"/>
    <n v="0"/>
    <n v="0"/>
  </r>
  <r>
    <x v="2"/>
    <x v="14"/>
    <s v="TI/TC"/>
    <s v="DGE"/>
    <s v="Roberto Sebastião"/>
    <s v="NA"/>
    <s v="-"/>
    <s v="Solução de QOS/Monitoramento de Rede"/>
    <s v="Solução de Monitoramento de Rede  para  prover visibilidade em tempo real e histórica de soluções Operativas. Objetiva garantir os níveis adequados de disponibilidade dos serviços."/>
    <s v="Indisponibilidade e baixo desempenho de aplicações críticas por falta de visibilidade e Gerenciamento."/>
    <m/>
    <n v="0"/>
    <n v="0"/>
    <n v="0"/>
    <n v="0"/>
    <n v="0"/>
    <n v="0"/>
    <n v="0"/>
    <n v="0"/>
    <n v="0"/>
    <n v="0"/>
    <n v="0"/>
    <n v="0"/>
    <n v="0"/>
    <n v="0"/>
    <n v="1500"/>
    <n v="0"/>
    <n v="0"/>
    <n v="0"/>
    <n v="0"/>
    <n v="0"/>
    <n v="0"/>
    <n v="1500"/>
  </r>
  <r>
    <x v="2"/>
    <x v="14"/>
    <s v="TI/SI"/>
    <s v="DGE"/>
    <s v="Roberto Proença"/>
    <s v="TI01715"/>
    <s v="TINV.15.D.042.GS"/>
    <s v="Sustentação e Evolução 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m/>
    <n v="3489.3745973110199"/>
    <n v="600"/>
    <n v="600"/>
    <n v="600"/>
    <n v="600"/>
    <n v="750"/>
    <n v="750"/>
    <n v="961"/>
    <n v="8350.3745973110199"/>
    <n v="554.25"/>
    <n v="704.25"/>
    <n v="704.25"/>
    <n v="704.25"/>
    <n v="554.25"/>
    <n v="704.25"/>
    <n v="554.25"/>
    <n v="704.25"/>
    <n v="704.25"/>
    <n v="554.25"/>
    <n v="704.25"/>
    <n v="704.25"/>
    <n v="7851"/>
  </r>
  <r>
    <x v="2"/>
    <x v="14"/>
    <s v="TI/SI"/>
    <s v="DGE"/>
    <s v="Álisson Costa"/>
    <s v="TI02515"/>
    <s v="TINV.15.D.042.PE"/>
    <s v="Sustentação e Evolução PEC"/>
    <s v="A finalidade do projeto diz respeito ao desenvolvimento de novas funcionalidades no Portal Eletrônico de Compras – PEC, além de promover a incorporação dos módulos legados GALO e PGP ao novo portal. "/>
    <s v="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
    <m/>
    <n v="41.252120971679688"/>
    <n v="50"/>
    <n v="0"/>
    <n v="58.747879999999995"/>
    <n v="0"/>
    <n v="50.151000000000003"/>
    <n v="75"/>
    <n v="75"/>
    <n v="350.15100097167971"/>
    <n v="15"/>
    <n v="15"/>
    <n v="15"/>
    <n v="15"/>
    <n v="20"/>
    <n v="30"/>
    <n v="25"/>
    <n v="72"/>
    <n v="75"/>
    <n v="125"/>
    <n v="120"/>
    <n v="120"/>
    <n v="647"/>
  </r>
  <r>
    <x v="2"/>
    <x v="14"/>
    <s v="TI/SI"/>
    <s v="DGE"/>
    <s v="Álisson Costa"/>
    <s v="NA"/>
    <s v="-"/>
    <s v="Upgrade do ION ENTERPRISE"/>
    <s v="Atualização de versão do sistema de gestão de medição de fronteira."/>
    <m/>
    <m/>
    <n v="0"/>
    <n v="0"/>
    <n v="0"/>
    <n v="0"/>
    <n v="0"/>
    <n v="0"/>
    <n v="0"/>
    <n v="0"/>
    <n v="0"/>
    <n v="400"/>
    <n v="0"/>
    <n v="0"/>
    <n v="0"/>
    <n v="0"/>
    <n v="0"/>
    <n v="0"/>
    <n v="0"/>
    <n v="0"/>
    <n v="0"/>
    <n v="0"/>
    <n v="0"/>
    <n v="400"/>
  </r>
  <r>
    <x v="2"/>
    <x v="14"/>
    <s v="TI/SI"/>
    <s v="DGE"/>
    <s v="Álisson Costa"/>
    <s v="NA"/>
    <s v="-"/>
    <s v="Upgrade do SAP GRC Access Control"/>
    <s v="Atualização da versão do software de gerenciamento de acessos da SAP - Access Control"/>
    <s v="Falha de controles SOX"/>
    <m/>
    <n v="0"/>
    <n v="0"/>
    <n v="0"/>
    <n v="0"/>
    <n v="0"/>
    <n v="0"/>
    <n v="0"/>
    <n v="0"/>
    <n v="0"/>
    <n v="0"/>
    <n v="0"/>
    <n v="0"/>
    <n v="0"/>
    <n v="0"/>
    <n v="0"/>
    <n v="0"/>
    <n v="0"/>
    <n v="0"/>
    <n v="0"/>
    <n v="0"/>
    <n v="300"/>
    <n v="300"/>
  </r>
  <r>
    <x v="2"/>
    <x v="14"/>
    <s v="TI/SI"/>
    <s v="DGE"/>
    <s v="Álisson Costa"/>
    <s v="NA"/>
    <s v="-"/>
    <s v="Upgrade do Sistema FROTA"/>
    <s v="Atualização tecnológica do sistema de gestão de Frota da Cemig, que está em uso desde 2004, muito obsoleto e defasado em relação ao processo de negócio. "/>
    <s v="Paralisação das funcionalidades do sistema, em função do longo tempo de sua existência."/>
    <m/>
    <n v="0"/>
    <n v="0"/>
    <n v="0"/>
    <n v="0"/>
    <n v="0"/>
    <n v="0"/>
    <n v="0"/>
    <n v="0"/>
    <n v="0"/>
    <n v="0"/>
    <n v="0"/>
    <n v="0"/>
    <n v="0"/>
    <n v="0"/>
    <n v="0"/>
    <n v="0"/>
    <n v="0"/>
    <n v="150"/>
    <n v="0"/>
    <n v="0"/>
    <n v="150"/>
    <n v="300"/>
  </r>
  <r>
    <x v="2"/>
    <x v="14"/>
    <s v="TI/SI"/>
    <s v="DGE"/>
    <s v="Álisson Costa"/>
    <s v="NA"/>
    <s v="-"/>
    <s v="Upgrade SAP GRC Risk Management"/>
    <s v="Atualização da versão do software de gerenciamento de riscos da SAP - Risk Management"/>
    <s v="Falha de controles SOX"/>
    <m/>
    <n v="0"/>
    <n v="0"/>
    <n v="0"/>
    <n v="0"/>
    <n v="0"/>
    <n v="0"/>
    <n v="0"/>
    <n v="0"/>
    <n v="0"/>
    <n v="0"/>
    <n v="0"/>
    <n v="0"/>
    <n v="0"/>
    <n v="0"/>
    <n v="0"/>
    <n v="0"/>
    <n v="0"/>
    <n v="0"/>
    <n v="0"/>
    <n v="0"/>
    <n v="150"/>
    <n v="150"/>
  </r>
  <r>
    <x v="2"/>
    <x v="14"/>
    <s v="TI/TC"/>
    <s v="DGE"/>
    <s v="Roberto Sebastião"/>
    <s v="NA"/>
    <s v="-"/>
    <s v="WildFire (Palo Alto)"/>
    <m/>
    <m/>
    <m/>
    <n v="0"/>
    <n v="0"/>
    <n v="0"/>
    <n v="0"/>
    <n v="0"/>
    <n v="0"/>
    <n v="0"/>
    <n v="0"/>
    <n v="0"/>
    <n v="0"/>
    <n v="0"/>
    <n v="0"/>
    <n v="0"/>
    <n v="0"/>
    <n v="0"/>
    <n v="0"/>
    <n v="523"/>
    <n v="0"/>
    <n v="0"/>
    <n v="0"/>
    <n v="0"/>
    <n v="523"/>
  </r>
  <r>
    <x v="2"/>
    <x v="14"/>
    <s v="TI/IO"/>
    <s v="DGE"/>
    <s v="Carlos Araújo"/>
    <s v="NA"/>
    <s v="-"/>
    <s v="xOmini"/>
    <s v="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
    <s v="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
    <m/>
    <n v="0"/>
    <n v="0"/>
    <n v="0"/>
    <n v="0"/>
    <n v="0"/>
    <n v="0"/>
    <n v="0"/>
    <n v="0"/>
    <n v="0"/>
    <n v="0"/>
    <n v="0"/>
    <n v="0"/>
    <n v="0"/>
    <n v="0"/>
    <n v="0"/>
    <n v="0"/>
    <n v="0"/>
    <n v="0"/>
    <n v="0"/>
    <n v="0"/>
    <n v="0"/>
    <n v="0"/>
  </r>
  <r>
    <x v="2"/>
    <x v="17"/>
    <s v="SC"/>
    <s v="DGE"/>
    <s v="Ormindo Coutinho Filho"/>
    <s v="NA"/>
    <m/>
    <s v="Aquisição de Caminhão e Guindaste Hidráulico 25 toneladas para RDS"/>
    <s v="Aquisição de caminhão e equipamento hidraulico para movimentação, içamento e remoção, que permite carregar, transportar e descarregar equipamentos de até 25 toneladas"/>
    <s v="Comprometer a produtividade das equipes da rede de distribuição subterrânea"/>
    <m/>
    <n v="0"/>
    <m/>
    <m/>
    <m/>
    <m/>
    <m/>
    <m/>
    <m/>
    <n v="0"/>
    <m/>
    <m/>
    <m/>
    <m/>
    <m/>
    <m/>
    <m/>
    <m/>
    <m/>
    <m/>
    <m/>
    <m/>
    <n v="0"/>
  </r>
  <r>
    <x v="2"/>
    <x v="17"/>
    <s v="SC"/>
    <s v="DGE"/>
    <s v="Ormindo Coutinho Filho"/>
    <s v="NA"/>
    <m/>
    <s v="Aquisição de Caminhão para instalação da cesta aérea isolada para 138KV"/>
    <s v="Aquisição de caminhão para instalação da cesta aérea isolada para 138 kV"/>
    <s v="Comprometer a produtividade das equipes e atendimento aos indices de qualidade de fornecimento da Alta Tensão."/>
    <m/>
    <n v="0"/>
    <m/>
    <m/>
    <m/>
    <m/>
    <m/>
    <m/>
    <m/>
    <n v="0"/>
    <m/>
    <m/>
    <m/>
    <m/>
    <m/>
    <m/>
    <m/>
    <m/>
    <m/>
    <m/>
    <m/>
    <m/>
    <n v="0"/>
  </r>
  <r>
    <x v="2"/>
    <x v="17"/>
    <s v="SC"/>
    <s v="DGE"/>
    <s v="Ormindo Coutinho Filho"/>
    <s v="NA"/>
    <m/>
    <s v="Aquisição de carroceria e cesta Aérea para Trabalhos em Linha Viva 138KV"/>
    <s v="Aquisição de carroceria e montagem e cesta Aérea para Trabalhos em Linha Viva 138KV"/>
    <s v="Comprometer a produtividade das equipes e atendimento aos indices de qualidade de fornecimento da Alta Tensão."/>
    <m/>
    <n v="0"/>
    <m/>
    <m/>
    <m/>
    <m/>
    <m/>
    <m/>
    <m/>
    <n v="0"/>
    <m/>
    <m/>
    <m/>
    <m/>
    <m/>
    <m/>
    <m/>
    <m/>
    <m/>
    <m/>
    <m/>
    <m/>
    <n v="0"/>
  </r>
  <r>
    <x v="2"/>
    <x v="17"/>
    <s v="SC"/>
    <s v="DGE"/>
    <s v="Ormindo Coutinho Filho"/>
    <s v="MD00218"/>
    <s v="INFR.346.01218"/>
    <s v="Aquisição de carroceria e cesta Aérea para Trabalhos em Linha Viva 138KV - MD00218"/>
    <s v="Aquisição de carroceria e montagem e cesta Aérea para Trabalhos em Linha Viva 138KV"/>
    <s v="Comprometer a produtividade das equipes e atendimento aos indices de qualidade de fornecimento da Alta Tensão."/>
    <s v="Será feita uma compra internacional, cujo prazo de entrega após o processo licitatória é de 7 (sete) meses."/>
    <n v="0"/>
    <m/>
    <m/>
    <m/>
    <m/>
    <m/>
    <m/>
    <m/>
    <n v="0"/>
    <m/>
    <m/>
    <m/>
    <n v="1656"/>
    <m/>
    <m/>
    <m/>
    <m/>
    <m/>
    <m/>
    <m/>
    <m/>
    <n v="1656"/>
  </r>
  <r>
    <x v="2"/>
    <x v="17"/>
    <s v="SC"/>
    <s v="DGE"/>
    <s v="Ormindo Coutinho Filho"/>
    <s v="NA"/>
    <m/>
    <s v="Aquisição de Guindaste Hidráulico Veicular e Carroceria modular metálica p/ RDS"/>
    <s v="Instalar nos caminhões equipamentos hidraulicos para movimentação, içamento e remoção, que permite carregar, transportar e descarregar equipamentos"/>
    <s v="Comprometer a qualidade dos serviços prestados e  a produtividade das equipes de Rede de Distribuição Subterrânea"/>
    <m/>
    <n v="0"/>
    <m/>
    <m/>
    <m/>
    <m/>
    <m/>
    <m/>
    <m/>
    <n v="0"/>
    <m/>
    <m/>
    <m/>
    <m/>
    <m/>
    <m/>
    <m/>
    <m/>
    <m/>
    <m/>
    <m/>
    <m/>
    <n v="0"/>
  </r>
  <r>
    <x v="2"/>
    <x v="17"/>
    <s v="SC"/>
    <s v="DGE"/>
    <s v="Ormindo Coutinho Filho"/>
    <s v="NA"/>
    <m/>
    <s v="Aquisição de Retroescavadeira compacta"/>
    <s v="Aquisição de Retroescavadeira compacta para manutenção da via de acesso para trabalho das equipes de Linhas de Distribuição"/>
    <s v="Comprometer a produtividade das equipes, atendimentos emergenciais e aumentar a utilização de recursos de despesas."/>
    <m/>
    <n v="0"/>
    <m/>
    <m/>
    <m/>
    <m/>
    <m/>
    <m/>
    <m/>
    <n v="0"/>
    <m/>
    <m/>
    <m/>
    <m/>
    <m/>
    <m/>
    <m/>
    <m/>
    <m/>
    <m/>
    <m/>
    <m/>
    <n v="0"/>
  </r>
  <r>
    <x v="2"/>
    <x v="17"/>
    <s v="SC"/>
    <s v="DGE"/>
    <s v="Ormindo Coutinho Filho"/>
    <s v="NA"/>
    <m/>
    <s v="Aquisição de tanques para combustível"/>
    <s v="Atualização tecnológica do tanque de combustível, já que o atual está validade ultrapassada e requer inspeções trimestrais (despesa operacional)"/>
    <s v="Aumento da despesa operacional."/>
    <s v="Houve alteração de mercado em relação às opções até então disponíveis. Necessidade de prospectar novamente no mercado e construir a especificação técnica."/>
    <n v="0"/>
    <m/>
    <m/>
    <m/>
    <m/>
    <m/>
    <m/>
    <m/>
    <n v="0"/>
    <m/>
    <m/>
    <m/>
    <m/>
    <m/>
    <m/>
    <m/>
    <m/>
    <n v="300"/>
    <m/>
    <m/>
    <m/>
    <n v="300"/>
  </r>
  <r>
    <x v="2"/>
    <x v="17"/>
    <s v="SC"/>
    <s v="DGE"/>
    <s v="Ormindo Coutinho Filho"/>
    <s v="NA"/>
    <m/>
    <s v="Aquisição de veículo para MD para instalação de Sistema Veicular de Inspeção Termográfica e Visual para inspeção de subestações, redes e linhas aéreas."/>
    <m/>
    <m/>
    <m/>
    <m/>
    <m/>
    <m/>
    <m/>
    <m/>
    <m/>
    <m/>
    <n v="90"/>
    <n v="90"/>
    <m/>
    <m/>
    <m/>
    <m/>
    <m/>
    <m/>
    <m/>
    <m/>
    <m/>
    <m/>
    <m/>
    <m/>
    <n v="0"/>
  </r>
  <r>
    <x v="2"/>
    <x v="17"/>
    <s v="SC"/>
    <s v="DGE"/>
    <s v="Ormindo Coutinho Filho"/>
    <s v="NA"/>
    <m/>
    <s v="CARRETA TANQUE CAP. 25.000LT TRANSP. OLEO ISOLANTE"/>
    <s v="CARRETA TANQUE CAP. 25.000LT TRANSP. OLEO ISOLANTE"/>
    <s v="Paralisação das atividades de manutenção alta tensão "/>
    <m/>
    <n v="0"/>
    <m/>
    <m/>
    <m/>
    <m/>
    <m/>
    <m/>
    <m/>
    <n v="0"/>
    <m/>
    <m/>
    <m/>
    <m/>
    <m/>
    <m/>
    <n v="500"/>
    <m/>
    <m/>
    <m/>
    <m/>
    <m/>
    <n v="500"/>
  </r>
  <r>
    <x v="2"/>
    <x v="17"/>
    <s v="MS/LA"/>
    <s v="DGE"/>
    <s v="José Flávio/Amaro Freitas"/>
    <s v="NA"/>
    <m/>
    <s v="Kit movimentação circuito / sistema pneumático para movimentação mecânica de cargas de peso e dimensão elevado a ser instalado em caminhão truck para equipe de movimentação de cargas especiais"/>
    <s v="CONJUNTO COM INTENSIFICADOR DE PRESSÃO HIDRAULICO COMPOSTO DE MANÔMETRO, SISTEMA DE DUPLA AÇÃO, COM VALVULA REGULADORA DE PRESSÃO DE 4 VIAS, 3 POSICOES /FUNÇOES DA VALVULA: AVANÇO / RETENÇÃO/ RETORNO, DE VAZÃO  44 pol³ / min, PESO: 7,26 Kg;"/>
    <s v="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_x000a_Aplicação de multas expressivas à Cemig, por interrupção do fornecimento de energia a consumidores em limites exorbitantes, fora dos previstos em lei, com impactos diretos no DEC, FEC, DIC e DMIC."/>
    <s v="Trata-se de desenvolvimento do produto."/>
    <n v="0"/>
    <m/>
    <m/>
    <m/>
    <m/>
    <m/>
    <m/>
    <m/>
    <n v="0"/>
    <m/>
    <m/>
    <m/>
    <m/>
    <m/>
    <m/>
    <m/>
    <m/>
    <m/>
    <n v="82"/>
    <m/>
    <m/>
    <n v="82"/>
  </r>
  <r>
    <x v="2"/>
    <x v="17"/>
    <s v="MS/LA"/>
    <s v="DGE"/>
    <s v="José Flávio/Amaro Freitas"/>
    <s v="NA"/>
    <m/>
    <s v="Semirreboque modular articulado tipo linha de eixo (06 linhas) para transporte especial de cargas indivisíveis e excedentes de peso e/ou dimensões, para atender ao sistema elétrico de potência -SEP"/>
    <s v="SEMIRREBOQUE MODULAR, ARTICULADO, DE 6 LINHAS DE EIXO,  SUSPENSÃO HIDRÁULICA DIRECIIONAL, PERCOÇO ARTICULADO, PARA TRANSPORTE DE CARGAS INDIVISÍVEIS E EXCEDENTES DE PESO E/OU DIMENSÕES PARA ATENDIMENTO AO SISTEMA ELÉTRICO DE POTÊNCIA; "/>
    <s v="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_x000a_Aplicação de multas expressivas à cemig, por interrupção do fornecimento de energia a consumidores em limites exorbitantes, fora dos previstos em lei, com impactos diretos no DEC, FEC, DIC e DMIC._x000a_"/>
    <m/>
    <n v="0"/>
    <m/>
    <m/>
    <m/>
    <m/>
    <m/>
    <m/>
    <m/>
    <n v="0"/>
    <n v="1364"/>
    <m/>
    <m/>
    <m/>
    <m/>
    <m/>
    <m/>
    <m/>
    <m/>
    <m/>
    <m/>
    <m/>
    <n v="1364"/>
  </r>
  <r>
    <x v="2"/>
    <x v="17"/>
    <s v="SC"/>
    <s v="DGE"/>
    <s v="Ormindo Coutinho Filho"/>
    <s v="NA"/>
    <m/>
    <s v="Substituição de Veículos da Diretoria Executiva - Distribuição"/>
    <s v="Renovação da frota de veículos da Diretoria Executiva - Distribui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54.4000000000001"/>
    <m/>
    <m/>
    <m/>
    <m/>
    <m/>
    <n v="1054.4000000000001"/>
  </r>
  <r>
    <x v="3"/>
    <x v="18"/>
    <s v="TI/IO"/>
    <s v="DGE"/>
    <s v="Carlos Araújo"/>
    <s v="TI04518"/>
    <s v="TINV.18.H.045.MP"/>
    <s v="Modernização do Parque Microinformática (CORPORATIVO) H"/>
    <s v="Atualização do parque de microinformática para atender a política de substituição de 20% ao ano."/>
    <s v="-"/>
    <m/>
    <n v="0"/>
    <n v="0"/>
    <n v="0"/>
    <n v="0"/>
    <n v="75"/>
    <n v="0"/>
    <n v="0"/>
    <n v="0"/>
    <n v="75"/>
    <n v="0"/>
    <n v="0"/>
    <n v="0"/>
    <n v="0"/>
    <n v="0"/>
    <n v="0"/>
    <n v="0"/>
    <n v="0"/>
    <n v="75"/>
    <n v="0"/>
    <n v="0"/>
    <n v="0"/>
    <n v="75"/>
  </r>
  <r>
    <x v="3"/>
    <x v="19"/>
    <s v="TI/IO"/>
    <s v="DGE"/>
    <s v="Marcus Souto"/>
    <s v="TI07118"/>
    <s v="-"/>
    <s v="Licenciamento Microsoft H"/>
    <s v="Renovação do contrato de licenciamento de software que contempla Windows Server, Office, etc (2015). Para os demais anos, atendimento às demandas de novos projetos"/>
    <s v="-"/>
    <m/>
    <n v="0"/>
    <n v="0"/>
    <n v="0"/>
    <n v="15"/>
    <n v="0"/>
    <n v="0"/>
    <n v="0"/>
    <n v="0"/>
    <n v="15"/>
    <n v="0"/>
    <n v="0"/>
    <n v="0"/>
    <n v="0"/>
    <n v="0"/>
    <n v="0"/>
    <n v="0"/>
    <n v="15"/>
    <n v="0"/>
    <n v="0"/>
    <n v="0"/>
    <n v="0"/>
    <n v="15"/>
  </r>
  <r>
    <x v="3"/>
    <x v="19"/>
    <s v="TI/SI"/>
    <s v="DGE"/>
    <s v="Álisson Costa"/>
    <s v="TI01114"/>
    <s v="TINV.14.H.042.SJ"/>
    <s v="SISJUR - Novo Sistema Jurídico"/>
    <s v="Construção do novo sistema jurídico, em curso desde 2013."/>
    <s v="Obsolescência do sistema antigo; falta de interface com os sistemas legados;"/>
    <m/>
    <n v="7.60504150390625"/>
    <n v="212.02916999999999"/>
    <n v="0"/>
    <n v="0"/>
    <n v="0"/>
    <n v="0"/>
    <n v="0"/>
    <m/>
    <n v="219.63421150390624"/>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count="314">
  <r>
    <x v="0"/>
    <x v="0"/>
    <s v="AD/AC"/>
    <s v="Thais Freire"/>
    <s v="AD/AC"/>
    <s v="Thais Freire"/>
    <s v="DDC"/>
    <s v="NA"/>
    <m/>
    <s v="Aquisição de medidores de qualidade de energia classe A para atendimento aos requisitos dos Procedimentos de Rede e da revisão 8 do Módulo 8 do PRODIST.  - NA"/>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n v="0"/>
    <n v="0"/>
    <n v="0"/>
    <n v="0"/>
    <n v="0"/>
    <n v="0"/>
    <n v="0"/>
    <n v="0"/>
    <m/>
    <m/>
    <m/>
    <m/>
    <n v="0"/>
    <m/>
    <m/>
    <m/>
    <m/>
    <m/>
    <m/>
    <m/>
    <n v="177.91638"/>
    <m/>
    <m/>
    <m/>
    <m/>
    <n v="177.91638"/>
    <m/>
    <m/>
    <m/>
    <n v="120"/>
    <m/>
    <m/>
    <m/>
    <m/>
    <m/>
    <m/>
    <m/>
    <m/>
    <n v="120"/>
    <m/>
    <m/>
    <m/>
    <m/>
    <m/>
    <m/>
    <m/>
    <m/>
    <m/>
    <m/>
    <m/>
    <m/>
    <n v="0"/>
    <m/>
    <m/>
    <m/>
    <m/>
    <m/>
    <m/>
    <m/>
    <m/>
    <m/>
    <m/>
    <m/>
    <m/>
    <n v="0"/>
    <n v="297.91638"/>
  </r>
  <r>
    <x v="0"/>
    <x v="0"/>
    <s v="AD/AC"/>
    <s v="Thais Freire"/>
    <s v="AD/AC"/>
    <s v="Thais Freire"/>
    <s v="DDC"/>
    <s v="AD00218"/>
    <s v="INFR.341.04218"/>
    <s v="Aquisição de medidores de qualidade de energia classe A para atendimento aos requisitos dos Procedimentos de Rede e da revisão 8 do Módulo 8 do PRODIST. - AD00218"/>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n v="0"/>
    <n v="0"/>
    <n v="0"/>
    <n v="0"/>
    <n v="0"/>
    <n v="0"/>
    <n v="0"/>
    <n v="0"/>
    <m/>
    <m/>
    <m/>
    <n v="302.08362"/>
    <n v="302.08362"/>
    <m/>
    <m/>
    <m/>
    <m/>
    <m/>
    <m/>
    <m/>
    <m/>
    <m/>
    <m/>
    <m/>
    <m/>
    <n v="0"/>
    <m/>
    <m/>
    <m/>
    <m/>
    <m/>
    <m/>
    <m/>
    <m/>
    <m/>
    <m/>
    <m/>
    <m/>
    <n v="0"/>
    <m/>
    <m/>
    <m/>
    <m/>
    <m/>
    <m/>
    <m/>
    <m/>
    <m/>
    <m/>
    <m/>
    <m/>
    <n v="0"/>
    <m/>
    <m/>
    <m/>
    <m/>
    <m/>
    <m/>
    <m/>
    <m/>
    <m/>
    <m/>
    <m/>
    <m/>
    <n v="0"/>
    <n v="302.08362"/>
  </r>
  <r>
    <x v="0"/>
    <x v="0"/>
    <s v="AD/AD"/>
    <s v="Flavio Henrique M. Vieira"/>
    <s v="AD/AD"/>
    <s v="Flavio Henrique M. Vieira"/>
    <s v="DDC"/>
    <s v="AD00118"/>
    <s v="INFR.341.02918"/>
    <s v="Aquisição de Ferramentas para a AD/AD_x000a_Junção dos seguintes projetos:_x000a_Equipamento analisador de nível de sinal celular - AQS _x000a_Ferramentas e equipamentos para Laboratório de testes de equipamentos  em Uberlândia"/>
    <s v="Aquisição de 25 equipamento analisador de nível de sinal celular - AQS _x000a_Aquisição de equipamentos para testes em equipamentos de rede em Uberlândia (Fonte de corrente 300A,Hipots 10kV, Alicates volt amperímetro CAT IV e fontes de tensão VCC estabilizada)"/>
    <s v="Elevação de custos de OPEX com serviço de campo para  manutenção do pontos que apresentam baixa performance para operação do COD.  Não será capturado melhoria dos indicadores de qualidade, dentre eles o DEC_x000a_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
    <m/>
    <n v="0"/>
    <n v="0"/>
    <n v="0"/>
    <n v="0"/>
    <n v="0"/>
    <n v="0"/>
    <n v="0"/>
    <n v="0"/>
    <m/>
    <n v="26"/>
    <n v="5"/>
    <n v="22"/>
    <n v="53"/>
    <n v="0"/>
    <m/>
    <m/>
    <n v="110"/>
    <m/>
    <m/>
    <m/>
    <m/>
    <m/>
    <m/>
    <m/>
    <m/>
    <n v="110"/>
    <m/>
    <m/>
    <m/>
    <m/>
    <m/>
    <m/>
    <m/>
    <m/>
    <m/>
    <m/>
    <m/>
    <m/>
    <n v="0"/>
    <m/>
    <m/>
    <m/>
    <m/>
    <m/>
    <m/>
    <m/>
    <m/>
    <m/>
    <m/>
    <m/>
    <m/>
    <n v="0"/>
    <m/>
    <m/>
    <m/>
    <m/>
    <m/>
    <m/>
    <m/>
    <m/>
    <m/>
    <m/>
    <m/>
    <m/>
    <n v="0"/>
    <n v="163"/>
  </r>
  <r>
    <x v="0"/>
    <x v="0"/>
    <s v="AD/AD"/>
    <s v="Flavio Henrique M. Vieira"/>
    <s v="AD/AD"/>
    <s v="Flavio Henrique M. Vieira"/>
    <s v="DDC"/>
    <s v="NA"/>
    <m/>
    <s v="Laboratório para homologação de equipamentos de automação "/>
    <s v="Aquisição de equipamentos para montagem do laboratório de homologação de equipamentos de automação na cidade industrial Q14"/>
    <s v="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
    <m/>
    <n v="0"/>
    <n v="0"/>
    <n v="0"/>
    <n v="0"/>
    <n v="0"/>
    <n v="0"/>
    <n v="0"/>
    <n v="0"/>
    <m/>
    <m/>
    <m/>
    <m/>
    <n v="0"/>
    <m/>
    <m/>
    <m/>
    <m/>
    <m/>
    <m/>
    <m/>
    <m/>
    <m/>
    <m/>
    <m/>
    <m/>
    <n v="0"/>
    <n v="500"/>
    <m/>
    <m/>
    <m/>
    <m/>
    <m/>
    <m/>
    <m/>
    <m/>
    <m/>
    <m/>
    <m/>
    <n v="500"/>
    <n v="500"/>
    <m/>
    <m/>
    <m/>
    <m/>
    <m/>
    <m/>
    <m/>
    <m/>
    <m/>
    <m/>
    <m/>
    <n v="500"/>
    <m/>
    <m/>
    <m/>
    <m/>
    <m/>
    <m/>
    <m/>
    <m/>
    <m/>
    <m/>
    <m/>
    <m/>
    <n v="0"/>
    <n v="1000"/>
  </r>
  <r>
    <x v="0"/>
    <x v="0"/>
    <s v="CD "/>
    <s v="Fábio"/>
    <s v="CD "/>
    <s v="Fábio"/>
    <s v="DDC"/>
    <s v="CD00315"/>
    <s v="3CPOCD00315"/>
    <s v="Ferramentas DDC 2015"/>
    <m/>
    <m/>
    <m/>
    <n v="10.184720039367676"/>
    <n v="2.5199298858642578"/>
    <n v="0"/>
    <n v="-1.6000000238418579"/>
    <n v="0"/>
    <n v="0"/>
    <n v="0"/>
    <n v="0"/>
    <m/>
    <m/>
    <m/>
    <n v="0"/>
    <n v="0"/>
    <m/>
    <m/>
    <m/>
    <m/>
    <m/>
    <m/>
    <m/>
    <m/>
    <m/>
    <m/>
    <m/>
    <m/>
    <n v="0"/>
    <m/>
    <m/>
    <m/>
    <m/>
    <m/>
    <m/>
    <m/>
    <m/>
    <m/>
    <m/>
    <m/>
    <m/>
    <n v="0"/>
    <m/>
    <m/>
    <m/>
    <m/>
    <m/>
    <m/>
    <m/>
    <m/>
    <m/>
    <m/>
    <m/>
    <m/>
    <n v="0"/>
    <m/>
    <m/>
    <m/>
    <m/>
    <m/>
    <m/>
    <m/>
    <m/>
    <m/>
    <m/>
    <m/>
    <m/>
    <n v="0"/>
    <n v="0"/>
  </r>
  <r>
    <x v="0"/>
    <x v="1"/>
    <s v="CE"/>
    <s v="Tércia Moreira"/>
    <s v="CE"/>
    <s v="Tércia Moreira"/>
    <s v="DRC"/>
    <s v="CE00118"/>
    <s v="INFR.342.02618"/>
    <s v="Aquisição de equipamentos de video/imagem para CE"/>
    <m/>
    <m/>
    <m/>
    <n v="0"/>
    <n v="0"/>
    <n v="0"/>
    <n v="0"/>
    <n v="0"/>
    <n v="0"/>
    <n v="0"/>
    <n v="0"/>
    <m/>
    <m/>
    <m/>
    <n v="92"/>
    <n v="92"/>
    <m/>
    <m/>
    <m/>
    <m/>
    <m/>
    <m/>
    <m/>
    <m/>
    <m/>
    <m/>
    <m/>
    <m/>
    <n v="0"/>
    <m/>
    <m/>
    <m/>
    <m/>
    <m/>
    <m/>
    <m/>
    <m/>
    <m/>
    <m/>
    <m/>
    <m/>
    <n v="0"/>
    <m/>
    <m/>
    <m/>
    <m/>
    <m/>
    <m/>
    <m/>
    <m/>
    <m/>
    <m/>
    <m/>
    <m/>
    <n v="0"/>
    <m/>
    <m/>
    <m/>
    <m/>
    <m/>
    <m/>
    <m/>
    <m/>
    <m/>
    <m/>
    <m/>
    <m/>
    <n v="0"/>
    <n v="92"/>
  </r>
  <r>
    <x v="0"/>
    <x v="1"/>
    <s v="DDC"/>
    <s v="Viviane Fernanda/Kleber Monteiro"/>
    <s v="DDC"/>
    <s v="Viviane Fernanda/Kleber Monteiro"/>
    <s v="DDC"/>
    <s v="NA"/>
    <m/>
    <s v="Saldo DDC"/>
    <m/>
    <m/>
    <m/>
    <n v="0"/>
    <n v="0"/>
    <n v="0"/>
    <n v="0"/>
    <n v="0"/>
    <n v="0"/>
    <n v="0"/>
    <n v="0"/>
    <m/>
    <m/>
    <m/>
    <m/>
    <n v="0"/>
    <m/>
    <m/>
    <m/>
    <m/>
    <m/>
    <m/>
    <n v="1649.9999999999998"/>
    <m/>
    <m/>
    <m/>
    <m/>
    <m/>
    <n v="1649.9999999999998"/>
    <m/>
    <m/>
    <m/>
    <m/>
    <m/>
    <m/>
    <m/>
    <m/>
    <m/>
    <m/>
    <m/>
    <m/>
    <n v="0"/>
    <m/>
    <m/>
    <m/>
    <m/>
    <m/>
    <m/>
    <m/>
    <m/>
    <m/>
    <m/>
    <m/>
    <m/>
    <n v="0"/>
    <m/>
    <m/>
    <m/>
    <m/>
    <m/>
    <m/>
    <m/>
    <m/>
    <m/>
    <m/>
    <m/>
    <m/>
    <n v="0"/>
    <n v="1649.9999999999998"/>
  </r>
  <r>
    <x v="0"/>
    <x v="0"/>
    <s v="EA"/>
    <s v="Afonso Vanderlei Nunes Barbosa EA/EP_x000a_Beline Q. A. Fonseca EA/EO_x000a_José William Campomizzi EA/EL_x000a_"/>
    <s v="EA"/>
    <s v="Afonso Vanderlei Nunes Barbosa"/>
    <s v="DDC"/>
    <s v="EA00118"/>
    <s v="INFR.341.03018"/>
    <s v="Aquisição de Ferramentas para EA_x000a_Junção dos seguintes projetos:_x000a_Modernização do parque tecnológio da EA/EP para serviços geodésicos._x000a_Modernização do parque tecnológio da EA/EP para serviços topográficos_x000a_Aquisição de 4 computadores  Notebook._x000a_Aquisição de Smartfone para os fiscais de obra, com recurso de internet e boa resolução para registro fotográfico, acesso em campo aos sistemas GESET e GEDEX._x000a_Aquisição de 2 computadores do tipo Notebook._x000a_Aquisição de uma máquina fotográfica Semi profissional"/>
    <s v="Aquisição de um par de Receptor GPS de dupla frequência L1/L2 - RTK  – Incluindo software de descarregamento e transformação dos dados brutos para formato RINEX e seus acessórios _x000a_Aquisição de uma estação total e seus acessórios  (mira, tripé, bolsae caixa de transporte, baliza e bastão de aluminio, baterias, controladora e trena eletrônica)_x000a_Aquisição de 4 Notebook´s para utilização dos técnicos de automação e comissionamento (2 Xomni e 2 Softer analisador de protocolo) _x000a_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_x000a_Substituição de dois notebooks obsoletos (Agnaldo Neves e Ricardo Dourado)._x000a_Aquisição de 4 máquinas fotográficas digital com Zoom ótico maior que 28X"/>
    <s v="Aumento do custo de mão-obra própria com o uso das tecnologias atuais;_x000a_Aumento do riscos de má qualidade do projetos;_x000a_Risco de atraso nas obras;_x000a_Dependencia de software  e hardware (Notebooks) das equipes de manutenção regional que nem sempre estao disponiveis ._x000a_Contribui para a morosidade na tomada de decisão do engenheiro de obra._x000a_Demora na disponibilização de informações de campo e prestação de contas em sistemas corporativos._x000a_A fiscalização, no solo, da montagem de estrturas em LD´s , pórticos etc.. Durante o pre-comissionamento, ocasionando o retrabalho do comissionamento das equipes de LD´s regionais."/>
    <m/>
    <n v="0"/>
    <n v="0"/>
    <n v="0"/>
    <n v="0"/>
    <n v="0"/>
    <n v="0"/>
    <n v="0"/>
    <n v="0"/>
    <m/>
    <m/>
    <n v="74"/>
    <n v="75"/>
    <n v="149"/>
    <m/>
    <m/>
    <m/>
    <m/>
    <m/>
    <m/>
    <m/>
    <m/>
    <m/>
    <m/>
    <m/>
    <m/>
    <n v="0"/>
    <m/>
    <m/>
    <m/>
    <m/>
    <m/>
    <m/>
    <m/>
    <m/>
    <m/>
    <m/>
    <m/>
    <m/>
    <n v="0"/>
    <m/>
    <m/>
    <m/>
    <m/>
    <m/>
    <m/>
    <m/>
    <m/>
    <m/>
    <m/>
    <m/>
    <m/>
    <n v="0"/>
    <m/>
    <m/>
    <m/>
    <m/>
    <m/>
    <m/>
    <m/>
    <m/>
    <m/>
    <m/>
    <m/>
    <m/>
    <n v="0"/>
    <n v="149"/>
  </r>
  <r>
    <x v="0"/>
    <x v="0"/>
    <s v="EM/CE"/>
    <s v="Emerson Sidney"/>
    <s v="EM/CE"/>
    <s v="Emerson Sidney"/>
    <s v="DDC"/>
    <s v="EM00118"/>
    <s v="INFR.341.02718"/>
    <s v="Programa de Substituição e Modernização de Ferramentas EM/CE"/>
    <s v="Compra de ferramentas para as equipes de projetos e obras de resdes BT/MT(recomposição, prospecção)"/>
    <s v="Equipes produzindo menos"/>
    <m/>
    <n v="0"/>
    <n v="0"/>
    <n v="0"/>
    <n v="0"/>
    <n v="0"/>
    <n v="0"/>
    <n v="0"/>
    <n v="0"/>
    <m/>
    <m/>
    <n v="58"/>
    <n v="347"/>
    <n v="405"/>
    <m/>
    <m/>
    <m/>
    <m/>
    <m/>
    <m/>
    <m/>
    <m/>
    <m/>
    <m/>
    <m/>
    <m/>
    <n v="0"/>
    <m/>
    <m/>
    <m/>
    <m/>
    <m/>
    <m/>
    <m/>
    <m/>
    <m/>
    <m/>
    <m/>
    <m/>
    <n v="0"/>
    <m/>
    <m/>
    <m/>
    <m/>
    <m/>
    <m/>
    <m/>
    <m/>
    <m/>
    <m/>
    <m/>
    <m/>
    <n v="0"/>
    <m/>
    <m/>
    <m/>
    <m/>
    <m/>
    <m/>
    <m/>
    <m/>
    <m/>
    <m/>
    <m/>
    <m/>
    <n v="0"/>
    <n v="405"/>
  </r>
  <r>
    <x v="0"/>
    <x v="1"/>
    <s v="EM/CE"/>
    <s v="Emerson Sidney"/>
    <s v="EM/CE"/>
    <s v="Emerson Sidney"/>
    <s v="DDC"/>
    <s v="EM00218"/>
    <s v="INFR.342.02818"/>
    <s v="Aquisição de Equipamento Geral (câmera fotográfica) para EM"/>
    <m/>
    <m/>
    <m/>
    <n v="0"/>
    <n v="0"/>
    <n v="0"/>
    <n v="0"/>
    <n v="0"/>
    <n v="0"/>
    <n v="0"/>
    <n v="0"/>
    <m/>
    <m/>
    <n v="115.20000123977661"/>
    <n v="9.7999987602239997"/>
    <n v="125.00000000000061"/>
    <m/>
    <m/>
    <m/>
    <m/>
    <m/>
    <m/>
    <m/>
    <m/>
    <m/>
    <m/>
    <m/>
    <m/>
    <n v="0"/>
    <m/>
    <m/>
    <m/>
    <m/>
    <m/>
    <m/>
    <m/>
    <m/>
    <m/>
    <m/>
    <m/>
    <m/>
    <n v="0"/>
    <m/>
    <m/>
    <m/>
    <m/>
    <m/>
    <m/>
    <m/>
    <m/>
    <m/>
    <m/>
    <m/>
    <m/>
    <n v="0"/>
    <m/>
    <m/>
    <m/>
    <m/>
    <m/>
    <m/>
    <m/>
    <m/>
    <m/>
    <m/>
    <m/>
    <m/>
    <n v="0"/>
    <n v="125.00000000000061"/>
  </r>
  <r>
    <x v="1"/>
    <x v="2"/>
    <s v="GE/IM"/>
    <s v="Evandro Jardim"/>
    <s v="GE/IM"/>
    <s v="Evandro Jardim"/>
    <s v="DGE"/>
    <s v="NA"/>
    <m/>
    <s v="Otimização dos Ativos de Ipatinga para atendimento da Cemig GT"/>
    <s v="Execução de obra civil de nova instalação de escritório no imóvel da MT/LE para recebimento do pessoal da MG/LE."/>
    <s v="Não redução de despesa operacional, relativa à locação de imóvel para a Cemig GT, no município de Ipatinga."/>
    <s v="Alongamento da curva de desembolso."/>
    <n v="0"/>
    <n v="0"/>
    <n v="0"/>
    <n v="0"/>
    <n v="0"/>
    <n v="0"/>
    <n v="0"/>
    <n v="0"/>
    <m/>
    <m/>
    <m/>
    <m/>
    <n v="0"/>
    <m/>
    <m/>
    <m/>
    <m/>
    <m/>
    <m/>
    <n v="94.416799999999995"/>
    <m/>
    <m/>
    <m/>
    <m/>
    <n v="208.5"/>
    <n v="302.91679999999997"/>
    <m/>
    <m/>
    <m/>
    <m/>
    <m/>
    <m/>
    <m/>
    <m/>
    <m/>
    <m/>
    <n v="158.5"/>
    <n v="57"/>
    <n v="215.5"/>
    <m/>
    <m/>
    <m/>
    <m/>
    <m/>
    <m/>
    <m/>
    <m/>
    <m/>
    <m/>
    <m/>
    <n v="158.5"/>
    <n v="158.5"/>
    <m/>
    <m/>
    <m/>
    <m/>
    <m/>
    <m/>
    <m/>
    <m/>
    <m/>
    <m/>
    <n v="158.5"/>
    <n v="110.65115833000019"/>
    <n v="269.15115833000016"/>
    <n v="946.06795833000012"/>
  </r>
  <r>
    <x v="0"/>
    <x v="1"/>
    <s v="GE/IM"/>
    <s v="José Luciano"/>
    <s v="GE/IM"/>
    <s v="José Luciano"/>
    <s v="DGE"/>
    <s v="GE01518"/>
    <s v="INFR.342.04118"/>
    <s v="Aquisição de Equipamento Geral para Diretoria"/>
    <m/>
    <m/>
    <m/>
    <n v="0"/>
    <n v="0"/>
    <n v="0"/>
    <n v="0"/>
    <n v="0"/>
    <n v="0"/>
    <n v="0"/>
    <n v="0"/>
    <m/>
    <m/>
    <m/>
    <n v="585"/>
    <n v="585"/>
    <m/>
    <m/>
    <m/>
    <m/>
    <m/>
    <m/>
    <m/>
    <m/>
    <m/>
    <m/>
    <m/>
    <m/>
    <n v="0"/>
    <m/>
    <m/>
    <m/>
    <m/>
    <m/>
    <m/>
    <m/>
    <m/>
    <m/>
    <m/>
    <m/>
    <m/>
    <n v="0"/>
    <m/>
    <m/>
    <m/>
    <m/>
    <m/>
    <m/>
    <m/>
    <m/>
    <m/>
    <m/>
    <m/>
    <m/>
    <n v="0"/>
    <m/>
    <m/>
    <m/>
    <m/>
    <m/>
    <m/>
    <m/>
    <m/>
    <m/>
    <m/>
    <m/>
    <m/>
    <n v="0"/>
    <n v="585"/>
  </r>
  <r>
    <x v="0"/>
    <x v="1"/>
    <s v="GE/IM"/>
    <s v="Loan Lauar"/>
    <s v="GE/IM"/>
    <s v="Loan Lauar"/>
    <s v="DGE"/>
    <s v="NA"/>
    <m/>
    <s v="Otimização dos Ativos de Almenara"/>
    <s v="Alienação do compartilhado e estacionamento transferência das atividades para o depósito de materiais e locação de imóvel para agência. Adequação do depósito de materiais para recebimento da equipe."/>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n v="51.1"/>
    <m/>
    <m/>
    <m/>
    <m/>
    <m/>
    <m/>
    <m/>
    <m/>
    <m/>
    <m/>
    <n v="51.1"/>
    <m/>
    <m/>
    <m/>
    <m/>
    <m/>
    <m/>
    <m/>
    <m/>
    <m/>
    <m/>
    <m/>
    <m/>
    <n v="0"/>
    <m/>
    <m/>
    <m/>
    <m/>
    <m/>
    <m/>
    <m/>
    <m/>
    <m/>
    <m/>
    <m/>
    <m/>
    <n v="0"/>
    <m/>
    <m/>
    <m/>
    <m/>
    <m/>
    <m/>
    <m/>
    <m/>
    <m/>
    <m/>
    <m/>
    <m/>
    <n v="0"/>
    <n v="51.1"/>
  </r>
  <r>
    <x v="0"/>
    <x v="1"/>
    <s v="GE/IM"/>
    <s v="Evandro Jardim"/>
    <s v="GE/IM"/>
    <s v="Evandro Jardim"/>
    <s v="DGE"/>
    <s v="NA"/>
    <m/>
    <s v="Otimização dos Ativos de Araxá"/>
    <s v="Execução de obra civil de nova instalação de escritório no imóvel anexo à Subestação para recebimento do pessoal do imóvel do Centro."/>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m/>
    <m/>
    <m/>
    <m/>
    <m/>
    <n v="5"/>
    <n v="6"/>
    <n v="10"/>
    <n v="10"/>
    <n v="10"/>
    <n v="10"/>
    <n v="51"/>
    <m/>
    <m/>
    <m/>
    <m/>
    <m/>
    <n v="190"/>
    <n v="190"/>
    <n v="190"/>
    <n v="190"/>
    <n v="190"/>
    <n v="185.89284166100015"/>
    <m/>
    <n v="1135.8928416610001"/>
    <m/>
    <m/>
    <m/>
    <m/>
    <m/>
    <m/>
    <m/>
    <m/>
    <m/>
    <m/>
    <m/>
    <m/>
    <n v="0"/>
    <m/>
    <m/>
    <m/>
    <m/>
    <m/>
    <m/>
    <m/>
    <m/>
    <m/>
    <m/>
    <m/>
    <m/>
    <n v="0"/>
    <n v="1186.8928416610001"/>
  </r>
  <r>
    <x v="0"/>
    <x v="1"/>
    <s v="GE/IM"/>
    <s v="Evandro Jardim"/>
    <s v="GE/IM"/>
    <s v="Evandro Jardim"/>
    <s v="DGE"/>
    <s v="NA"/>
    <m/>
    <s v="Otimização dos Ativos de Barbacena"/>
    <s v="Execução de adequações/reforma civil do imóvel da SE Barbacena 2."/>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m/>
    <m/>
    <m/>
    <m/>
    <m/>
    <n v="30"/>
    <m/>
    <m/>
    <n v="70"/>
    <m/>
    <m/>
    <n v="100"/>
    <m/>
    <m/>
    <m/>
    <m/>
    <m/>
    <m/>
    <m/>
    <m/>
    <n v="67.5"/>
    <n v="67.5"/>
    <n v="135"/>
    <n v="135"/>
    <n v="405"/>
    <n v="202.5"/>
    <n v="202.5"/>
    <n v="202.5"/>
    <n v="135"/>
    <n v="135"/>
    <n v="67.122358179476578"/>
    <m/>
    <m/>
    <m/>
    <m/>
    <m/>
    <m/>
    <n v="944.62235817947658"/>
    <m/>
    <m/>
    <m/>
    <m/>
    <m/>
    <m/>
    <m/>
    <m/>
    <m/>
    <m/>
    <m/>
    <m/>
    <n v="0"/>
    <n v="1449.6223581794766"/>
  </r>
  <r>
    <x v="0"/>
    <x v="1"/>
    <s v="GE/IM"/>
    <s v="Samuel Matos"/>
    <s v="GE/IM"/>
    <s v="Samuel Matos"/>
    <s v="DGE"/>
    <s v="GE01718"/>
    <s v="INFR.342.04618"/>
    <s v="Otimização dos Ativos de Betim"/>
    <s v="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_x000a_Executar obras que compreendem na construção de: cerca de divisa, almoxarifado, sistema de esgotamento sanitário, baias de sucatas e portaria."/>
    <m/>
    <m/>
    <n v="0"/>
    <n v="0"/>
    <n v="0"/>
    <n v="0"/>
    <n v="0"/>
    <n v="0"/>
    <n v="0"/>
    <n v="0"/>
    <m/>
    <m/>
    <n v="20"/>
    <m/>
    <n v="20"/>
    <n v="30"/>
    <n v="10"/>
    <m/>
    <m/>
    <m/>
    <m/>
    <n v="93"/>
    <n v="93"/>
    <n v="93"/>
    <n v="93"/>
    <n v="93"/>
    <n v="97"/>
    <n v="602"/>
    <m/>
    <m/>
    <m/>
    <m/>
    <m/>
    <m/>
    <m/>
    <m/>
    <m/>
    <m/>
    <m/>
    <m/>
    <n v="0"/>
    <m/>
    <m/>
    <m/>
    <m/>
    <m/>
    <m/>
    <m/>
    <m/>
    <m/>
    <m/>
    <m/>
    <m/>
    <n v="0"/>
    <m/>
    <m/>
    <m/>
    <m/>
    <m/>
    <m/>
    <m/>
    <m/>
    <m/>
    <m/>
    <m/>
    <m/>
    <n v="0"/>
    <n v="622"/>
  </r>
  <r>
    <x v="0"/>
    <x v="1"/>
    <s v="GE/IM"/>
    <s v="Samuel Matos"/>
    <s v="GE/IM"/>
    <s v="Samuel Matos"/>
    <s v="DGE"/>
    <s v="GE01018"/>
    <s v="INFR.342.01818"/>
    <s v="Otimização dos Ativos de Divinópolis"/>
    <s v="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
    <m/>
    <n v="0"/>
    <n v="0"/>
    <n v="0"/>
    <n v="0"/>
    <n v="0"/>
    <n v="0"/>
    <n v="0"/>
    <n v="0"/>
    <m/>
    <m/>
    <n v="10"/>
    <n v="20"/>
    <n v="30"/>
    <n v="145"/>
    <n v="65"/>
    <n v="65"/>
    <n v="65"/>
    <n v="65"/>
    <n v="69"/>
    <m/>
    <m/>
    <m/>
    <m/>
    <m/>
    <n v="2"/>
    <n v="476"/>
    <n v="207"/>
    <n v="237.01"/>
    <n v="161.41999999999999"/>
    <n v="252.32"/>
    <n v="202.53"/>
    <n v="158.07"/>
    <n v="233.24"/>
    <n v="118.07"/>
    <n v="100.29"/>
    <n v="118.07"/>
    <n v="104.73"/>
    <n v="84.95"/>
    <n v="1977.6999999999998"/>
    <m/>
    <m/>
    <m/>
    <m/>
    <m/>
    <m/>
    <m/>
    <m/>
    <m/>
    <m/>
    <m/>
    <m/>
    <n v="0"/>
    <m/>
    <m/>
    <m/>
    <m/>
    <m/>
    <m/>
    <m/>
    <m/>
    <m/>
    <m/>
    <m/>
    <m/>
    <n v="0"/>
    <n v="2483.6999999999998"/>
  </r>
  <r>
    <x v="0"/>
    <x v="1"/>
    <s v="GE/IM"/>
    <s v="Loan Lauar"/>
    <s v="GE/IM"/>
    <s v="Loan Lauar"/>
    <s v="DGE"/>
    <s v="NA"/>
    <m/>
    <s v="Otimização dos Ativos de Governador Valadares"/>
    <s v="Alienação do imóvel do centro, transferência para o imóvel da Vila Mariana, onde será construída edificação,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m/>
    <m/>
    <m/>
    <m/>
    <n v="28"/>
    <n v="29"/>
    <m/>
    <m/>
    <m/>
    <n v="154"/>
    <n v="100"/>
    <n v="311"/>
    <n v="126"/>
    <n v="197"/>
    <n v="185"/>
    <n v="130"/>
    <n v="140"/>
    <m/>
    <m/>
    <m/>
    <m/>
    <m/>
    <m/>
    <m/>
    <n v="778"/>
    <m/>
    <m/>
    <m/>
    <m/>
    <m/>
    <m/>
    <m/>
    <m/>
    <m/>
    <m/>
    <m/>
    <m/>
    <n v="0"/>
    <m/>
    <m/>
    <m/>
    <m/>
    <m/>
    <m/>
    <m/>
    <m/>
    <m/>
    <m/>
    <m/>
    <m/>
    <n v="0"/>
    <n v="1089"/>
  </r>
  <r>
    <x v="0"/>
    <x v="1"/>
    <s v="GE/IM"/>
    <s v="Samuel Matos"/>
    <s v="GE/IM"/>
    <s v="Samuel Matos"/>
    <s v="DGE"/>
    <s v="NA"/>
    <m/>
    <s v="Otimização dos Ativos de Itajubá"/>
    <s v="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
    <m/>
    <n v="0"/>
    <n v="0"/>
    <n v="0"/>
    <n v="0"/>
    <n v="0"/>
    <n v="0"/>
    <n v="0"/>
    <n v="0"/>
    <n v="0"/>
    <n v="0"/>
    <n v="0"/>
    <m/>
    <n v="0"/>
    <m/>
    <m/>
    <m/>
    <m/>
    <m/>
    <m/>
    <n v="20"/>
    <n v="60"/>
    <n v="32"/>
    <m/>
    <m/>
    <m/>
    <n v="112"/>
    <m/>
    <m/>
    <m/>
    <m/>
    <m/>
    <m/>
    <m/>
    <m/>
    <m/>
    <m/>
    <m/>
    <m/>
    <n v="0"/>
    <m/>
    <m/>
    <m/>
    <m/>
    <m/>
    <m/>
    <m/>
    <m/>
    <m/>
    <m/>
    <m/>
    <m/>
    <n v="0"/>
    <m/>
    <m/>
    <m/>
    <m/>
    <m/>
    <m/>
    <m/>
    <m/>
    <m/>
    <m/>
    <m/>
    <m/>
    <n v="0"/>
    <n v="112"/>
  </r>
  <r>
    <x v="0"/>
    <x v="1"/>
    <s v="GE/IM"/>
    <s v="Samuel Matos"/>
    <s v="GE/IM"/>
    <s v="Samuel Matos"/>
    <s v="DGE"/>
    <s v="GE01118"/>
    <s v="PIRE/18/0342"/>
    <s v="Otimização dos Ativos de Lavras para atendimento da Cemig GT"/>
    <s v="Obras para viabilização da transferência da equipe da MG/CS do imóvel locado da Cemig GT, situado na rua Comendador José Esteves, nº 40, para o imóvel próprio da Cemig D, situado na Rua Chagas Doria, nº 95, atualmente ocupado pela MD/VR, visando à_x000a_rescisão do contrato de locação do imóvel da MG/CS, que possui custo mensal de R$ 9 mil e à otimização da ocupação do imóvel da Cemig D. Serão executadas obras na edificação visando  o adequado funcionamento das atividades das gerências locais."/>
    <s v="Não redução de despesa operacional, relativa à locação de imóvel para a Cemig GT, no município de Lavras."/>
    <m/>
    <n v="0"/>
    <n v="0"/>
    <n v="0"/>
    <n v="0"/>
    <n v="0"/>
    <n v="0"/>
    <n v="0"/>
    <n v="0"/>
    <m/>
    <m/>
    <n v="25"/>
    <n v="10"/>
    <n v="35"/>
    <n v="13"/>
    <n v="13"/>
    <n v="13"/>
    <m/>
    <m/>
    <m/>
    <m/>
    <n v="142"/>
    <n v="142"/>
    <n v="142"/>
    <n v="142"/>
    <n v="145"/>
    <n v="752"/>
    <m/>
    <m/>
    <m/>
    <m/>
    <m/>
    <m/>
    <m/>
    <m/>
    <m/>
    <m/>
    <m/>
    <m/>
    <n v="0"/>
    <m/>
    <m/>
    <m/>
    <m/>
    <m/>
    <m/>
    <m/>
    <m/>
    <m/>
    <m/>
    <m/>
    <m/>
    <n v="0"/>
    <m/>
    <m/>
    <m/>
    <m/>
    <m/>
    <m/>
    <m/>
    <m/>
    <m/>
    <m/>
    <m/>
    <m/>
    <n v="0"/>
    <n v="787"/>
  </r>
  <r>
    <x v="0"/>
    <x v="1"/>
    <s v="GE/IM"/>
    <s v="Evandro Jardim"/>
    <s v="GE/IM"/>
    <s v="Evandro Jardim"/>
    <s v="DGE"/>
    <s v="NA"/>
    <m/>
    <s v="Otimização dos Ativos de Montes Claros"/>
    <s v="Alienação do compartilhado e transferência das atividades para o imóvel situado no bairro Vila Mauricéia e locação de imóvel para agência. Adequação do imóvel para recebimento da equipe."/>
    <s v="Não cumprimento do Acordo de Metas da Iniciativa 9 do Programa de Adequação da Cemig D ao Regulatório, a qual prevê a obtenção de receita com a alienação de imóvel inservível, e à redução de despesas operacionais."/>
    <m/>
    <n v="0"/>
    <n v="0"/>
    <n v="0"/>
    <n v="0"/>
    <n v="0"/>
    <n v="0"/>
    <n v="0"/>
    <n v="0"/>
    <m/>
    <m/>
    <m/>
    <n v="46.868000000000002"/>
    <n v="46.868000000000002"/>
    <m/>
    <m/>
    <m/>
    <m/>
    <m/>
    <m/>
    <m/>
    <n v="35"/>
    <n v="35"/>
    <n v="70"/>
    <n v="70"/>
    <n v="49"/>
    <n v="259"/>
    <n v="126"/>
    <n v="105"/>
    <n v="70"/>
    <n v="70"/>
    <n v="70"/>
    <m/>
    <m/>
    <m/>
    <m/>
    <m/>
    <m/>
    <m/>
    <n v="441"/>
    <m/>
    <m/>
    <m/>
    <m/>
    <m/>
    <m/>
    <m/>
    <m/>
    <m/>
    <m/>
    <m/>
    <m/>
    <n v="0"/>
    <m/>
    <m/>
    <m/>
    <m/>
    <m/>
    <m/>
    <m/>
    <m/>
    <m/>
    <m/>
    <m/>
    <m/>
    <n v="0"/>
    <n v="746.86800000000005"/>
  </r>
  <r>
    <x v="0"/>
    <x v="1"/>
    <s v="GE/IM"/>
    <s v="Loan Lauar"/>
    <s v="GE/IM"/>
    <s v="Loan Lauar"/>
    <s v="DGE"/>
    <s v="NA"/>
    <m/>
    <s v="Otimização dos Ativos de Passos"/>
    <s v="Obra de adequação do imóvel compartilhado e alienação de parte do terreno do imóvel compartilhado."/>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n v="50"/>
    <m/>
    <m/>
    <m/>
    <m/>
    <n v="90"/>
    <m/>
    <m/>
    <m/>
    <m/>
    <m/>
    <n v="140"/>
    <m/>
    <m/>
    <m/>
    <m/>
    <m/>
    <m/>
    <m/>
    <m/>
    <m/>
    <m/>
    <m/>
    <m/>
    <n v="0"/>
    <m/>
    <m/>
    <m/>
    <m/>
    <m/>
    <m/>
    <m/>
    <m/>
    <m/>
    <m/>
    <m/>
    <m/>
    <n v="0"/>
    <m/>
    <m/>
    <m/>
    <m/>
    <m/>
    <m/>
    <m/>
    <m/>
    <m/>
    <m/>
    <m/>
    <m/>
    <n v="0"/>
    <n v="140"/>
  </r>
  <r>
    <x v="0"/>
    <x v="1"/>
    <s v="GE/IM"/>
    <s v="Loan Lauar"/>
    <s v="GE/IM"/>
    <s v="Loan Lauar"/>
    <s v="DGE"/>
    <s v="NA"/>
    <m/>
    <s v="Otimização dos Ativos de Patrocínio"/>
    <s v="Alienação do imóvel próprio, construção de edificação na SE e locação de agência de atendimento."/>
    <s v="Não cumprimento do Acordo de Metas da Iniciativa 9 do Programa de Adequação da Cemig D ao Regulatório, a qual prevê a obtenção de receita com a alienação de imóvel inservível, e à redução de despesas operacionais."/>
    <m/>
    <n v="0"/>
    <n v="0"/>
    <n v="0"/>
    <n v="0"/>
    <n v="0"/>
    <n v="0"/>
    <n v="0"/>
    <n v="0"/>
    <m/>
    <m/>
    <m/>
    <n v="35"/>
    <n v="35"/>
    <m/>
    <m/>
    <m/>
    <n v="106.322"/>
    <n v="101.762"/>
    <n v="95"/>
    <m/>
    <m/>
    <m/>
    <m/>
    <m/>
    <m/>
    <n v="303.084"/>
    <m/>
    <m/>
    <m/>
    <m/>
    <m/>
    <m/>
    <m/>
    <m/>
    <m/>
    <m/>
    <m/>
    <m/>
    <n v="0"/>
    <m/>
    <m/>
    <m/>
    <m/>
    <m/>
    <m/>
    <m/>
    <m/>
    <m/>
    <m/>
    <m/>
    <m/>
    <n v="0"/>
    <m/>
    <m/>
    <m/>
    <m/>
    <m/>
    <m/>
    <m/>
    <m/>
    <m/>
    <m/>
    <m/>
    <m/>
    <n v="0"/>
    <n v="338.084"/>
  </r>
  <r>
    <x v="0"/>
    <x v="1"/>
    <s v="GE/IM"/>
    <s v="Loan Lauar"/>
    <s v="GE/IM"/>
    <s v="Loan Lauar"/>
    <s v="DGE"/>
    <s v="NA"/>
    <m/>
    <s v="Otimização dos Ativos de Três Corações"/>
    <s v="Alienação do imóvel compartilhado, construção na SE e locação de imóvel para agência de atendimento."/>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n v="30"/>
    <m/>
    <n v="71"/>
    <m/>
    <m/>
    <m/>
    <m/>
    <m/>
    <m/>
    <m/>
    <m/>
    <n v="101"/>
    <m/>
    <m/>
    <m/>
    <m/>
    <m/>
    <m/>
    <m/>
    <m/>
    <n v="67.519000000000005"/>
    <n v="67.519000000000005"/>
    <n v="135.03800000000001"/>
    <n v="135.03800000000001"/>
    <n v="405.11400000000003"/>
    <n v="202.55600000000001"/>
    <n v="202.566"/>
    <n v="202.55600000000001"/>
    <n v="135.03800000000001"/>
    <n v="135.03800000000001"/>
    <n v="67.42899999999986"/>
    <m/>
    <m/>
    <m/>
    <m/>
    <m/>
    <m/>
    <n v="945.18299999999988"/>
    <m/>
    <m/>
    <m/>
    <m/>
    <m/>
    <m/>
    <m/>
    <m/>
    <m/>
    <m/>
    <m/>
    <m/>
    <n v="0"/>
    <n v="1451.297"/>
  </r>
  <r>
    <x v="0"/>
    <x v="1"/>
    <s v="GE/IM"/>
    <s v="Loan Lauar"/>
    <s v="GE/IM"/>
    <s v="Loan Lauar"/>
    <s v="DGE"/>
    <s v="NA"/>
    <m/>
    <s v="Otimização dos Ativos de Varginha"/>
    <s v="Alienação do imóvel do centro, obras de adequação da SE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n v="0"/>
    <n v="0"/>
    <n v="0"/>
    <n v="0"/>
    <n v="0"/>
    <n v="0"/>
    <n v="0"/>
    <m/>
    <m/>
    <m/>
    <m/>
    <n v="0"/>
    <m/>
    <n v="39.462000000000003"/>
    <m/>
    <n v="92.078000000000003"/>
    <m/>
    <m/>
    <m/>
    <m/>
    <m/>
    <n v="87.144999999999996"/>
    <n v="91.435000000000002"/>
    <n v="94.289999999999992"/>
    <n v="404.40999999999997"/>
    <n v="191.43600000000001"/>
    <n v="111.43600000000001"/>
    <n v="111.43600000000001"/>
    <n v="124.29"/>
    <n v="139.29"/>
    <n v="87.144999999999996"/>
    <n v="90"/>
    <n v="80.128000000000611"/>
    <m/>
    <m/>
    <m/>
    <m/>
    <n v="935.16100000000051"/>
    <m/>
    <m/>
    <m/>
    <m/>
    <m/>
    <m/>
    <m/>
    <m/>
    <m/>
    <m/>
    <m/>
    <m/>
    <n v="0"/>
    <m/>
    <m/>
    <m/>
    <m/>
    <m/>
    <m/>
    <m/>
    <m/>
    <m/>
    <m/>
    <m/>
    <m/>
    <n v="0"/>
    <n v="1339.5710000000004"/>
  </r>
  <r>
    <x v="0"/>
    <x v="1"/>
    <s v="GE/IM"/>
    <s v="Samuel Matos"/>
    <s v="GE/IM"/>
    <s v="Samuel Matos"/>
    <s v="DGE"/>
    <s v="GE01618"/>
    <s v="PIRE/18/REBT"/>
    <s v="Reforma da Edificação do CDA Betim"/>
    <s v="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_x000a_Adaptação de uma edificação utilizada como Quiosque no imóvel, por meio de uma reforma civil, para a instalação e funcionamento de um Almoxarifado para armazenamento de equipamentos de manutenção da MD local, possibilitando a desocupação de uma das edificações existentes na área a ser alienada."/>
    <m/>
    <m/>
    <n v="0"/>
    <n v="0"/>
    <n v="0"/>
    <n v="0"/>
    <n v="0"/>
    <n v="0"/>
    <n v="0"/>
    <n v="0"/>
    <m/>
    <m/>
    <m/>
    <n v="60.131999999999998"/>
    <n v="60.131999999999998"/>
    <m/>
    <m/>
    <m/>
    <m/>
    <m/>
    <m/>
    <m/>
    <m/>
    <m/>
    <m/>
    <m/>
    <m/>
    <n v="0"/>
    <m/>
    <m/>
    <m/>
    <m/>
    <m/>
    <m/>
    <m/>
    <m/>
    <m/>
    <m/>
    <m/>
    <m/>
    <n v="0"/>
    <m/>
    <m/>
    <m/>
    <m/>
    <m/>
    <m/>
    <m/>
    <m/>
    <m/>
    <m/>
    <m/>
    <m/>
    <n v="0"/>
    <m/>
    <m/>
    <m/>
    <m/>
    <m/>
    <m/>
    <m/>
    <m/>
    <m/>
    <m/>
    <m/>
    <m/>
    <n v="0"/>
    <n v="60.131999999999998"/>
  </r>
  <r>
    <x v="0"/>
    <x v="1"/>
    <s v="GE/IM"/>
    <s v="Francely Duarte Sales Marques dos Santos _x000a__x000a_Rodrigo Elias S.  Santos"/>
    <s v="GE/IM"/>
    <s v="Francely Duarte Sales Marques dos Santos _x000a__x000a_Rodrigo Elias S.  Santos"/>
    <s v="DGE"/>
    <s v="NA"/>
    <m/>
    <s v="Regularização de Pendência com Imóveis - Distribuição"/>
    <s v="Casos Atípicos - Qualquer solicitação que fuja das atividades rotineiras. Ex.: Solicitação de indenização para empreendimento já construído, Averbação de Servidão existente, Solicitação de indenização por danos em imóveis de terceiros."/>
    <s v="Processos Judiciais, insatisfação do cliente, aumento de gastos para empresas."/>
    <m/>
    <n v="0"/>
    <n v="0"/>
    <n v="0"/>
    <n v="0"/>
    <n v="0"/>
    <n v="0"/>
    <n v="0"/>
    <n v="0"/>
    <m/>
    <m/>
    <m/>
    <m/>
    <n v="0"/>
    <m/>
    <m/>
    <m/>
    <m/>
    <m/>
    <m/>
    <m/>
    <m/>
    <m/>
    <m/>
    <m/>
    <n v="80"/>
    <n v="80"/>
    <m/>
    <m/>
    <m/>
    <m/>
    <m/>
    <m/>
    <m/>
    <m/>
    <m/>
    <m/>
    <m/>
    <n v="78.357229958346579"/>
    <n v="78.357229958346579"/>
    <m/>
    <m/>
    <m/>
    <m/>
    <m/>
    <m/>
    <m/>
    <m/>
    <m/>
    <m/>
    <m/>
    <n v="73"/>
    <n v="73"/>
    <m/>
    <m/>
    <m/>
    <m/>
    <m/>
    <m/>
    <m/>
    <m/>
    <m/>
    <m/>
    <m/>
    <n v="60"/>
    <n v="60"/>
    <n v="291.35722995834658"/>
  </r>
  <r>
    <x v="0"/>
    <x v="1"/>
    <s v="GE/IM"/>
    <s v="Samuel Matos"/>
    <s v="GE/IM"/>
    <s v="Samuel Matos"/>
    <s v="DGE"/>
    <s v="NA"/>
    <m/>
    <s v="Transferência de Base Operativa da MD/MM do Itambé para o Anel Rodoviário e Barro Preto (Projeto de Centralização Administrativa)"/>
    <s v="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
    <s v="Não cumprimento de meta estabelecida no Projeto de Centralização Administrativa da Cemig no Edifício Aureliano Chaves, relativa à obtenção de receita com a alienação do prédio Itambé. "/>
    <m/>
    <n v="0"/>
    <n v="0"/>
    <n v="0"/>
    <n v="0"/>
    <n v="0"/>
    <n v="0"/>
    <n v="0"/>
    <n v="0"/>
    <m/>
    <m/>
    <m/>
    <m/>
    <n v="0"/>
    <m/>
    <m/>
    <m/>
    <m/>
    <m/>
    <n v="48"/>
    <n v="68.698999999999998"/>
    <m/>
    <m/>
    <m/>
    <m/>
    <m/>
    <n v="116.699"/>
    <m/>
    <m/>
    <m/>
    <m/>
    <m/>
    <m/>
    <m/>
    <m/>
    <m/>
    <m/>
    <m/>
    <m/>
    <n v="0"/>
    <m/>
    <m/>
    <m/>
    <m/>
    <m/>
    <m/>
    <m/>
    <m/>
    <m/>
    <m/>
    <m/>
    <m/>
    <n v="0"/>
    <m/>
    <m/>
    <m/>
    <m/>
    <m/>
    <m/>
    <m/>
    <m/>
    <m/>
    <m/>
    <m/>
    <m/>
    <n v="0"/>
    <n v="116.699"/>
  </r>
  <r>
    <x v="1"/>
    <x v="2"/>
    <s v="GE/PC"/>
    <s v="Viviane Fernanda"/>
    <s v="GE/PC"/>
    <s v="Viviane Fernanda"/>
    <s v="DGE"/>
    <s v="NA"/>
    <m/>
    <s v="Saldo 1-3-1 Edificações G"/>
    <m/>
    <m/>
    <m/>
    <n v="0"/>
    <n v="0"/>
    <n v="0"/>
    <n v="0"/>
    <n v="0"/>
    <n v="0"/>
    <n v="0"/>
    <n v="0"/>
    <m/>
    <m/>
    <m/>
    <m/>
    <n v="0"/>
    <m/>
    <m/>
    <m/>
    <m/>
    <m/>
    <m/>
    <n v="1.054160023843"/>
    <m/>
    <m/>
    <m/>
    <m/>
    <n v="87"/>
    <n v="88.054160023842996"/>
    <m/>
    <m/>
    <m/>
    <m/>
    <m/>
    <m/>
    <m/>
    <m/>
    <m/>
    <m/>
    <m/>
    <m/>
    <n v="0"/>
    <m/>
    <m/>
    <m/>
    <m/>
    <m/>
    <m/>
    <m/>
    <m/>
    <m/>
    <m/>
    <m/>
    <m/>
    <n v="0"/>
    <m/>
    <m/>
    <m/>
    <m/>
    <m/>
    <m/>
    <m/>
    <m/>
    <m/>
    <m/>
    <m/>
    <m/>
    <n v="0"/>
    <n v="88.054160023842996"/>
  </r>
  <r>
    <x v="1"/>
    <x v="3"/>
    <s v="GE/PC"/>
    <s v="Viviane Fernanda"/>
    <s v="GE/PC"/>
    <s v="Viviane Fernanda"/>
    <s v="DGE"/>
    <s v="NA"/>
    <m/>
    <s v="Saldo 1-3-6 Ferramentas da Geração"/>
    <m/>
    <m/>
    <m/>
    <n v="0"/>
    <n v="0"/>
    <n v="0"/>
    <n v="0"/>
    <n v="0"/>
    <n v="0"/>
    <n v="0"/>
    <n v="0"/>
    <m/>
    <m/>
    <m/>
    <m/>
    <n v="0"/>
    <m/>
    <m/>
    <m/>
    <m/>
    <m/>
    <m/>
    <n v="5.5905885714285501"/>
    <m/>
    <m/>
    <m/>
    <m/>
    <m/>
    <n v="5.5905885714285501"/>
    <m/>
    <m/>
    <m/>
    <m/>
    <m/>
    <m/>
    <m/>
    <m/>
    <m/>
    <m/>
    <m/>
    <m/>
    <n v="0"/>
    <m/>
    <m/>
    <m/>
    <m/>
    <m/>
    <m/>
    <m/>
    <m/>
    <m/>
    <m/>
    <m/>
    <m/>
    <n v="0"/>
    <m/>
    <m/>
    <m/>
    <m/>
    <m/>
    <m/>
    <m/>
    <m/>
    <m/>
    <m/>
    <m/>
    <m/>
    <n v="0"/>
    <n v="5.5905885714285501"/>
  </r>
  <r>
    <x v="0"/>
    <x v="0"/>
    <s v="GE/PC"/>
    <s v="Viviane Fernanda"/>
    <s v="GE/PC"/>
    <s v="Viviane Fernanda"/>
    <s v="DGE"/>
    <s v="NA"/>
    <m/>
    <s v="Saldo 3-4-1 Ferramentas D"/>
    <m/>
    <m/>
    <m/>
    <n v="0"/>
    <n v="0"/>
    <n v="0"/>
    <n v="0"/>
    <n v="0"/>
    <n v="0"/>
    <n v="0"/>
    <n v="0"/>
    <m/>
    <m/>
    <m/>
    <m/>
    <n v="0"/>
    <m/>
    <m/>
    <m/>
    <m/>
    <m/>
    <m/>
    <m/>
    <m/>
    <m/>
    <m/>
    <m/>
    <m/>
    <n v="0"/>
    <m/>
    <m/>
    <m/>
    <m/>
    <m/>
    <m/>
    <m/>
    <m/>
    <m/>
    <m/>
    <m/>
    <m/>
    <n v="0"/>
    <m/>
    <m/>
    <m/>
    <m/>
    <m/>
    <m/>
    <m/>
    <m/>
    <m/>
    <m/>
    <m/>
    <m/>
    <n v="0"/>
    <m/>
    <m/>
    <m/>
    <m/>
    <m/>
    <m/>
    <m/>
    <m/>
    <m/>
    <m/>
    <m/>
    <m/>
    <n v="0"/>
    <n v="0"/>
  </r>
  <r>
    <x v="0"/>
    <x v="1"/>
    <s v="GE/PC"/>
    <s v="Daniel Macedo"/>
    <s v="GE/PC"/>
    <s v="Daniel Macedo"/>
    <s v="DGE"/>
    <s v="GE01418"/>
    <s v="INFR.342.03718"/>
    <s v="Aquisição de Equipamento Geral para GE/PC"/>
    <m/>
    <m/>
    <m/>
    <n v="0"/>
    <n v="0"/>
    <n v="0"/>
    <n v="0"/>
    <n v="0"/>
    <n v="0"/>
    <n v="0"/>
    <n v="0"/>
    <m/>
    <m/>
    <m/>
    <n v="25"/>
    <n v="25"/>
    <m/>
    <m/>
    <m/>
    <m/>
    <m/>
    <m/>
    <m/>
    <m/>
    <m/>
    <m/>
    <m/>
    <m/>
    <n v="0"/>
    <m/>
    <m/>
    <m/>
    <m/>
    <m/>
    <m/>
    <m/>
    <m/>
    <m/>
    <m/>
    <m/>
    <m/>
    <n v="0"/>
    <m/>
    <m/>
    <m/>
    <m/>
    <m/>
    <m/>
    <m/>
    <m/>
    <m/>
    <m/>
    <m/>
    <m/>
    <n v="0"/>
    <m/>
    <m/>
    <m/>
    <m/>
    <m/>
    <m/>
    <m/>
    <m/>
    <m/>
    <m/>
    <m/>
    <m/>
    <n v="0"/>
    <n v="25"/>
  </r>
  <r>
    <x v="0"/>
    <x v="1"/>
    <s v="GE/PC"/>
    <s v="Viviane Fernanda"/>
    <s v="GE/PC"/>
    <s v="Viviane Fernanda"/>
    <s v="DGE"/>
    <s v="NA"/>
    <m/>
    <s v="Saldo 3-4-2 Edificações D"/>
    <m/>
    <m/>
    <m/>
    <n v="0"/>
    <n v="0"/>
    <n v="0"/>
    <n v="0"/>
    <n v="0"/>
    <n v="0"/>
    <n v="0"/>
    <n v="0"/>
    <m/>
    <m/>
    <m/>
    <m/>
    <n v="0"/>
    <m/>
    <m/>
    <m/>
    <m/>
    <m/>
    <m/>
    <m/>
    <m/>
    <m/>
    <m/>
    <m/>
    <n v="21.600000023842"/>
    <n v="21.600000023842"/>
    <m/>
    <m/>
    <m/>
    <m/>
    <m/>
    <m/>
    <m/>
    <m/>
    <m/>
    <m/>
    <m/>
    <m/>
    <n v="0"/>
    <m/>
    <m/>
    <m/>
    <m/>
    <m/>
    <m/>
    <m/>
    <m/>
    <m/>
    <m/>
    <m/>
    <m/>
    <n v="0"/>
    <m/>
    <m/>
    <m/>
    <m/>
    <m/>
    <m/>
    <m/>
    <m/>
    <m/>
    <m/>
    <m/>
    <m/>
    <n v="0"/>
    <n v="21.600000023842"/>
  </r>
  <r>
    <x v="0"/>
    <x v="0"/>
    <s v="GR/PC"/>
    <s v="Ronaldo Oliveira"/>
    <s v="GR/PC"/>
    <s v="Ronaldo Oliveira"/>
    <s v="DDC"/>
    <s v="GR00118"/>
    <s v="INFR.341.01918"/>
    <s v="Aquisição camara climática"/>
    <s v="Equipamento de testes de materiais e componentes eletricos e eletronicos em laboratorio, com temperatura e umidade programaveis"/>
    <s v="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
    <m/>
    <n v="0"/>
    <n v="0"/>
    <n v="0"/>
    <n v="0"/>
    <n v="0"/>
    <n v="0"/>
    <n v="0"/>
    <n v="0"/>
    <m/>
    <m/>
    <m/>
    <m/>
    <n v="0"/>
    <m/>
    <m/>
    <m/>
    <m/>
    <m/>
    <m/>
    <m/>
    <m/>
    <m/>
    <m/>
    <m/>
    <m/>
    <n v="0"/>
    <n v="350"/>
    <m/>
    <m/>
    <m/>
    <m/>
    <m/>
    <m/>
    <m/>
    <m/>
    <m/>
    <m/>
    <m/>
    <n v="350"/>
    <m/>
    <m/>
    <m/>
    <m/>
    <m/>
    <m/>
    <m/>
    <m/>
    <m/>
    <m/>
    <m/>
    <m/>
    <n v="0"/>
    <m/>
    <m/>
    <m/>
    <m/>
    <m/>
    <m/>
    <m/>
    <m/>
    <m/>
    <m/>
    <m/>
    <m/>
    <n v="0"/>
    <n v="350"/>
  </r>
  <r>
    <x v="0"/>
    <x v="0"/>
    <s v="MD/CS"/>
    <s v="Emerson de Sales Cruz"/>
    <s v="MD/CS"/>
    <s v="Emerson de Sales Cruz"/>
    <s v="DDC"/>
    <s v="NA"/>
    <m/>
    <s v="Programa de Substituição e Modernização de Ferramentas MD/CS - NA"/>
    <m/>
    <m/>
    <m/>
    <n v="0"/>
    <n v="0"/>
    <n v="0"/>
    <n v="0"/>
    <n v="0"/>
    <n v="0"/>
    <n v="0"/>
    <n v="0"/>
    <m/>
    <m/>
    <m/>
    <m/>
    <n v="0"/>
    <m/>
    <m/>
    <m/>
    <m/>
    <m/>
    <m/>
    <n v="1104"/>
    <n v="406"/>
    <n v="319"/>
    <m/>
    <m/>
    <n v="240"/>
    <n v="2069"/>
    <m/>
    <m/>
    <m/>
    <m/>
    <m/>
    <m/>
    <n v="700"/>
    <n v="350"/>
    <n v="1190"/>
    <m/>
    <m/>
    <m/>
    <n v="2240"/>
    <m/>
    <m/>
    <m/>
    <m/>
    <m/>
    <m/>
    <n v="300"/>
    <n v="720"/>
    <n v="1300"/>
    <n v="900"/>
    <m/>
    <m/>
    <n v="3220"/>
    <m/>
    <m/>
    <m/>
    <m/>
    <m/>
    <m/>
    <n v="513"/>
    <n v="1000"/>
    <n v="958"/>
    <n v="0"/>
    <m/>
    <m/>
    <n v="2471"/>
    <n v="10000"/>
  </r>
  <r>
    <x v="0"/>
    <x v="0"/>
    <s v="MD/CS"/>
    <s v="Emerson de Sales Cruz"/>
    <s v="MD/CS"/>
    <s v="Emerson de Sales Cruz"/>
    <s v="DDC"/>
    <s v="MD00118"/>
    <s v="INFR.341.01118"/>
    <s v="Programa de Substituição e Modernização de Ferramentas MD/CS 2018"/>
    <s v="Aquisição de ferramentas para as equipes das gerências de manutenção e serviços de campo da MD"/>
    <s v="Comprometer a produtividade das equipes, a qualidade dos serviços prestados  e atendimento aos indices de qualidade de fornecimento da Distribuição."/>
    <m/>
    <n v="0"/>
    <n v="0"/>
    <n v="0"/>
    <n v="0"/>
    <n v="0"/>
    <n v="0"/>
    <n v="7.9200000762939453"/>
    <n v="0"/>
    <m/>
    <m/>
    <n v="50"/>
    <n v="333.37534999847401"/>
    <n v="383.37534999847401"/>
    <m/>
    <n v="130"/>
    <m/>
    <m/>
    <m/>
    <m/>
    <m/>
    <m/>
    <m/>
    <m/>
    <m/>
    <m/>
    <n v="130"/>
    <m/>
    <m/>
    <m/>
    <m/>
    <m/>
    <m/>
    <m/>
    <m/>
    <m/>
    <m/>
    <m/>
    <m/>
    <n v="0"/>
    <m/>
    <m/>
    <m/>
    <m/>
    <m/>
    <m/>
    <m/>
    <m/>
    <m/>
    <m/>
    <m/>
    <m/>
    <n v="0"/>
    <m/>
    <m/>
    <m/>
    <m/>
    <m/>
    <m/>
    <m/>
    <m/>
    <m/>
    <m/>
    <m/>
    <m/>
    <n v="0"/>
    <n v="513.37534999847401"/>
  </r>
  <r>
    <x v="1"/>
    <x v="2"/>
    <s v="MG"/>
    <s v="Leonardo Victoretti , Mateus Trevisani, Diego Thadeu 31-3535-7617_x000a_SIT-944 351"/>
    <s v="MG"/>
    <s v="Leonardo Victoretti , Mateus Trevisani, Diego Thadeu 31-3535-7617_x000a_SIT-944 351"/>
    <s v="DGT"/>
    <s v="MG00818"/>
    <s v="INFR.131.02218"/>
    <s v="AQUISIÇÃO DE EQUIPAMENTO GERAL PARA MG"/>
    <s v="Descrição: MG/LE: Aquisição de (3) aparelhos de ar  condcionado, modelo split, piso/teto, 30.000 Btus"/>
    <s v="Aumento do gasto em despesa com manutenção dos aparelhos de ar condicionado existentes._x000a_Ficar com ambiente sem climatização em caso de falha que decrete o final da vida útil do equipamento._x000a_"/>
    <m/>
    <n v="0"/>
    <n v="0"/>
    <n v="0"/>
    <n v="0"/>
    <n v="0"/>
    <n v="0"/>
    <n v="0"/>
    <n v="0"/>
    <n v="0"/>
    <n v="32"/>
    <n v="11"/>
    <n v="8.3999999999999986"/>
    <n v="51.4"/>
    <n v="0"/>
    <n v="0"/>
    <n v="0"/>
    <n v="0"/>
    <n v="0"/>
    <n v="0"/>
    <n v="0"/>
    <m/>
    <n v="0"/>
    <n v="0"/>
    <n v="0"/>
    <n v="0"/>
    <n v="0"/>
    <n v="0"/>
    <n v="0"/>
    <n v="0"/>
    <n v="0"/>
    <n v="0"/>
    <n v="0"/>
    <n v="0"/>
    <n v="0"/>
    <n v="0"/>
    <n v="0"/>
    <n v="0"/>
    <n v="0"/>
    <n v="0"/>
    <n v="0"/>
    <n v="0"/>
    <n v="0"/>
    <n v="0"/>
    <n v="0"/>
    <n v="0"/>
    <n v="0"/>
    <n v="0"/>
    <n v="0"/>
    <n v="0"/>
    <n v="0"/>
    <n v="0"/>
    <n v="0"/>
    <n v="0"/>
    <n v="0"/>
    <n v="0"/>
    <n v="0"/>
    <n v="0"/>
    <n v="0"/>
    <n v="0"/>
    <n v="0"/>
    <n v="0"/>
    <n v="0"/>
    <n v="0"/>
    <n v="0"/>
    <n v="0"/>
    <n v="51.4"/>
  </r>
  <r>
    <x v="1"/>
    <x v="3"/>
    <s v="MG/LE"/>
    <s v="Leonardo Victoretti  _x000a_SIT-944 351"/>
    <s v="MG/LE"/>
    <s v="Leonardo Victoretti  _x000a_SIT-944 351"/>
    <s v="DGT"/>
    <s v="MG50118"/>
    <s v="INFR.136.03918"/>
    <s v="Aquisição de Ferramentas para a MG"/>
    <s v="Ver guia Junção de Projetos"/>
    <m/>
    <m/>
    <n v="0"/>
    <n v="0"/>
    <n v="0"/>
    <n v="0"/>
    <n v="0"/>
    <n v="0"/>
    <n v="0"/>
    <n v="0"/>
    <n v="0"/>
    <n v="0"/>
    <n v="0"/>
    <n v="0"/>
    <n v="0"/>
    <n v="0"/>
    <n v="0"/>
    <n v="412.91641142857134"/>
    <n v="0"/>
    <n v="0"/>
    <m/>
    <m/>
    <m/>
    <m/>
    <m/>
    <m/>
    <m/>
    <n v="412.91641142857134"/>
    <n v="0"/>
    <n v="0"/>
    <n v="0"/>
    <n v="0"/>
    <n v="0"/>
    <n v="0"/>
    <n v="0"/>
    <n v="0"/>
    <n v="0"/>
    <n v="0"/>
    <n v="0"/>
    <n v="0"/>
    <n v="0"/>
    <n v="0"/>
    <n v="0"/>
    <n v="0"/>
    <n v="0"/>
    <n v="0"/>
    <n v="0"/>
    <n v="0"/>
    <n v="0"/>
    <n v="0"/>
    <n v="0"/>
    <n v="0"/>
    <n v="0"/>
    <n v="0"/>
    <n v="0"/>
    <n v="0"/>
    <n v="0"/>
    <n v="0"/>
    <n v="0"/>
    <n v="0"/>
    <n v="0"/>
    <n v="0"/>
    <n v="0"/>
    <n v="0"/>
    <n v="0"/>
    <n v="0"/>
    <n v="0"/>
    <n v="412.91641142857134"/>
  </r>
  <r>
    <x v="1"/>
    <x v="3"/>
    <s v="MG/LE"/>
    <s v="Leonardo Victoretti  _x000a_SIT-944 351"/>
    <s v="MG/LE"/>
    <s v="Leonardo Victoretti  _x000a_SIT-944 351"/>
    <s v="DGT"/>
    <s v="NA"/>
    <m/>
    <s v="GLE-INV-PPE-Aq-Eqp-Aquis-dado-multicanal"/>
    <s v="Descrição: MG/LE: Aquisição de (1) Aquisitor de dados multicanal para análise de parâmetros dinâmicos de unidades geradoras._x000a_Referência: Lin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17"/>
    <n v="117"/>
    <n v="117"/>
  </r>
  <r>
    <x v="1"/>
    <x v="3"/>
    <s v="MG/LE"/>
    <s v="Leonardo Victoretti  _x000a_SIT-944 351"/>
    <s v="MG/LE"/>
    <s v="Leonardo Victoretti  _x000a_SIT-944 351"/>
    <s v="DGT"/>
    <s v="NA"/>
    <m/>
    <s v="GLE-INV-PPE-Aq-Eqp-calibr/gerador-sinais"/>
    <s v="Descrição: MG/LE: Aquisição de (1) Calibrador / Gerador de Sinais._x000a_Referência: Presys modelo Isocal mcs-xv"/>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m/>
    <m/>
    <m/>
    <m/>
    <m/>
    <m/>
    <m/>
    <n v="0"/>
    <n v="0"/>
    <n v="0"/>
    <n v="0"/>
    <n v="0"/>
    <n v="0"/>
    <n v="0"/>
    <n v="0"/>
    <n v="0"/>
    <n v="0"/>
    <n v="0"/>
    <n v="0"/>
    <n v="23"/>
    <n v="23"/>
    <n v="0"/>
    <n v="0"/>
    <n v="0"/>
    <n v="0"/>
    <n v="0"/>
    <n v="0"/>
    <n v="0"/>
    <n v="0"/>
    <n v="0"/>
    <n v="0"/>
    <n v="0"/>
    <n v="0"/>
    <n v="0"/>
    <n v="0"/>
    <n v="0"/>
    <n v="0"/>
    <n v="0"/>
    <n v="0"/>
    <n v="0"/>
    <n v="0"/>
    <n v="0"/>
    <n v="0"/>
    <n v="0"/>
    <n v="0"/>
    <n v="0"/>
    <n v="0"/>
    <n v="23"/>
  </r>
  <r>
    <x v="1"/>
    <x v="3"/>
    <s v="MG/LE"/>
    <s v="Leonardo Victoretti  _x000a_SIT-944 351"/>
    <s v="MG/LE"/>
    <s v="Leonardo Victoretti  _x000a_SIT-944 351"/>
    <s v="DGT"/>
    <s v="NA"/>
    <m/>
    <s v="GLE-INV-PPE-Aq-Eqp-multímetro-profission"/>
    <s v="Descrição: MG/LE: Aquisição de (5) Multímetros profissionais._x000a_Referência: Fluke"/>
    <s v="Deficiência no atendimento à demandas de execução de manutenção dos ativos da geração. _x000a_"/>
    <m/>
    <n v="0"/>
    <n v="0"/>
    <n v="0"/>
    <n v="0"/>
    <n v="0"/>
    <n v="0"/>
    <n v="0"/>
    <n v="0"/>
    <n v="0"/>
    <n v="0"/>
    <n v="0"/>
    <n v="0"/>
    <n v="0"/>
    <n v="0"/>
    <n v="0"/>
    <n v="0"/>
    <n v="0"/>
    <n v="0"/>
    <m/>
    <m/>
    <m/>
    <m/>
    <m/>
    <m/>
    <m/>
    <n v="0"/>
    <n v="0"/>
    <n v="0"/>
    <n v="0"/>
    <n v="0"/>
    <n v="0"/>
    <n v="0"/>
    <n v="0"/>
    <n v="0"/>
    <n v="0"/>
    <n v="0"/>
    <n v="0"/>
    <n v="15"/>
    <n v="15"/>
    <n v="0"/>
    <n v="0"/>
    <n v="0"/>
    <n v="0"/>
    <n v="0"/>
    <n v="0"/>
    <n v="0"/>
    <n v="0"/>
    <n v="0"/>
    <n v="0"/>
    <n v="0"/>
    <n v="0"/>
    <n v="0"/>
    <n v="0"/>
    <n v="0"/>
    <n v="0"/>
    <n v="0"/>
    <n v="0"/>
    <n v="0"/>
    <n v="0"/>
    <n v="0"/>
    <n v="0"/>
    <n v="0"/>
    <n v="0"/>
    <n v="0"/>
    <n v="0"/>
    <n v="15"/>
  </r>
  <r>
    <x v="1"/>
    <x v="3"/>
    <s v="MG/LE"/>
    <s v="Leonardo Victoretti  _x000a_SIT-944 351"/>
    <s v="MG/LE"/>
    <s v="Leonardo Victoretti  _x000a_SIT-944 351"/>
    <s v="DGT"/>
    <s v="NA"/>
    <m/>
    <s v="GLE-INV-PPE-Aq-Eqp-osciloscópio-portátil"/>
    <s v="Descrição: MG/LE: Aquisição de (1) Osciloscópio Portátil, 04 canais, isolados._x000a_Referência: Tektroni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m/>
    <m/>
    <m/>
    <m/>
    <m/>
    <m/>
    <m/>
    <n v="0"/>
    <n v="0"/>
    <n v="0"/>
    <n v="0"/>
    <n v="0"/>
    <n v="0"/>
    <n v="0"/>
    <n v="0"/>
    <n v="0"/>
    <n v="0"/>
    <n v="0"/>
    <n v="0"/>
    <n v="20"/>
    <n v="20"/>
    <n v="0"/>
    <n v="0"/>
    <n v="0"/>
    <n v="0"/>
    <n v="0"/>
    <n v="0"/>
    <n v="0"/>
    <n v="0"/>
    <n v="0"/>
    <n v="0"/>
    <n v="0"/>
    <n v="0"/>
    <n v="0"/>
    <n v="0"/>
    <n v="0"/>
    <n v="0"/>
    <n v="0"/>
    <n v="0"/>
    <n v="0"/>
    <n v="0"/>
    <n v="0"/>
    <n v="0"/>
    <n v="0"/>
    <n v="0"/>
    <n v="0"/>
    <n v="0"/>
    <n v="20"/>
  </r>
  <r>
    <x v="1"/>
    <x v="3"/>
    <s v="MG/LE"/>
    <s v="Leonardo Victoretti  _x000a_SIT-944 351"/>
    <s v="MG/LE"/>
    <s v="Leonardo Victoretti  _x000a_SIT-944 351"/>
    <s v="DGT"/>
    <s v="NA"/>
    <m/>
    <s v="GLE-INV-PPE-Aq-Eqp-termovisor-portátil"/>
    <s v="Descrição: MG/LE: Aquisição de (1) Termovisor portátil_x000a_Referência: Flir"/>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m/>
    <m/>
    <m/>
    <m/>
    <m/>
    <m/>
    <m/>
    <n v="0"/>
    <n v="0"/>
    <n v="0"/>
    <n v="0"/>
    <n v="0"/>
    <n v="0"/>
    <n v="0"/>
    <n v="0"/>
    <n v="0"/>
    <n v="0"/>
    <n v="0"/>
    <n v="0"/>
    <n v="0"/>
    <n v="0"/>
    <n v="0"/>
    <n v="0"/>
    <n v="0"/>
    <n v="0"/>
    <n v="0"/>
    <n v="0"/>
    <n v="0"/>
    <n v="0"/>
    <n v="0"/>
    <n v="0"/>
    <n v="0"/>
    <n v="30"/>
    <n v="30"/>
    <n v="0"/>
    <n v="0"/>
    <n v="0"/>
    <n v="0"/>
    <n v="0"/>
    <n v="0"/>
    <n v="0"/>
    <n v="0"/>
    <n v="0"/>
    <n v="0"/>
    <n v="0"/>
    <n v="0"/>
    <n v="0"/>
    <n v="30"/>
  </r>
  <r>
    <x v="1"/>
    <x v="3"/>
    <s v="MG/SB"/>
    <s v="Pedro Alberto"/>
    <s v="MG/SB"/>
    <s v="Pedro Alberto"/>
    <s v="DGT"/>
    <s v="MG00318"/>
    <s v="INGC/18/FERR/MGCT"/>
    <s v="Ferramentas Cemig GT MG 2018"/>
    <s v="Sistema Inspetor - Manutenção rotineira e evoluções periódicas - Implantação de inspeção informatizada utilizando PDAs associados a GPS - MG/SB_x000a_Aquisição de 01 Deareador - MG/SB_x000a_Aquisição de 01 bússola - MG/SB_x000a_Aquisição de 01 Drone - MG/SB"/>
    <m/>
    <m/>
    <n v="0"/>
    <n v="0"/>
    <n v="0"/>
    <n v="0"/>
    <n v="0"/>
    <n v="3.7000000476837158"/>
    <n v="6.5900001525878906"/>
    <n v="0"/>
    <m/>
    <m/>
    <n v="67"/>
    <m/>
    <n v="67"/>
    <m/>
    <m/>
    <m/>
    <m/>
    <m/>
    <m/>
    <n v="93.710002294845495"/>
    <m/>
    <m/>
    <m/>
    <m/>
    <m/>
    <n v="93.710002294845495"/>
    <m/>
    <m/>
    <m/>
    <m/>
    <m/>
    <m/>
    <m/>
    <m/>
    <m/>
    <m/>
    <m/>
    <m/>
    <n v="0"/>
    <m/>
    <m/>
    <m/>
    <m/>
    <m/>
    <m/>
    <m/>
    <m/>
    <m/>
    <m/>
    <m/>
    <m/>
    <n v="0"/>
    <m/>
    <m/>
    <m/>
    <m/>
    <m/>
    <m/>
    <m/>
    <m/>
    <m/>
    <m/>
    <m/>
    <m/>
    <n v="0"/>
    <n v="160.71000229484548"/>
  </r>
  <r>
    <x v="1"/>
    <x v="2"/>
    <s v="MG/TR"/>
    <s v="Rangel Araújo F Martins"/>
    <s v="MG/TR"/>
    <s v="Rangel Araújo F Martins"/>
    <s v="DGT"/>
    <s v="NA"/>
    <m/>
    <s v="Aquisição de 02 Aparelhos de ar condicionado cassete 48000 BTU - UHNP"/>
    <s v="Aquisição de 02 Aparelhos de ar condicionado tipo casete 48000 BTU para sala de reuniões da Usina - UHNP"/>
    <s v="Degradação das condições ergonômicas das áreas das Usinas que concentram um maior números de pessoas por longos períodos de tempo."/>
    <m/>
    <n v="0"/>
    <n v="0"/>
    <n v="0"/>
    <n v="0"/>
    <n v="0"/>
    <n v="0"/>
    <n v="0"/>
    <n v="0"/>
    <m/>
    <m/>
    <m/>
    <m/>
    <n v="0"/>
    <n v="0"/>
    <n v="0"/>
    <n v="0"/>
    <n v="0"/>
    <n v="0"/>
    <n v="0"/>
    <n v="0"/>
    <n v="0"/>
    <n v="0"/>
    <n v="0"/>
    <n v="0"/>
    <n v="0"/>
    <n v="0"/>
    <n v="0"/>
    <n v="0"/>
    <n v="0"/>
    <n v="0"/>
    <n v="0"/>
    <n v="0"/>
    <n v="0"/>
    <n v="0"/>
    <n v="0"/>
    <n v="0"/>
    <n v="24.189"/>
    <n v="0"/>
    <n v="24.189"/>
    <n v="0"/>
    <n v="0"/>
    <n v="0"/>
    <n v="0"/>
    <n v="0"/>
    <n v="0"/>
    <n v="0"/>
    <n v="0"/>
    <n v="0"/>
    <n v="0"/>
    <n v="0"/>
    <n v="0"/>
    <n v="0"/>
    <n v="0"/>
    <n v="0"/>
    <n v="0"/>
    <n v="0"/>
    <n v="0"/>
    <n v="0"/>
    <n v="0"/>
    <n v="0"/>
    <n v="0"/>
    <n v="0"/>
    <n v="0"/>
    <n v="0"/>
    <n v="0"/>
    <n v="24.189"/>
  </r>
  <r>
    <x v="1"/>
    <x v="2"/>
    <s v="MG/TR"/>
    <s v="Rangel Araújo F Martins"/>
    <s v="MG/TR"/>
    <s v="Rangel Araújo F Martins"/>
    <s v="DGT"/>
    <s v="NA"/>
    <m/>
    <s v="Instalação de 01 sistema de vigilancia patrimonial - UHNP"/>
    <s v="Aquisição dos serviços de Instalação de sistema de vigilancia patrimonial para a Usina - UHNP"/>
    <s v="Dificuldade de acompanhamento e confirmação das condições operacionais dos equipamentos eletromecânicos da Usina."/>
    <m/>
    <n v="0"/>
    <n v="0"/>
    <n v="0"/>
    <n v="0"/>
    <n v="0"/>
    <n v="0"/>
    <n v="0"/>
    <n v="0"/>
    <m/>
    <m/>
    <m/>
    <m/>
    <n v="0"/>
    <n v="0"/>
    <n v="0"/>
    <n v="0"/>
    <n v="0"/>
    <n v="0"/>
    <n v="0"/>
    <n v="0"/>
    <n v="0"/>
    <n v="0"/>
    <n v="0"/>
    <n v="0"/>
    <m/>
    <n v="0"/>
    <n v="0"/>
    <n v="0"/>
    <n v="0"/>
    <n v="0"/>
    <n v="0"/>
    <n v="0"/>
    <n v="0"/>
    <n v="0"/>
    <n v="0"/>
    <n v="50"/>
    <n v="0"/>
    <n v="0"/>
    <n v="50"/>
    <n v="0"/>
    <n v="0"/>
    <n v="0"/>
    <n v="0"/>
    <n v="0"/>
    <n v="0"/>
    <n v="0"/>
    <n v="0"/>
    <n v="0"/>
    <n v="0"/>
    <n v="0"/>
    <n v="0"/>
    <n v="0"/>
    <n v="0"/>
    <n v="0"/>
    <n v="0"/>
    <n v="0"/>
    <n v="0"/>
    <n v="0"/>
    <n v="0"/>
    <n v="0"/>
    <n v="0"/>
    <n v="0"/>
    <n v="0"/>
    <n v="0"/>
    <n v="0"/>
    <n v="50"/>
  </r>
  <r>
    <x v="1"/>
    <x v="3"/>
    <s v="MG/TR"/>
    <s v="Rangel Araújo F Martins"/>
    <s v="MG/TR"/>
    <s v="Rangel Araújo F Martins"/>
    <s v="DGT"/>
    <s v="NA"/>
    <m/>
    <s v="Aquisição de 02 Notebooks - MG/OE"/>
    <s v="Aquisição de 02 Aparelhos Notebooks - MG/OE"/>
    <s v="Impossibilidade de diagnósticos corretos e de ajustes/parametrização de equipamentos eletromecânicos das Usinas."/>
    <m/>
    <n v="0"/>
    <n v="0"/>
    <n v="0"/>
    <n v="0"/>
    <n v="0"/>
    <n v="0"/>
    <n v="0"/>
    <n v="0"/>
    <m/>
    <m/>
    <m/>
    <m/>
    <n v="0"/>
    <n v="0"/>
    <n v="0"/>
    <n v="0"/>
    <n v="0"/>
    <n v="0"/>
    <m/>
    <m/>
    <m/>
    <m/>
    <m/>
    <m/>
    <m/>
    <n v="0"/>
    <n v="0"/>
    <n v="0"/>
    <n v="0"/>
    <n v="0"/>
    <n v="0"/>
    <n v="0"/>
    <n v="0"/>
    <n v="0"/>
    <n v="0"/>
    <n v="0"/>
    <n v="10.220000000000001"/>
    <n v="0"/>
    <n v="10.220000000000001"/>
    <n v="0"/>
    <n v="0"/>
    <n v="0"/>
    <n v="0"/>
    <n v="0"/>
    <n v="0"/>
    <n v="0"/>
    <n v="0"/>
    <n v="0"/>
    <n v="0"/>
    <n v="0"/>
    <n v="0"/>
    <n v="0"/>
    <n v="0"/>
    <n v="0"/>
    <n v="0"/>
    <n v="0"/>
    <n v="0"/>
    <n v="0"/>
    <n v="0"/>
    <n v="0"/>
    <n v="0"/>
    <n v="0"/>
    <n v="0"/>
    <n v="0"/>
    <n v="0"/>
    <n v="10.220000000000001"/>
  </r>
  <r>
    <x v="1"/>
    <x v="3"/>
    <s v="MG/TR"/>
    <s v="Marcos Augusto - 34-3088-4901"/>
    <s v="MG/TR"/>
    <s v="Marcos Augusto - 34-3088-4901"/>
    <s v="DGT"/>
    <s v="NA"/>
    <m/>
    <s v="Aquisição de ferramentas e equipamentos "/>
    <s v="Aquisição de ferramentas e equipamentos para atendimento a manutenção das usinas da MG/TA."/>
    <s v="Indisponibilidade de unidades geradoras devido a não termos ferramentas e equipamentos adequados para testes e reparo. Ademais podem ocorrer falhas provenientes de intervenções realizadas de forma equivocada devido a ferramentas e equipamentos com defeito ou desajustado."/>
    <m/>
    <n v="0"/>
    <n v="0"/>
    <n v="0"/>
    <n v="0"/>
    <n v="0"/>
    <n v="0"/>
    <n v="0"/>
    <n v="0"/>
    <m/>
    <m/>
    <m/>
    <m/>
    <n v="0"/>
    <m/>
    <m/>
    <m/>
    <m/>
    <m/>
    <m/>
    <m/>
    <m/>
    <m/>
    <m/>
    <m/>
    <m/>
    <n v="0"/>
    <m/>
    <m/>
    <m/>
    <m/>
    <m/>
    <m/>
    <m/>
    <m/>
    <m/>
    <m/>
    <m/>
    <n v="50"/>
    <n v="50"/>
    <m/>
    <m/>
    <m/>
    <m/>
    <m/>
    <m/>
    <m/>
    <m/>
    <m/>
    <m/>
    <m/>
    <n v="63"/>
    <n v="63"/>
    <m/>
    <m/>
    <m/>
    <m/>
    <m/>
    <m/>
    <m/>
    <m/>
    <m/>
    <m/>
    <m/>
    <n v="50"/>
    <n v="50"/>
    <n v="163"/>
  </r>
  <r>
    <x v="1"/>
    <x v="3"/>
    <s v="MG/UT"/>
    <s v="Diego Thadeu 31-3535-7617"/>
    <s v="MG/UT"/>
    <s v="Diego Thadeu 31-3535-7617"/>
    <s v="DGT"/>
    <s v="NA"/>
    <m/>
    <s v="Aquisição de 02 Notebooks UTIG"/>
    <s v="Modernização de notebooks já existentes"/>
    <s v="Maior tempo para retorno das unidades geradoras que depende de equipamentos eletronicos que necessitam de notebooks para diagnosticos e manutenção"/>
    <m/>
    <n v="0"/>
    <n v="0"/>
    <n v="0"/>
    <n v="0"/>
    <n v="0"/>
    <n v="0"/>
    <n v="0"/>
    <n v="0"/>
    <m/>
    <m/>
    <m/>
    <m/>
    <n v="0"/>
    <m/>
    <m/>
    <m/>
    <m/>
    <m/>
    <m/>
    <m/>
    <m/>
    <m/>
    <m/>
    <m/>
    <m/>
    <n v="0"/>
    <m/>
    <m/>
    <m/>
    <m/>
    <m/>
    <m/>
    <m/>
    <m/>
    <m/>
    <n v="5"/>
    <m/>
    <m/>
    <n v="5"/>
    <m/>
    <m/>
    <m/>
    <m/>
    <m/>
    <m/>
    <m/>
    <m/>
    <m/>
    <n v="5"/>
    <m/>
    <m/>
    <n v="5"/>
    <m/>
    <m/>
    <m/>
    <m/>
    <m/>
    <m/>
    <m/>
    <m/>
    <m/>
    <m/>
    <m/>
    <m/>
    <n v="0"/>
    <n v="10"/>
  </r>
  <r>
    <x v="0"/>
    <x v="1"/>
    <s v="MS"/>
    <s v="Pablo"/>
    <s v="MS"/>
    <s v="Pablo"/>
    <s v="DGE"/>
    <s v="MS00218"/>
    <s v="INFR.342.04518"/>
    <s v="Arquivo deslizante - readequação do arquivo da MS/CS e MS/MT"/>
    <m/>
    <m/>
    <m/>
    <n v="0"/>
    <n v="0"/>
    <n v="0"/>
    <n v="0"/>
    <n v="0"/>
    <n v="0"/>
    <n v="0"/>
    <n v="0"/>
    <m/>
    <m/>
    <m/>
    <n v="150"/>
    <n v="150"/>
    <m/>
    <m/>
    <m/>
    <m/>
    <m/>
    <m/>
    <m/>
    <m/>
    <m/>
    <m/>
    <m/>
    <m/>
    <n v="0"/>
    <m/>
    <m/>
    <m/>
    <m/>
    <m/>
    <m/>
    <m/>
    <m/>
    <m/>
    <m/>
    <m/>
    <m/>
    <n v="0"/>
    <m/>
    <m/>
    <m/>
    <m/>
    <m/>
    <m/>
    <m/>
    <m/>
    <m/>
    <m/>
    <m/>
    <m/>
    <n v="0"/>
    <m/>
    <m/>
    <m/>
    <m/>
    <m/>
    <m/>
    <m/>
    <m/>
    <m/>
    <m/>
    <m/>
    <m/>
    <n v="0"/>
    <n v="150"/>
  </r>
  <r>
    <x v="0"/>
    <x v="1"/>
    <s v="MS/LA"/>
    <s v="José Flávio "/>
    <s v="MS/LA"/>
    <s v="José Flávio "/>
    <s v="DDC"/>
    <s v="NA"/>
    <m/>
    <s v="Aquisição/Instalação de Porta Pallets no CDA Igarapé"/>
    <m/>
    <m/>
    <m/>
    <n v="0"/>
    <n v="0"/>
    <n v="0"/>
    <n v="0"/>
    <n v="0"/>
    <n v="0"/>
    <n v="0"/>
    <n v="0"/>
    <m/>
    <m/>
    <m/>
    <m/>
    <n v="0"/>
    <m/>
    <m/>
    <m/>
    <m/>
    <m/>
    <m/>
    <n v="500"/>
    <m/>
    <m/>
    <m/>
    <m/>
    <m/>
    <n v="500"/>
    <m/>
    <m/>
    <m/>
    <m/>
    <m/>
    <m/>
    <m/>
    <m/>
    <m/>
    <m/>
    <m/>
    <m/>
    <n v="0"/>
    <m/>
    <m/>
    <m/>
    <m/>
    <m/>
    <m/>
    <m/>
    <m/>
    <m/>
    <m/>
    <m/>
    <m/>
    <n v="0"/>
    <m/>
    <m/>
    <m/>
    <m/>
    <m/>
    <m/>
    <m/>
    <m/>
    <m/>
    <m/>
    <m/>
    <m/>
    <n v="0"/>
    <n v="500"/>
  </r>
  <r>
    <x v="0"/>
    <x v="4"/>
    <s v="MS/LA"/>
    <s v="José Flávio/Amaro Freitas"/>
    <s v="MS/LA"/>
    <s v="José Flávio/Amaro Freitas"/>
    <s v="DGE"/>
    <s v="NA"/>
    <m/>
    <s v="Kit movimentação circuito / sistema pneumático para movimentação mecânica de cargas de peso e dimensão elevado a ser instalado em caminhão truck para equipe de movimentação de cargas especiais"/>
    <s v="CONJUNTO COM INTENSIFICADOR DE PRESSÃO HIDRAULICO COMPOSTO DE MANÔMETRO, SISTEMA DE DUPLA AÇÃO, COM VALVULA REGULADORA DE PRESSÃO DE 4 VIAS, 3 POSICOES /FUNÇOES DA VALVULA: AVANÇO / RETENÇÃO/ RETORNO, DE VAZÃO  44 pol³ / min, PESO: 7,26 Kg;"/>
    <s v="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_x000a_Aplicação de multas expressivas à Cemig, por interrupção do fornecimento de energia a consumidores em limites exorbitantes, fora dos previstos em lei, com impactos diretos no DEC, FEC, DIC e DMIC."/>
    <s v="Trata-se de desenvolvimento do produto."/>
    <n v="0"/>
    <n v="0"/>
    <n v="0"/>
    <n v="0"/>
    <n v="0"/>
    <n v="0"/>
    <n v="0"/>
    <n v="0"/>
    <m/>
    <m/>
    <m/>
    <m/>
    <n v="0"/>
    <m/>
    <m/>
    <m/>
    <m/>
    <m/>
    <m/>
    <m/>
    <m/>
    <m/>
    <n v="82"/>
    <m/>
    <m/>
    <n v="82"/>
    <m/>
    <m/>
    <m/>
    <m/>
    <m/>
    <m/>
    <m/>
    <m/>
    <m/>
    <m/>
    <m/>
    <m/>
    <n v="0"/>
    <m/>
    <m/>
    <m/>
    <m/>
    <m/>
    <m/>
    <m/>
    <m/>
    <m/>
    <m/>
    <m/>
    <m/>
    <n v="0"/>
    <m/>
    <m/>
    <m/>
    <m/>
    <m/>
    <m/>
    <m/>
    <m/>
    <m/>
    <m/>
    <m/>
    <m/>
    <n v="0"/>
    <n v="82"/>
  </r>
  <r>
    <x v="0"/>
    <x v="4"/>
    <s v="MS/LA"/>
    <s v="José Flávio/Amaro Freitas"/>
    <s v="MS/LA"/>
    <s v="José Flávio/Amaro Freitas"/>
    <s v="DGE"/>
    <s v="NA"/>
    <m/>
    <s v="Semirreboque modular articulado tipo linha de eixo (06 linhas) para transporte especial de cargas indivisíveis e excedentes de peso e/ou dimensões, para atender ao sistema elétrico de potência -SEP"/>
    <s v="SEMIRREBOQUE MODULAR, ARTICULADO, DE 6 LINHAS DE EIXO,  SUSPENSÃO HIDRÁULICA DIRECIIONAL, PERCOÇO ARTICULADO, PARA TRANSPORTE DE CARGAS INDIVISÍVEIS E EXCEDENTES DE PESO E/OU DIMENSÕES PARA ATENDIMENTO AO SISTEMA ELÉTRICO DE POTÊNCIA; "/>
    <s v="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_x000a_Aplicação de multas expressivas à cemig, por interrupção do fornecimento de energia a consumidores em limites exorbitantes, fora dos previstos em lei, com impactos diretos no DEC, FEC, DIC e DMIC._x000a_"/>
    <m/>
    <n v="0"/>
    <n v="0"/>
    <n v="0"/>
    <n v="0"/>
    <n v="0"/>
    <n v="0"/>
    <n v="0"/>
    <n v="0"/>
    <m/>
    <m/>
    <m/>
    <m/>
    <n v="0"/>
    <n v="1364"/>
    <m/>
    <m/>
    <m/>
    <m/>
    <m/>
    <m/>
    <m/>
    <m/>
    <m/>
    <m/>
    <m/>
    <n v="1364"/>
    <n v="1364"/>
    <m/>
    <m/>
    <m/>
    <m/>
    <m/>
    <m/>
    <m/>
    <m/>
    <m/>
    <m/>
    <m/>
    <n v="1364"/>
    <m/>
    <m/>
    <m/>
    <m/>
    <m/>
    <m/>
    <m/>
    <m/>
    <m/>
    <m/>
    <m/>
    <m/>
    <n v="0"/>
    <m/>
    <m/>
    <m/>
    <m/>
    <m/>
    <m/>
    <m/>
    <m/>
    <m/>
    <m/>
    <m/>
    <m/>
    <n v="0"/>
    <n v="2728"/>
  </r>
  <r>
    <x v="0"/>
    <x v="1"/>
    <s v="MS/QL"/>
    <s v="Rodrigo Marques"/>
    <s v="MS/QL"/>
    <s v="Rodrigo Marques"/>
    <s v="DGE"/>
    <s v="MS00118"/>
    <s v="INFR.342.03318"/>
    <s v="Aquisição de Equipamentos e instrumentos para laboratório MS/QL"/>
    <s v="Aquisição de Equipamentos e instrumentos para laboratório MS/QL, para realização de ensaios e adequação às necessidades atuais."/>
    <s v="A não execução pode levar ao risco de baixar a qualidade dos materiais adquiridos pela CEMIG e até mesMO de paralizar a realização de ensaios dos laboratórios da MS/QL."/>
    <m/>
    <n v="0"/>
    <n v="0"/>
    <n v="0"/>
    <n v="0"/>
    <n v="0"/>
    <n v="0"/>
    <n v="0"/>
    <n v="0"/>
    <m/>
    <m/>
    <m/>
    <n v="114"/>
    <n v="114"/>
    <m/>
    <m/>
    <m/>
    <m/>
    <m/>
    <m/>
    <m/>
    <m/>
    <m/>
    <m/>
    <m/>
    <m/>
    <n v="0"/>
    <m/>
    <m/>
    <m/>
    <m/>
    <m/>
    <m/>
    <m/>
    <m/>
    <m/>
    <m/>
    <m/>
    <m/>
    <n v="0"/>
    <m/>
    <m/>
    <m/>
    <m/>
    <m/>
    <m/>
    <m/>
    <m/>
    <m/>
    <m/>
    <m/>
    <m/>
    <n v="0"/>
    <m/>
    <m/>
    <m/>
    <m/>
    <m/>
    <m/>
    <m/>
    <m/>
    <m/>
    <m/>
    <m/>
    <m/>
    <n v="0"/>
    <n v="114"/>
  </r>
  <r>
    <x v="0"/>
    <x v="1"/>
    <s v="MS/QL"/>
    <s v="Rodrigo Marques"/>
    <s v="MS/QL"/>
    <s v="Rodrigo Marques"/>
    <s v="DGE"/>
    <s v="NA"/>
    <m/>
    <s v="Construção de Laboratório de Ensaios de Materiais da MS/QL em novo CDM."/>
    <s v="Construção de Laboratório de Ensaios de Materiais da MS/QL em novo CDM-Centro de Distribuiçaõ de Materiais da CEMIG, tendo em vista a vendo dos sites atuais (quarteirões 1 e 2 do Jatobá)."/>
    <s v="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_x000a_Além disso, irá inviabilizar a desocupação do Q1, onde estão montados os laboratórios atuais, para alienação e consequentemente a apuração de receita para a companhia."/>
    <m/>
    <n v="0"/>
    <n v="0"/>
    <n v="0"/>
    <n v="0"/>
    <n v="0"/>
    <n v="0"/>
    <n v="0"/>
    <n v="0"/>
    <m/>
    <m/>
    <m/>
    <m/>
    <n v="0"/>
    <m/>
    <m/>
    <m/>
    <m/>
    <m/>
    <m/>
    <m/>
    <m/>
    <m/>
    <m/>
    <m/>
    <m/>
    <n v="0"/>
    <m/>
    <n v="10"/>
    <n v="15"/>
    <n v="20"/>
    <n v="25"/>
    <n v="20"/>
    <n v="15"/>
    <m/>
    <m/>
    <m/>
    <m/>
    <m/>
    <n v="105"/>
    <m/>
    <m/>
    <m/>
    <n v="50"/>
    <n v="215"/>
    <n v="220"/>
    <n v="240"/>
    <n v="285"/>
    <n v="265"/>
    <n v="250"/>
    <n v="220"/>
    <n v="205"/>
    <n v="1950"/>
    <n v="200"/>
    <n v="190"/>
    <n v="175"/>
    <n v="155"/>
    <n v="135"/>
    <n v="120"/>
    <m/>
    <m/>
    <m/>
    <m/>
    <m/>
    <m/>
    <n v="975"/>
    <n v="3030"/>
  </r>
  <r>
    <x v="2"/>
    <x v="5"/>
    <s v="MT"/>
    <s v="Gustavo Soares/Eduardo Martins/Adriana de Castro"/>
    <s v="MT"/>
    <s v="Gustavo Soares/Eduardo Martins/Adriana de Castro"/>
    <s v="DGT"/>
    <s v="MT00516"/>
    <s v="INAT/16/FE"/>
    <s v="Ferramentas 2016 - MT"/>
    <m/>
    <m/>
    <m/>
    <n v="0"/>
    <n v="0"/>
    <n v="3.91975998878479"/>
    <n v="0.41826999187469482"/>
    <n v="0"/>
    <n v="0"/>
    <n v="0"/>
    <n v="0"/>
    <m/>
    <m/>
    <m/>
    <m/>
    <n v="0"/>
    <m/>
    <m/>
    <m/>
    <m/>
    <m/>
    <m/>
    <m/>
    <m/>
    <m/>
    <m/>
    <m/>
    <m/>
    <n v="0"/>
    <m/>
    <m/>
    <m/>
    <m/>
    <m/>
    <m/>
    <m/>
    <m/>
    <m/>
    <m/>
    <m/>
    <m/>
    <n v="0"/>
    <m/>
    <m/>
    <m/>
    <m/>
    <m/>
    <m/>
    <m/>
    <m/>
    <m/>
    <m/>
    <m/>
    <m/>
    <n v="0"/>
    <m/>
    <m/>
    <m/>
    <m/>
    <m/>
    <m/>
    <m/>
    <m/>
    <m/>
    <m/>
    <m/>
    <m/>
    <n v="0"/>
    <n v="0"/>
  </r>
  <r>
    <x v="2"/>
    <x v="6"/>
    <s v="MT/CN MT/LE"/>
    <s v="Joel Máximo Reis"/>
    <s v="MT/CN MT/LE"/>
    <s v="Joel Máximo Reis"/>
    <s v="DGT"/>
    <s v="NA"/>
    <m/>
    <s v="Aquisição de 4 Bebedouro industrial T"/>
    <s v="Aquisição de 4 Bebedouro industrial inox reservatório 50 litros"/>
    <s v="Não atender as normas de saúde e segurança._x000a_Indisponibilidade de água filtrada e refrigerada para equipes de manutenção de campo. Necessidade de comprar grande volume de água mineral refrigerada para equipes durante serviços em campo."/>
    <m/>
    <n v="0"/>
    <n v="0"/>
    <n v="0"/>
    <n v="0"/>
    <n v="0"/>
    <n v="0"/>
    <n v="0"/>
    <n v="0"/>
    <m/>
    <m/>
    <m/>
    <m/>
    <n v="0"/>
    <m/>
    <m/>
    <m/>
    <m/>
    <m/>
    <m/>
    <m/>
    <m/>
    <m/>
    <m/>
    <m/>
    <m/>
    <n v="0"/>
    <m/>
    <m/>
    <m/>
    <m/>
    <m/>
    <m/>
    <m/>
    <m/>
    <m/>
    <m/>
    <m/>
    <m/>
    <n v="0"/>
    <m/>
    <m/>
    <m/>
    <m/>
    <n v="8"/>
    <m/>
    <m/>
    <m/>
    <m/>
    <m/>
    <m/>
    <m/>
    <n v="8"/>
    <m/>
    <m/>
    <m/>
    <m/>
    <m/>
    <m/>
    <m/>
    <m/>
    <m/>
    <m/>
    <m/>
    <m/>
    <n v="0"/>
    <n v="8"/>
  </r>
  <r>
    <x v="2"/>
    <x v="6"/>
    <s v="MT/CN MT/SE"/>
    <s v="Joel Máximo Reis"/>
    <s v="MT/CN MT/SE"/>
    <s v="Joel Máximo Reis"/>
    <s v="DGT"/>
    <s v="NA"/>
    <m/>
    <s v="Aquisição de 5 TV LED"/>
    <s v="Aquisição de 5 TV LED 40' com entrada HDMI"/>
    <s v="Precarização da segurança da instalação, dificuldade de ministrar treinamentos, não conformidade em auditorias do SIG devido à qualidade/entendimento dos treinamentos e apresentações para visitantes."/>
    <m/>
    <n v="0"/>
    <n v="0"/>
    <n v="0"/>
    <n v="0"/>
    <n v="0"/>
    <n v="0"/>
    <n v="0"/>
    <n v="0"/>
    <m/>
    <m/>
    <m/>
    <m/>
    <n v="0"/>
    <m/>
    <m/>
    <m/>
    <m/>
    <m/>
    <m/>
    <m/>
    <m/>
    <m/>
    <m/>
    <m/>
    <m/>
    <n v="0"/>
    <m/>
    <m/>
    <m/>
    <m/>
    <m/>
    <m/>
    <m/>
    <m/>
    <m/>
    <m/>
    <m/>
    <m/>
    <n v="0"/>
    <m/>
    <m/>
    <m/>
    <m/>
    <n v="12.5"/>
    <m/>
    <m/>
    <m/>
    <m/>
    <m/>
    <m/>
    <m/>
    <n v="12.5"/>
    <m/>
    <m/>
    <m/>
    <m/>
    <m/>
    <m/>
    <m/>
    <m/>
    <m/>
    <m/>
    <m/>
    <m/>
    <n v="0"/>
    <n v="12.5"/>
  </r>
  <r>
    <x v="2"/>
    <x v="6"/>
    <s v="MT/CN MT/SE MT/LE MT/TA"/>
    <s v="Joel Máximo Reis"/>
    <s v="MT/CN MT/SE MT/LE MT/TA"/>
    <s v="Joel Máximo Reis"/>
    <s v="DGT"/>
    <s v="NA"/>
    <m/>
    <s v="Aquisição de 5 projetores multimídia"/>
    <s v="Aquisição de 5 projetores multimídia"/>
    <s v="Deficiência nos treinamentos da equipe e de terceiros_x000a_Demora na realização de reuniões que necessitam de projeção de imagem  e também dificuldade na apresentação do processo de primeiro acesso para atendimento ao sistema de gestão._x000a_Manobras indevidas e falha na identificação dos alremes e eventos gerados pelo SSCD."/>
    <m/>
    <n v="0"/>
    <n v="0"/>
    <n v="0"/>
    <n v="0"/>
    <n v="0"/>
    <n v="0"/>
    <n v="0"/>
    <n v="0"/>
    <m/>
    <m/>
    <m/>
    <m/>
    <n v="0"/>
    <m/>
    <m/>
    <m/>
    <m/>
    <m/>
    <m/>
    <m/>
    <m/>
    <m/>
    <m/>
    <m/>
    <m/>
    <n v="0"/>
    <m/>
    <m/>
    <m/>
    <m/>
    <m/>
    <m/>
    <m/>
    <m/>
    <m/>
    <m/>
    <m/>
    <m/>
    <n v="0"/>
    <m/>
    <m/>
    <m/>
    <m/>
    <n v="15"/>
    <m/>
    <m/>
    <m/>
    <m/>
    <m/>
    <m/>
    <m/>
    <n v="15"/>
    <m/>
    <m/>
    <m/>
    <m/>
    <m/>
    <m/>
    <m/>
    <m/>
    <m/>
    <m/>
    <m/>
    <m/>
    <n v="0"/>
    <n v="15"/>
  </r>
  <r>
    <x v="2"/>
    <x v="6"/>
    <s v="MT/CN MT/TA"/>
    <s v="Joel Máximo Reis"/>
    <s v="MT/CN MT/TA"/>
    <s v="Joel Máximo Reis"/>
    <s v="DGT"/>
    <s v="NA"/>
    <m/>
    <s v="Substituição de aparelhos de ar condicionado"/>
    <s v="Substituição de aparelhos de ar condicionado"/>
    <s v="Ruído elevado, calor excessivo no ambiente de trabalho, prejudicando o desempenho dos empregados._x000a_Risco de falha e danos nos equipamentos digitais por alta temperatura e condiçoes ergonômicas desfavoráveis, baixa qualidade do ar, desconforto térmico."/>
    <m/>
    <n v="0"/>
    <n v="0"/>
    <n v="0"/>
    <n v="0"/>
    <n v="0"/>
    <n v="0"/>
    <n v="0"/>
    <n v="0"/>
    <m/>
    <m/>
    <m/>
    <m/>
    <n v="0"/>
    <m/>
    <m/>
    <m/>
    <m/>
    <m/>
    <m/>
    <m/>
    <m/>
    <m/>
    <m/>
    <m/>
    <m/>
    <n v="0"/>
    <m/>
    <m/>
    <m/>
    <m/>
    <m/>
    <m/>
    <m/>
    <m/>
    <m/>
    <m/>
    <m/>
    <m/>
    <n v="0"/>
    <m/>
    <m/>
    <m/>
    <m/>
    <n v="100"/>
    <m/>
    <m/>
    <m/>
    <m/>
    <m/>
    <m/>
    <m/>
    <n v="100"/>
    <m/>
    <m/>
    <m/>
    <m/>
    <m/>
    <m/>
    <m/>
    <m/>
    <m/>
    <m/>
    <m/>
    <m/>
    <n v="0"/>
    <n v="100"/>
  </r>
  <r>
    <x v="2"/>
    <x v="5"/>
    <s v="MT/CT"/>
    <s v="Gustavo Soares/Leandro Veloso Cunha/Joel Máximo"/>
    <s v="MT/CT"/>
    <s v="Gustavo Soares/Leandro Veloso Cunha/Joel Máximo"/>
    <s v="DGT"/>
    <s v="NA"/>
    <s v="-"/>
    <s v="Aquisição de 04 cestas aéreas"/>
    <s v="Aquisição de 04 Cestas aérea para trabalho em Linha viva 345/500 kV até 18m em substituição as extensões isolantes para grua."/>
    <s v="Multas do MTE; Restrição de ferramentas para execução de serviços em linha viva; elevação dos custos de Parcela Variável."/>
    <m/>
    <n v="0"/>
    <n v="0"/>
    <n v="0"/>
    <n v="0"/>
    <n v="0"/>
    <n v="0"/>
    <n v="0"/>
    <n v="0"/>
    <n v="0"/>
    <n v="0"/>
    <n v="0"/>
    <n v="0"/>
    <n v="0"/>
    <n v="0"/>
    <n v="0"/>
    <n v="0"/>
    <n v="0"/>
    <n v="0"/>
    <n v="0"/>
    <n v="0"/>
    <n v="0"/>
    <n v="0"/>
    <n v="0"/>
    <n v="0"/>
    <n v="0"/>
    <n v="0"/>
    <n v="0"/>
    <n v="0"/>
    <n v="0"/>
    <n v="0"/>
    <n v="0"/>
    <n v="0"/>
    <n v="0"/>
    <n v="0"/>
    <n v="0"/>
    <n v="0"/>
    <n v="0"/>
    <n v="0"/>
    <n v="0"/>
    <n v="0"/>
    <n v="0"/>
    <n v="2244.14"/>
    <n v="0"/>
    <n v="0"/>
    <n v="305.57898999999998"/>
    <m/>
    <m/>
    <m/>
    <m/>
    <m/>
    <m/>
    <n v="2549.7189899999998"/>
    <m/>
    <m/>
    <m/>
    <m/>
    <m/>
    <m/>
    <m/>
    <m/>
    <m/>
    <m/>
    <m/>
    <m/>
    <n v="0"/>
    <n v="2549.7189899999998"/>
  </r>
  <r>
    <x v="2"/>
    <x v="5"/>
    <s v="MT/CT"/>
    <s v="Gustavo Soares/Joel Máximo"/>
    <s v="MT/CT"/>
    <s v="Gustavo Soares/Joel Máximo"/>
    <s v="DGT"/>
    <s v="MT01017"/>
    <s v="INAT/18/FE"/>
    <s v="Aquisição de ferramentas de manutenção diversas 2018 - MT01017"/>
    <s v="Ferramentas de manutenção MT"/>
    <s v="Produtividade das rotinas de manutenção, mantendo-se as condições de segurança para os empregados, e cumprimento dos requisitos da ReN Aneel nº 669/2015 - Requisitos Mínimos de Manutenção"/>
    <m/>
    <n v="0"/>
    <n v="0"/>
    <n v="0"/>
    <n v="14.520000457763672"/>
    <n v="4.2993899583816528"/>
    <n v="0"/>
    <n v="0"/>
    <n v="12.989999771118164"/>
    <n v="46.746319770812988"/>
    <n v="60.330230712890625"/>
    <n v="74.525760173797607"/>
    <n v="868.4351591552346"/>
    <n v="1063.0274695838539"/>
    <m/>
    <m/>
    <m/>
    <m/>
    <m/>
    <m/>
    <m/>
    <m/>
    <m/>
    <m/>
    <m/>
    <m/>
    <n v="0"/>
    <m/>
    <m/>
    <m/>
    <m/>
    <m/>
    <m/>
    <m/>
    <m/>
    <m/>
    <m/>
    <m/>
    <m/>
    <n v="0"/>
    <n v="0"/>
    <n v="0"/>
    <n v="0"/>
    <n v="0"/>
    <n v="0"/>
    <n v="0"/>
    <n v="0"/>
    <n v="0"/>
    <n v="0"/>
    <n v="0"/>
    <n v="0"/>
    <n v="0"/>
    <n v="0"/>
    <m/>
    <m/>
    <m/>
    <m/>
    <m/>
    <m/>
    <m/>
    <m/>
    <m/>
    <m/>
    <m/>
    <m/>
    <n v="0"/>
    <n v="1063.0274695838539"/>
  </r>
  <r>
    <x v="2"/>
    <x v="5"/>
    <s v="MT/CT"/>
    <s v="Gustavo Soares/Joel Máximo"/>
    <s v="MT/CT"/>
    <s v="Gustavo Soares/Joel Máximo"/>
    <s v="DGT"/>
    <s v="MT50118"/>
    <s v="INAT/19/FE"/>
    <s v="AQUISIÇÃO DE FERRAMENTAS MT 2019"/>
    <m/>
    <m/>
    <m/>
    <n v="0"/>
    <n v="0"/>
    <n v="0"/>
    <n v="0"/>
    <n v="0"/>
    <n v="0"/>
    <n v="0"/>
    <n v="0"/>
    <m/>
    <m/>
    <m/>
    <m/>
    <n v="0"/>
    <n v="81.5"/>
    <n v="81.5"/>
    <n v="81.5"/>
    <n v="81.5"/>
    <m/>
    <m/>
    <m/>
    <m/>
    <m/>
    <m/>
    <m/>
    <m/>
    <n v="326"/>
    <m/>
    <m/>
    <m/>
    <m/>
    <m/>
    <m/>
    <m/>
    <m/>
    <m/>
    <m/>
    <m/>
    <m/>
    <n v="0"/>
    <m/>
    <m/>
    <m/>
    <m/>
    <m/>
    <m/>
    <m/>
    <m/>
    <m/>
    <m/>
    <m/>
    <m/>
    <n v="0"/>
    <m/>
    <m/>
    <m/>
    <m/>
    <m/>
    <m/>
    <m/>
    <m/>
    <m/>
    <m/>
    <m/>
    <m/>
    <n v="0"/>
    <n v="326"/>
  </r>
  <r>
    <x v="2"/>
    <x v="5"/>
    <s v="MT/CT"/>
    <s v="Gustavo Soares/Joel Máximo"/>
    <s v="MT/CT"/>
    <s v="Gustavo Soares/Joel Máximo"/>
    <s v="DGT"/>
    <s v="NA"/>
    <s v="-"/>
    <s v="AQUISIÇÃO DE FERRAMENTAS MT SALDO NA 2019 e 2020"/>
    <m/>
    <m/>
    <m/>
    <n v="0"/>
    <n v="0"/>
    <n v="0"/>
    <n v="0"/>
    <n v="0"/>
    <n v="0"/>
    <n v="0"/>
    <n v="0"/>
    <m/>
    <m/>
    <m/>
    <m/>
    <n v="0"/>
    <m/>
    <m/>
    <m/>
    <m/>
    <n v="62.516737499999977"/>
    <n v="77.703347499999992"/>
    <n v="77.703347499999992"/>
    <n v="77.703347499999992"/>
    <n v="77.703347499999992"/>
    <n v="79.365322519340168"/>
    <n v="77.703347499999992"/>
    <n v="77.703347499999992"/>
    <n v="608.10214501934013"/>
    <n v="77.703347499999992"/>
    <n v="77.703347499999992"/>
    <n v="77.703347499999992"/>
    <n v="77.703347499999992"/>
    <n v="77.703347499999992"/>
    <n v="77.703347499999992"/>
    <n v="77.703347499999992"/>
    <n v="77.703347499999992"/>
    <n v="77.703347499999992"/>
    <n v="77.703347499999992"/>
    <n v="0"/>
    <n v="0"/>
    <n v="777.03347499999984"/>
    <m/>
    <m/>
    <m/>
    <m/>
    <m/>
    <m/>
    <m/>
    <m/>
    <m/>
    <m/>
    <m/>
    <m/>
    <n v="0"/>
    <m/>
    <m/>
    <m/>
    <m/>
    <m/>
    <m/>
    <m/>
    <m/>
    <m/>
    <m/>
    <m/>
    <m/>
    <n v="0"/>
    <n v="1385.13562001934"/>
  </r>
  <r>
    <x v="2"/>
    <x v="6"/>
    <s v="MT/LE"/>
    <s v="Joel Máximo Reis"/>
    <s v="MT/LE"/>
    <s v="Joel Máximo Reis"/>
    <s v="DGT"/>
    <s v="NA"/>
    <m/>
    <s v="Construção de 2 muros"/>
    <s v="Construção de 2 muros: SE Mesquita e Taquaril"/>
    <s v="Risco de acidentes com a população, vandalismo, invasões e roubos na instalação"/>
    <m/>
    <n v="0"/>
    <n v="0"/>
    <n v="0"/>
    <n v="0"/>
    <n v="0"/>
    <n v="0"/>
    <n v="0"/>
    <n v="0"/>
    <m/>
    <m/>
    <m/>
    <m/>
    <n v="0"/>
    <m/>
    <m/>
    <n v="268.53983000000017"/>
    <m/>
    <m/>
    <m/>
    <m/>
    <m/>
    <m/>
    <m/>
    <m/>
    <m/>
    <n v="268.53983000000017"/>
    <m/>
    <m/>
    <n v="131.46016999999981"/>
    <m/>
    <m/>
    <m/>
    <m/>
    <m/>
    <m/>
    <m/>
    <m/>
    <m/>
    <n v="131.46016999999981"/>
    <m/>
    <m/>
    <m/>
    <m/>
    <n v="400"/>
    <m/>
    <m/>
    <m/>
    <m/>
    <m/>
    <m/>
    <m/>
    <n v="400"/>
    <m/>
    <m/>
    <m/>
    <m/>
    <m/>
    <m/>
    <m/>
    <m/>
    <m/>
    <m/>
    <m/>
    <m/>
    <n v="0"/>
    <n v="800"/>
  </r>
  <r>
    <x v="2"/>
    <x v="7"/>
    <s v="MT/LE"/>
    <s v="Joel Máximo Reis"/>
    <s v="MT/LE"/>
    <s v="Joel Máximo Reis"/>
    <s v="DGT"/>
    <s v="MT00218"/>
    <s v="INAT/18/VE"/>
    <s v="Equipamentos e veículos para a MT"/>
    <s v="Aquisição de equipamentos como plataformas aérea articuladas e guindastes para o processo de manutenção da Transmissão._x000a_Aquisição (físico):_x000a_- 5 (cinco) Guindastes até 14 toneladas para instalação em caminhão existente;_x000a_- 1 (um) Guindaste até 23 toneladas para instalação no caminhão existente com opcionais de guincho e controle remoto. (preço Hyva);_x000a_- 5 (cinco) Guindastes até 23 toneladas para instalação no caminhão existente com opcionais de guincho e controle remoto;_x000a_- 2 (duas) Plataformas aéreas articuladas  20 metros;_x000a_- 3 (três) Plataformas aéreas articuladas, máxima altura (Acima de 14m);_x000a_- 2 (dois) Veículos para instalação da plataforma._x000a__x000a_Necessidade de substituição dos atuais equipamentos pelos seguintes problemas:_x000a__x000a_-Cesto simples, apenas um executante, aumento no tempo de execução das tarefas._x000a_-Dificuldade de entrar ao cesto, risco de queda. Foto 1._x000a_-Limite de altura do Cesto simples de 10 metros, insuficiente para acesso aos equipamentos acima de 345kV e alguns equipamentos de 230kV._x000a_-Cesto simples sem acesso ao piso. Caso ocorra queda de alguma ferramenta ou material no piso do cesto é necessário baixar a lança até o solo. Foto 1._x000a_-Movimentos bruscos da lança, não linear, principalmente no início do movimento tem provocado aumento no tempo de posicionamento dos equipamentos içados e consequentemente possibilidade de danos aos equipamentos e risco para pessoas. _x000a_-Falta de articulações na lança, dificultando o acesso nos equipamentos e nas manobras nos pátios de 138 kV, aumentando o tempo de execução com perda de produtividade. Cestas Masal possui apenas uma articulação, foto 2._x000a_-Acidente com a equipe da CEMIG-D na cidade de Lafaiete, provocou recall, falha de projeto, em todas as cestas aéreas, provocando transtorno nas equipes e reprogramação de diversos serviços._x000a__x000a_"/>
    <s v="Comprometimento da produtividade, segurança e condições ergonômicas para a realização das atividades de manutenção do sistema elétrico;_x000a_Falta de ferramentas de trabalho para as equipes de manutenção, e a não adequação legal, comprometendo a segurança de empregados e a produtividade das equipes;_x000a_Manter na frota veículos obsoletos, com alto índice de indisponibilidade, podendo até mesmo comprometer a segurança dos empregados e sua produtividade._x000a_"/>
    <s v="Projeto com início previsto para 2018 (R$ 1.513 mil) postergado para 2019 devido a dificuldades com adaptação dos implementos nos veículos disponíveis e diferença de prazo de entrega, que era 60 dias e nos novos orçamentos foi de 150."/>
    <n v="0"/>
    <n v="0"/>
    <n v="0"/>
    <n v="0"/>
    <n v="0"/>
    <n v="0"/>
    <n v="0"/>
    <n v="0"/>
    <m/>
    <m/>
    <m/>
    <m/>
    <n v="0"/>
    <m/>
    <m/>
    <m/>
    <m/>
    <n v="1513"/>
    <m/>
    <m/>
    <m/>
    <m/>
    <m/>
    <m/>
    <m/>
    <n v="1513"/>
    <m/>
    <m/>
    <m/>
    <m/>
    <m/>
    <m/>
    <m/>
    <m/>
    <m/>
    <m/>
    <n v="1050"/>
    <m/>
    <n v="1050"/>
    <m/>
    <m/>
    <m/>
    <m/>
    <m/>
    <m/>
    <m/>
    <m/>
    <m/>
    <m/>
    <n v="1008"/>
    <m/>
    <n v="1008"/>
    <m/>
    <m/>
    <m/>
    <m/>
    <m/>
    <m/>
    <m/>
    <m/>
    <m/>
    <m/>
    <m/>
    <m/>
    <n v="0"/>
    <n v="3571"/>
  </r>
  <r>
    <x v="2"/>
    <x v="6"/>
    <s v="MT/LE MT/SE"/>
    <s v="Joel Máximo Reis"/>
    <s v="MT/LE MT/SE"/>
    <s v="Joel Máximo Reis"/>
    <s v="DGT"/>
    <s v="NA"/>
    <m/>
    <s v="Aquisição de 2 lavadoras"/>
    <s v="Aquisição de uma lavadora de alta pressão e uma jateadora"/>
    <s v="Aumento com despesas com água._x000a_Acúmulo de óleo no chão, apresentando risco de queda de pessoas."/>
    <m/>
    <n v="0"/>
    <n v="0"/>
    <n v="0"/>
    <n v="0"/>
    <n v="0"/>
    <n v="0"/>
    <n v="0"/>
    <n v="0"/>
    <m/>
    <m/>
    <m/>
    <m/>
    <n v="0"/>
    <m/>
    <m/>
    <m/>
    <m/>
    <m/>
    <m/>
    <m/>
    <m/>
    <m/>
    <m/>
    <m/>
    <m/>
    <n v="0"/>
    <m/>
    <m/>
    <m/>
    <m/>
    <m/>
    <m/>
    <m/>
    <m/>
    <m/>
    <m/>
    <m/>
    <m/>
    <n v="0"/>
    <m/>
    <m/>
    <m/>
    <m/>
    <n v="4"/>
    <m/>
    <m/>
    <m/>
    <m/>
    <m/>
    <m/>
    <m/>
    <n v="4"/>
    <m/>
    <m/>
    <m/>
    <m/>
    <m/>
    <m/>
    <m/>
    <m/>
    <m/>
    <m/>
    <m/>
    <m/>
    <n v="0"/>
    <n v="4"/>
  </r>
  <r>
    <x v="2"/>
    <x v="6"/>
    <s v="MT/TA"/>
    <s v="Joel Máximo Reis"/>
    <s v="MT/TA"/>
    <s v="Joel Máximo Reis"/>
    <s v="DGT"/>
    <s v="NA"/>
    <m/>
    <s v="Construção de 2 abrigos para resíduos perigosos e inflamáveis"/>
    <s v="Construção de 2 abrigos para resíduos perigosos e inflamáveis na SE Emborcação"/>
    <s v="Perda do AVCB, multas ambientais, contaminação de solo"/>
    <m/>
    <n v="0"/>
    <n v="0"/>
    <n v="0"/>
    <n v="0"/>
    <n v="0"/>
    <n v="0"/>
    <n v="0"/>
    <n v="0"/>
    <m/>
    <m/>
    <m/>
    <m/>
    <n v="0"/>
    <m/>
    <m/>
    <m/>
    <m/>
    <m/>
    <m/>
    <n v="60"/>
    <m/>
    <m/>
    <m/>
    <m/>
    <m/>
    <n v="60"/>
    <m/>
    <m/>
    <n v="60"/>
    <m/>
    <m/>
    <m/>
    <m/>
    <m/>
    <m/>
    <m/>
    <m/>
    <m/>
    <n v="60"/>
    <m/>
    <m/>
    <m/>
    <m/>
    <m/>
    <m/>
    <m/>
    <m/>
    <m/>
    <m/>
    <m/>
    <m/>
    <n v="0"/>
    <m/>
    <m/>
    <m/>
    <m/>
    <m/>
    <m/>
    <m/>
    <m/>
    <m/>
    <m/>
    <m/>
    <m/>
    <n v="0"/>
    <n v="120"/>
  </r>
  <r>
    <x v="2"/>
    <x v="6"/>
    <s v="MT/TA"/>
    <s v="Joel Máximo Reis"/>
    <s v="MT/TA"/>
    <s v="Joel Máximo Reis"/>
    <s v="DGT"/>
    <s v="NA"/>
    <m/>
    <s v="Construção de ferramentaria"/>
    <s v="Construção de ferramentaria para EMLT Ituiutaba"/>
    <s v="Danos ao ferramental da equipe devido ao mal acondicionamento e riscos de lesões devido à posturas inadequadas"/>
    <m/>
    <n v="0"/>
    <n v="0"/>
    <n v="0"/>
    <n v="0"/>
    <n v="0"/>
    <n v="0"/>
    <n v="0"/>
    <n v="0"/>
    <m/>
    <m/>
    <m/>
    <m/>
    <n v="0"/>
    <m/>
    <m/>
    <m/>
    <m/>
    <m/>
    <m/>
    <m/>
    <m/>
    <m/>
    <m/>
    <m/>
    <m/>
    <n v="0"/>
    <m/>
    <m/>
    <m/>
    <m/>
    <m/>
    <m/>
    <m/>
    <m/>
    <m/>
    <m/>
    <m/>
    <m/>
    <n v="0"/>
    <m/>
    <m/>
    <m/>
    <m/>
    <m/>
    <n v="60"/>
    <m/>
    <m/>
    <m/>
    <m/>
    <m/>
    <m/>
    <n v="60"/>
    <m/>
    <m/>
    <m/>
    <m/>
    <m/>
    <m/>
    <m/>
    <m/>
    <m/>
    <m/>
    <m/>
    <m/>
    <n v="0"/>
    <n v="60"/>
  </r>
  <r>
    <x v="2"/>
    <x v="6"/>
    <s v="MT/TA"/>
    <s v="Joel Máximo Reis"/>
    <s v="MT/TA"/>
    <s v="Joel Máximo Reis"/>
    <s v="DGT"/>
    <s v="NA"/>
    <m/>
    <s v="Perfuração de um novo Poço artesiano"/>
    <s v="Perfuração de um novo Poço artesiano"/>
    <s v="Faltar água na SE São Gotardo 2."/>
    <m/>
    <n v="0"/>
    <n v="0"/>
    <n v="0"/>
    <n v="0"/>
    <n v="0"/>
    <n v="0"/>
    <n v="0"/>
    <n v="0"/>
    <m/>
    <m/>
    <m/>
    <m/>
    <n v="0"/>
    <m/>
    <m/>
    <n v="70"/>
    <m/>
    <m/>
    <m/>
    <m/>
    <m/>
    <m/>
    <m/>
    <m/>
    <m/>
    <n v="70"/>
    <m/>
    <m/>
    <m/>
    <m/>
    <m/>
    <m/>
    <m/>
    <m/>
    <m/>
    <m/>
    <m/>
    <m/>
    <n v="0"/>
    <m/>
    <m/>
    <m/>
    <m/>
    <m/>
    <m/>
    <m/>
    <m/>
    <m/>
    <m/>
    <m/>
    <m/>
    <n v="0"/>
    <m/>
    <m/>
    <m/>
    <m/>
    <m/>
    <m/>
    <m/>
    <m/>
    <m/>
    <m/>
    <m/>
    <m/>
    <n v="0"/>
    <n v="70"/>
  </r>
  <r>
    <x v="2"/>
    <x v="6"/>
    <s v="MT/TA MT/SE"/>
    <s v="Joel Máximo Reis"/>
    <s v="MT/TA MT/SE"/>
    <s v="Joel Máximo Reis"/>
    <s v="DGT"/>
    <s v="NA"/>
    <m/>
    <s v="Aquisição e instalação de Sistema de vigilância"/>
    <s v="Aquisição de sistema de monitormamento por câmeras, video porteiro com vigilancia eletronica, sistema de intrusão e sensores"/>
    <s v="Furtos, roubos, perdas materiais e risco à integridade das pessoas da instalação"/>
    <m/>
    <n v="0"/>
    <n v="0"/>
    <n v="0"/>
    <n v="0"/>
    <n v="0"/>
    <n v="0"/>
    <n v="0"/>
    <n v="0"/>
    <m/>
    <m/>
    <m/>
    <m/>
    <n v="0"/>
    <m/>
    <m/>
    <n v="18"/>
    <m/>
    <m/>
    <m/>
    <m/>
    <m/>
    <m/>
    <m/>
    <m/>
    <m/>
    <n v="18"/>
    <m/>
    <m/>
    <m/>
    <m/>
    <m/>
    <m/>
    <m/>
    <m/>
    <m/>
    <m/>
    <m/>
    <m/>
    <n v="0"/>
    <m/>
    <m/>
    <m/>
    <m/>
    <m/>
    <m/>
    <n v="36"/>
    <m/>
    <m/>
    <m/>
    <m/>
    <m/>
    <n v="36"/>
    <m/>
    <m/>
    <m/>
    <m/>
    <m/>
    <m/>
    <m/>
    <m/>
    <m/>
    <m/>
    <m/>
    <m/>
    <n v="0"/>
    <n v="54"/>
  </r>
  <r>
    <x v="1"/>
    <x v="3"/>
    <s v="PO/MG"/>
    <s v="Jeferson"/>
    <s v="PO/MG"/>
    <s v="Jeferson"/>
    <s v="DGT"/>
    <s v="PO00118"/>
    <s v="INGT/18/FER/POMG"/>
    <s v="Ferramentas diversas para PO/MG"/>
    <s v="Aquisição de Acelerômetros contendo base magnéticas e cabos - PO/MG_x000a_Aquisição de Sensores de proximidade - PO/MG_x000a_PO00118Aquisição de Sensores de pressão - PO/MG_x000a_Aquisição de Fieldlogger_x000a_Aquisição de transdutores de deslocamento_x000a_Aquisição de transdutores lineares_x000a_Bomba Pressão 0/700 Bar - PO/MG"/>
    <m/>
    <m/>
    <n v="0"/>
    <n v="0"/>
    <n v="0"/>
    <n v="9.8500003814697266"/>
    <n v="0"/>
    <n v="0"/>
    <n v="0"/>
    <n v="79.069080352783203"/>
    <m/>
    <n v="31.31796932220459"/>
    <n v="57.949951171875"/>
    <n v="90.812998771667196"/>
    <n v="259.14999961852999"/>
    <m/>
    <m/>
    <m/>
    <m/>
    <m/>
    <m/>
    <m/>
    <m/>
    <m/>
    <m/>
    <m/>
    <m/>
    <n v="0"/>
    <m/>
    <m/>
    <m/>
    <m/>
    <m/>
    <m/>
    <m/>
    <m/>
    <m/>
    <m/>
    <m/>
    <m/>
    <n v="0"/>
    <m/>
    <m/>
    <m/>
    <m/>
    <m/>
    <m/>
    <m/>
    <m/>
    <m/>
    <m/>
    <m/>
    <m/>
    <n v="0"/>
    <m/>
    <m/>
    <m/>
    <m/>
    <m/>
    <m/>
    <m/>
    <m/>
    <m/>
    <m/>
    <m/>
    <m/>
    <n v="0"/>
    <n v="259.14999961852999"/>
  </r>
  <r>
    <x v="1"/>
    <x v="3"/>
    <s v="PO/MG"/>
    <s v="Marcos Augusto - 34-3088-4901"/>
    <s v="PO/MG"/>
    <s v="Marcos Augusto - 34-3088-4901"/>
    <s v="DGT"/>
    <s v="NA"/>
    <m/>
    <s v="Ferramentas Geração 2019 - 2022"/>
    <s v="Ferramentas Geração "/>
    <s v="Falha no processo de execução da manutenção por falta de dispositivos e ferramentas, podendo levar a indisponibilidade operativa e consequente perda de receita da geração"/>
    <m/>
    <n v="0"/>
    <n v="0"/>
    <n v="0"/>
    <n v="0"/>
    <n v="0"/>
    <n v="0"/>
    <n v="0"/>
    <n v="0"/>
    <m/>
    <m/>
    <m/>
    <m/>
    <n v="0"/>
    <m/>
    <m/>
    <m/>
    <m/>
    <m/>
    <n v="30"/>
    <m/>
    <m/>
    <m/>
    <m/>
    <m/>
    <m/>
    <n v="30"/>
    <n v="0"/>
    <n v="0"/>
    <n v="0"/>
    <n v="0"/>
    <n v="0"/>
    <n v="0"/>
    <n v="0"/>
    <n v="289"/>
    <n v="0"/>
    <n v="0"/>
    <n v="0"/>
    <n v="0"/>
    <n v="289"/>
    <n v="0"/>
    <n v="0"/>
    <n v="0"/>
    <n v="0"/>
    <n v="0"/>
    <n v="0"/>
    <n v="0"/>
    <n v="0"/>
    <n v="0"/>
    <n v="0"/>
    <n v="0"/>
    <n v="0"/>
    <n v="0"/>
    <n v="0"/>
    <n v="0"/>
    <n v="0"/>
    <n v="0"/>
    <n v="0"/>
    <n v="0"/>
    <n v="0"/>
    <n v="0"/>
    <n v="0"/>
    <n v="0"/>
    <n v="0"/>
    <n v="0"/>
    <n v="0"/>
    <n v="319"/>
  </r>
  <r>
    <x v="1"/>
    <x v="3"/>
    <s v="PO/MG"/>
    <s v="Jeferson"/>
    <s v="PO/MG"/>
    <s v="Jeferson"/>
    <s v="DGT"/>
    <s v="NA"/>
    <m/>
    <s v="Usinas - Aquisição de Coletor analisador portátil de dados de vibração para a PO/MG"/>
    <s v="Coletor e analisador de dados portatil"/>
    <s v="Falha no diagnostico de equipamentos podendo levar a indisponibilidade operativa e consequente perda de receita da geração"/>
    <m/>
    <n v="0"/>
    <n v="0"/>
    <n v="0"/>
    <n v="0"/>
    <n v="0"/>
    <n v="0"/>
    <n v="0"/>
    <n v="0"/>
    <m/>
    <m/>
    <m/>
    <m/>
    <n v="0"/>
    <m/>
    <m/>
    <m/>
    <m/>
    <m/>
    <m/>
    <m/>
    <m/>
    <m/>
    <m/>
    <m/>
    <m/>
    <n v="0"/>
    <n v="0"/>
    <n v="0"/>
    <n v="0"/>
    <n v="0"/>
    <n v="0"/>
    <n v="0"/>
    <n v="0"/>
    <n v="0"/>
    <n v="0"/>
    <n v="0"/>
    <n v="0"/>
    <n v="0"/>
    <n v="0"/>
    <n v="0"/>
    <n v="0"/>
    <n v="0"/>
    <n v="0"/>
    <n v="0"/>
    <n v="0"/>
    <n v="0"/>
    <n v="0"/>
    <n v="400"/>
    <n v="0"/>
    <n v="0"/>
    <n v="0"/>
    <n v="400"/>
    <n v="0"/>
    <n v="0"/>
    <n v="0"/>
    <n v="0"/>
    <n v="0"/>
    <n v="0"/>
    <n v="0"/>
    <n v="0"/>
    <n v="0"/>
    <n v="0"/>
    <n v="0"/>
    <n v="0"/>
    <n v="0"/>
    <n v="400"/>
  </r>
  <r>
    <x v="1"/>
    <x v="3"/>
    <s v="PO/MG"/>
    <s v="Jeferson"/>
    <s v="PO/MG"/>
    <s v="Jeferson"/>
    <s v="DGT"/>
    <s v="PO00117"/>
    <s v="INGT/17/781/POMG"/>
    <s v="Usinas - Aquisição de Instrumentação para análise preditiva nas usinas do grupo CEMIG, composta por sensores de proximidade, sensor de pressão, acelerômetros, base magnética e cabos, conforme conjuntos ou kits específicos que serão cadastrados na MS."/>
    <s v="Kit de diagnostico de analise preditiva"/>
    <s v="Falha no diagnostico de equipamentos podendo levar a indisponibilidade operativa e consequente perda de receita da geração"/>
    <m/>
    <n v="0"/>
    <n v="0"/>
    <n v="0"/>
    <n v="0"/>
    <n v="0"/>
    <n v="0"/>
    <n v="0"/>
    <n v="0"/>
    <m/>
    <m/>
    <n v="74"/>
    <m/>
    <n v="74"/>
    <m/>
    <m/>
    <m/>
    <m/>
    <m/>
    <m/>
    <m/>
    <m/>
    <m/>
    <m/>
    <m/>
    <m/>
    <n v="0"/>
    <n v="0"/>
    <n v="0"/>
    <n v="0"/>
    <n v="0"/>
    <n v="0"/>
    <n v="0"/>
    <n v="0"/>
    <n v="0"/>
    <m/>
    <n v="0"/>
    <n v="0"/>
    <n v="0"/>
    <n v="0"/>
    <n v="0"/>
    <n v="0"/>
    <n v="0"/>
    <n v="0"/>
    <n v="0"/>
    <n v="0"/>
    <n v="0"/>
    <n v="0"/>
    <n v="0"/>
    <n v="0"/>
    <n v="0"/>
    <n v="0"/>
    <n v="0"/>
    <n v="0"/>
    <n v="0"/>
    <n v="0"/>
    <n v="0"/>
    <n v="0"/>
    <n v="0"/>
    <n v="0"/>
    <n v="0"/>
    <n v="0"/>
    <n v="0"/>
    <n v="0"/>
    <n v="0"/>
    <n v="0"/>
    <n v="74"/>
  </r>
  <r>
    <x v="1"/>
    <x v="3"/>
    <s v="PO/MG"/>
    <s v="Jeferson"/>
    <s v="PO/MG"/>
    <s v="Jeferson"/>
    <s v="DGT"/>
    <s v="NA"/>
    <m/>
    <s v="Usinas - Aquisição de Sensor de rotação"/>
    <s v="Sensor de rotação"/>
    <s v="Falha no diagnostico de equipamentos podendo levar a indisponibilidade operativa e consequente perda de receita da geração"/>
    <m/>
    <n v="0"/>
    <n v="0"/>
    <n v="0"/>
    <n v="0"/>
    <n v="0"/>
    <n v="0"/>
    <n v="0"/>
    <n v="0"/>
    <m/>
    <m/>
    <m/>
    <m/>
    <n v="0"/>
    <m/>
    <m/>
    <m/>
    <m/>
    <m/>
    <m/>
    <m/>
    <m/>
    <m/>
    <n v="25"/>
    <m/>
    <m/>
    <n v="25"/>
    <n v="0"/>
    <n v="0"/>
    <n v="0"/>
    <n v="0"/>
    <n v="0"/>
    <n v="0"/>
    <n v="0"/>
    <n v="0"/>
    <n v="0"/>
    <n v="0"/>
    <n v="0"/>
    <n v="0"/>
    <n v="0"/>
    <n v="0"/>
    <n v="0"/>
    <n v="0"/>
    <n v="0"/>
    <n v="0"/>
    <n v="0"/>
    <n v="0"/>
    <n v="0"/>
    <n v="0"/>
    <n v="0"/>
    <n v="0"/>
    <n v="0"/>
    <n v="0"/>
    <n v="0"/>
    <n v="0"/>
    <n v="0"/>
    <n v="0"/>
    <n v="0"/>
    <n v="0"/>
    <n v="0"/>
    <n v="0"/>
    <n v="0"/>
    <n v="30"/>
    <n v="0"/>
    <n v="0"/>
    <n v="30"/>
    <n v="55"/>
  </r>
  <r>
    <x v="1"/>
    <x v="3"/>
    <s v="PO/MG"/>
    <s v="Jeferson"/>
    <s v="PO/MG"/>
    <s v="Jeferson"/>
    <s v="DGT"/>
    <s v="NA"/>
    <m/>
    <s v="Usinas - Aquisição de Transdutor de deslocamento diferencial variável linear (LVDT's de comprimentos diversos)"/>
    <s v="LVDT"/>
    <s v="Falha no diagnostico de equipamentos podendo levar a indisponibilidade operativa e consequente perda de receita da geração"/>
    <m/>
    <n v="0"/>
    <n v="0"/>
    <n v="0"/>
    <n v="0"/>
    <n v="0"/>
    <n v="0"/>
    <n v="0"/>
    <n v="0"/>
    <m/>
    <m/>
    <m/>
    <m/>
    <n v="0"/>
    <m/>
    <m/>
    <m/>
    <m/>
    <m/>
    <m/>
    <m/>
    <m/>
    <m/>
    <n v="16"/>
    <m/>
    <m/>
    <n v="16"/>
    <n v="0"/>
    <n v="0"/>
    <n v="0"/>
    <n v="0"/>
    <n v="0"/>
    <n v="0"/>
    <n v="0"/>
    <n v="0"/>
    <n v="0"/>
    <m/>
    <n v="0"/>
    <n v="0"/>
    <n v="0"/>
    <n v="0"/>
    <n v="0"/>
    <n v="0"/>
    <n v="0"/>
    <n v="0"/>
    <n v="0"/>
    <n v="0"/>
    <n v="0"/>
    <n v="0"/>
    <n v="0"/>
    <n v="0"/>
    <n v="0"/>
    <n v="0"/>
    <n v="0"/>
    <n v="0"/>
    <n v="0"/>
    <n v="0"/>
    <n v="0"/>
    <n v="0"/>
    <n v="0"/>
    <n v="0"/>
    <n v="0"/>
    <n v="0"/>
    <n v="0"/>
    <n v="0"/>
    <n v="0"/>
    <n v="16"/>
  </r>
  <r>
    <x v="1"/>
    <x v="3"/>
    <s v="PO/MG"/>
    <s v="Jeferson"/>
    <s v="PO/MG"/>
    <s v="Jeferson"/>
    <s v="DGT"/>
    <s v="NA"/>
    <m/>
    <s v="Usinas - Aquisitor de dados multicanal para análise de parâmetros dinâmicos de unidades geradoras"/>
    <s v="Aquisitor de dados multicanal"/>
    <s v="Falha no diagnostico de equipamentos podendo levar a indisponibilidade operativa e consequente perda de receita da geração"/>
    <m/>
    <n v="0"/>
    <n v="0"/>
    <n v="0"/>
    <n v="0"/>
    <n v="0"/>
    <n v="0"/>
    <n v="0"/>
    <n v="0"/>
    <m/>
    <m/>
    <m/>
    <m/>
    <n v="0"/>
    <m/>
    <m/>
    <m/>
    <m/>
    <m/>
    <m/>
    <m/>
    <m/>
    <m/>
    <m/>
    <m/>
    <m/>
    <n v="0"/>
    <n v="0"/>
    <n v="0"/>
    <n v="0"/>
    <n v="0"/>
    <n v="0"/>
    <n v="0"/>
    <n v="190"/>
    <n v="0"/>
    <n v="0"/>
    <n v="0"/>
    <n v="0"/>
    <n v="0"/>
    <n v="190"/>
    <n v="0"/>
    <n v="0"/>
    <n v="0"/>
    <n v="0"/>
    <n v="0"/>
    <n v="0"/>
    <n v="0"/>
    <n v="0"/>
    <n v="0"/>
    <n v="0"/>
    <n v="0"/>
    <n v="0"/>
    <n v="0"/>
    <n v="0"/>
    <n v="0"/>
    <n v="0"/>
    <n v="0"/>
    <n v="0"/>
    <n v="0"/>
    <n v="0"/>
    <n v="0"/>
    <n v="0"/>
    <n v="0"/>
    <n v="0"/>
    <n v="0"/>
    <n v="0"/>
    <n v="190"/>
  </r>
  <r>
    <x v="2"/>
    <x v="5"/>
    <s v="PO/MT"/>
    <s v="Gustavo Soares/Eduardo Martins/Adriana de Castro"/>
    <s v="PO/MT"/>
    <s v="Gustavo Soares/Eduardo Martins/Adriana de Castro"/>
    <s v="DGT"/>
    <s v="PO00417"/>
    <s v="INGT/18/783/FERR"/>
    <s v="Ferramentas para o Centro de Monitoramento Preditivo e para o Laboratório de integração de novos ativos de Proteção, Controle, Supervisão e Automação da PO/MT"/>
    <s v="Ferramentas PO/MT_CMP e PCSA"/>
    <s v="Produtividade; atraso na realização e análises de testes de integração/monitoramento de ativos; segurança de pessoal; "/>
    <m/>
    <n v="0"/>
    <n v="0"/>
    <n v="0"/>
    <n v="35"/>
    <n v="52.617710113525391"/>
    <n v="0.12260055541992188"/>
    <n v="0"/>
    <n v="44.717998504638672"/>
    <n v="335.56800007820129"/>
    <m/>
    <m/>
    <n v="232.46505074821471"/>
    <n v="612.75104933105467"/>
    <n v="0"/>
    <n v="0"/>
    <n v="0"/>
    <n v="0"/>
    <n v="0"/>
    <n v="0"/>
    <n v="0"/>
    <n v="0"/>
    <n v="0"/>
    <n v="0"/>
    <n v="0"/>
    <n v="390.17914000000013"/>
    <n v="390.17914000000013"/>
    <n v="0"/>
    <n v="0"/>
    <n v="0"/>
    <n v="0"/>
    <n v="0"/>
    <n v="0"/>
    <n v="0"/>
    <n v="0"/>
    <n v="0"/>
    <n v="0"/>
    <n v="0"/>
    <n v="0"/>
    <n v="0"/>
    <n v="0"/>
    <n v="0"/>
    <n v="0"/>
    <n v="0"/>
    <n v="0"/>
    <n v="0"/>
    <n v="0"/>
    <n v="0"/>
    <n v="0"/>
    <n v="0"/>
    <n v="0"/>
    <n v="0"/>
    <n v="0"/>
    <m/>
    <m/>
    <m/>
    <m/>
    <m/>
    <m/>
    <m/>
    <m/>
    <m/>
    <m/>
    <m/>
    <m/>
    <n v="0"/>
    <n v="1002.9301893310549"/>
  </r>
  <r>
    <x v="1"/>
    <x v="2"/>
    <s v="RH"/>
    <s v="Luiz Augusto"/>
    <s v="RH"/>
    <s v="Luiz Augusto"/>
    <s v="DRH"/>
    <s v="SC01518"/>
    <s v="INFR.131.04418"/>
    <s v="Registrador eletrônico de ponto - Geração"/>
    <m/>
    <m/>
    <m/>
    <n v="0"/>
    <n v="0"/>
    <n v="0"/>
    <n v="0"/>
    <n v="0"/>
    <n v="0"/>
    <n v="0"/>
    <n v="0"/>
    <m/>
    <m/>
    <m/>
    <n v="40"/>
    <n v="40"/>
    <m/>
    <m/>
    <m/>
    <m/>
    <m/>
    <m/>
    <m/>
    <m/>
    <m/>
    <m/>
    <m/>
    <m/>
    <n v="0"/>
    <m/>
    <m/>
    <m/>
    <m/>
    <m/>
    <m/>
    <m/>
    <m/>
    <m/>
    <m/>
    <m/>
    <m/>
    <n v="0"/>
    <m/>
    <m/>
    <m/>
    <m/>
    <m/>
    <m/>
    <m/>
    <m/>
    <m/>
    <m/>
    <m/>
    <m/>
    <n v="0"/>
    <m/>
    <m/>
    <m/>
    <m/>
    <m/>
    <m/>
    <m/>
    <m/>
    <m/>
    <m/>
    <m/>
    <m/>
    <n v="0"/>
    <n v="40"/>
  </r>
  <r>
    <x v="0"/>
    <x v="1"/>
    <s v="RH"/>
    <s v="Luiz Augusto"/>
    <s v="RH"/>
    <s v="Luiz Augusto"/>
    <s v="DRH"/>
    <s v="SC00718"/>
    <s v="INFR.342.02518"/>
    <s v="Registrador eletrônico de ponto - Distribuição - SC00718"/>
    <m/>
    <m/>
    <m/>
    <n v="0"/>
    <n v="0"/>
    <n v="0"/>
    <n v="0"/>
    <n v="0"/>
    <n v="0"/>
    <n v="0"/>
    <n v="10.799999952316284"/>
    <m/>
    <m/>
    <m/>
    <n v="165.20000004768372"/>
    <n v="176"/>
    <m/>
    <m/>
    <m/>
    <m/>
    <m/>
    <m/>
    <m/>
    <m/>
    <m/>
    <m/>
    <m/>
    <m/>
    <n v="0"/>
    <m/>
    <m/>
    <m/>
    <m/>
    <m/>
    <m/>
    <m/>
    <m/>
    <m/>
    <m/>
    <m/>
    <m/>
    <n v="0"/>
    <m/>
    <m/>
    <m/>
    <m/>
    <m/>
    <m/>
    <m/>
    <m/>
    <m/>
    <m/>
    <m/>
    <m/>
    <n v="0"/>
    <m/>
    <m/>
    <m/>
    <m/>
    <m/>
    <m/>
    <m/>
    <m/>
    <m/>
    <m/>
    <m/>
    <m/>
    <n v="0"/>
    <n v="176"/>
  </r>
  <r>
    <x v="0"/>
    <x v="0"/>
    <s v="RH/EC"/>
    <s v="Romeraldo"/>
    <s v="RH/EC"/>
    <s v="Romeraldo"/>
    <s v="DRH"/>
    <s v="NA"/>
    <m/>
    <s v="2 Alicates amperímetros digital com tecnologia wi-fi."/>
    <s v="Equipamento para o curso de Termografia aplicada ao Sistema Elétrico."/>
    <s v="A falta de treinamento das equipes impossibilitará as manutenções preventivas dos equipamentos de subestações, ocasionando altos índices de defeitos e indisponibilidade do sistema elétrico."/>
    <m/>
    <n v="0"/>
    <n v="0"/>
    <n v="0"/>
    <n v="0"/>
    <n v="0"/>
    <n v="0"/>
    <n v="0"/>
    <n v="0"/>
    <m/>
    <m/>
    <m/>
    <m/>
    <n v="0"/>
    <m/>
    <m/>
    <m/>
    <m/>
    <m/>
    <m/>
    <m/>
    <m/>
    <m/>
    <m/>
    <m/>
    <m/>
    <n v="0"/>
    <m/>
    <m/>
    <m/>
    <m/>
    <m/>
    <m/>
    <m/>
    <m/>
    <m/>
    <m/>
    <m/>
    <n v="3"/>
    <n v="3"/>
    <m/>
    <m/>
    <m/>
    <m/>
    <m/>
    <m/>
    <m/>
    <m/>
    <m/>
    <m/>
    <m/>
    <n v="3"/>
    <n v="3"/>
    <m/>
    <m/>
    <m/>
    <m/>
    <m/>
    <m/>
    <m/>
    <m/>
    <m/>
    <m/>
    <m/>
    <m/>
    <n v="0"/>
    <n v="6"/>
  </r>
  <r>
    <x v="0"/>
    <x v="0"/>
    <s v="RH/EC"/>
    <s v="Januario"/>
    <s v="RH/EC"/>
    <s v="Januario"/>
    <s v="DRH"/>
    <s v="NA"/>
    <m/>
    <s v="2 HI-POTT CA até 60 kV"/>
    <s v="Equipamento para o treinamento de rede aerea isolada."/>
    <s v="A falta de treinamento das equipes impossibilitará as manutenções preventivas dos equipamentos de subestações, ocasionando altos índices de defeitos e indisponibilidade do sistema elétrico."/>
    <m/>
    <n v="0"/>
    <n v="0"/>
    <n v="0"/>
    <n v="0"/>
    <n v="0"/>
    <n v="0"/>
    <n v="0"/>
    <n v="0"/>
    <m/>
    <m/>
    <m/>
    <m/>
    <n v="0"/>
    <m/>
    <m/>
    <m/>
    <m/>
    <m/>
    <m/>
    <m/>
    <m/>
    <m/>
    <m/>
    <m/>
    <n v="10"/>
    <n v="10"/>
    <m/>
    <m/>
    <m/>
    <m/>
    <m/>
    <m/>
    <m/>
    <m/>
    <m/>
    <m/>
    <m/>
    <m/>
    <n v="0"/>
    <m/>
    <m/>
    <m/>
    <m/>
    <m/>
    <m/>
    <m/>
    <m/>
    <m/>
    <m/>
    <m/>
    <n v="10"/>
    <n v="10"/>
    <m/>
    <m/>
    <m/>
    <m/>
    <m/>
    <m/>
    <m/>
    <m/>
    <m/>
    <m/>
    <m/>
    <m/>
    <n v="0"/>
    <n v="20"/>
  </r>
  <r>
    <x v="0"/>
    <x v="0"/>
    <s v="RH/EC"/>
    <s v="Marcela Augusta"/>
    <s v="RH/EC"/>
    <s v="Marcela Augusta"/>
    <s v="DRH"/>
    <s v="NA"/>
    <m/>
    <s v="Aquisição de recursos pedagógicos para Univercemig"/>
    <s v="Aquisição de recursos pedagógicos para Univercemig"/>
    <m/>
    <m/>
    <n v="0"/>
    <n v="0"/>
    <n v="0"/>
    <n v="0"/>
    <n v="0"/>
    <n v="0"/>
    <n v="0"/>
    <n v="0"/>
    <m/>
    <m/>
    <m/>
    <m/>
    <n v="0"/>
    <m/>
    <m/>
    <m/>
    <m/>
    <m/>
    <m/>
    <m/>
    <m/>
    <m/>
    <m/>
    <m/>
    <n v="138"/>
    <n v="138"/>
    <m/>
    <m/>
    <m/>
    <m/>
    <m/>
    <m/>
    <m/>
    <m/>
    <m/>
    <m/>
    <m/>
    <m/>
    <n v="0"/>
    <m/>
    <m/>
    <m/>
    <m/>
    <m/>
    <m/>
    <m/>
    <m/>
    <m/>
    <m/>
    <m/>
    <m/>
    <n v="0"/>
    <m/>
    <m/>
    <m/>
    <m/>
    <m/>
    <m/>
    <m/>
    <m/>
    <m/>
    <m/>
    <m/>
    <m/>
    <n v="0"/>
    <n v="138"/>
  </r>
  <r>
    <x v="0"/>
    <x v="0"/>
    <s v="RH/EC"/>
    <s v="Marcela Augusta"/>
    <s v="RH/EC"/>
    <s v="Marcela Augusta"/>
    <s v="DRH"/>
    <s v="RH00218"/>
    <s v="INFR.341.01718"/>
    <s v="Aquisição de recursos pedagógicos para Univercemig - RH00218"/>
    <s v="Aquisição de recursos pedagógicos para Univercemig 2018"/>
    <m/>
    <m/>
    <n v="0"/>
    <n v="0"/>
    <n v="0"/>
    <n v="0"/>
    <n v="0"/>
    <n v="0"/>
    <n v="0"/>
    <n v="0"/>
    <m/>
    <n v="8"/>
    <n v="22"/>
    <n v="224"/>
    <n v="254"/>
    <m/>
    <m/>
    <m/>
    <m/>
    <m/>
    <m/>
    <m/>
    <m/>
    <m/>
    <m/>
    <m/>
    <m/>
    <n v="0"/>
    <m/>
    <m/>
    <m/>
    <m/>
    <m/>
    <m/>
    <m/>
    <m/>
    <m/>
    <m/>
    <m/>
    <m/>
    <n v="0"/>
    <m/>
    <m/>
    <m/>
    <m/>
    <m/>
    <m/>
    <m/>
    <m/>
    <m/>
    <m/>
    <m/>
    <m/>
    <n v="0"/>
    <m/>
    <m/>
    <m/>
    <m/>
    <m/>
    <m/>
    <m/>
    <m/>
    <m/>
    <m/>
    <m/>
    <m/>
    <n v="0"/>
    <n v="254"/>
  </r>
  <r>
    <x v="0"/>
    <x v="0"/>
    <s v="RH/EC"/>
    <s v="Romeraldo"/>
    <s v="RH/EC"/>
    <s v="Romeraldo"/>
    <s v="DRH"/>
    <s v="NA"/>
    <m/>
    <s v="Calibrador tipo Corpo Negro (Fonte de Calor)"/>
    <s v="Equipamento para o curso de Termografia aplicada ao Sistema Elétrico."/>
    <s v="A falta de treinamento das equipes impossibilitará as manutenções preventivas dos equipamentos de subestações, ocasionando altos índices de defeitos e indisponibilidade do sistema elétrico."/>
    <m/>
    <n v="0"/>
    <n v="0"/>
    <n v="0"/>
    <n v="0"/>
    <n v="0"/>
    <n v="0"/>
    <n v="0"/>
    <n v="0"/>
    <m/>
    <m/>
    <m/>
    <m/>
    <n v="0"/>
    <m/>
    <m/>
    <m/>
    <m/>
    <m/>
    <m/>
    <m/>
    <m/>
    <m/>
    <m/>
    <m/>
    <m/>
    <n v="0"/>
    <m/>
    <m/>
    <m/>
    <m/>
    <m/>
    <m/>
    <m/>
    <m/>
    <m/>
    <m/>
    <m/>
    <n v="30"/>
    <n v="30"/>
    <m/>
    <m/>
    <m/>
    <m/>
    <m/>
    <m/>
    <m/>
    <m/>
    <m/>
    <m/>
    <m/>
    <m/>
    <n v="0"/>
    <m/>
    <m/>
    <m/>
    <m/>
    <m/>
    <m/>
    <m/>
    <m/>
    <m/>
    <m/>
    <m/>
    <m/>
    <n v="0"/>
    <n v="30"/>
  </r>
  <r>
    <x v="0"/>
    <x v="0"/>
    <s v="RH/EC"/>
    <s v="Denis"/>
    <s v="RH/EC"/>
    <s v="Denis"/>
    <s v="DRH"/>
    <s v="NA"/>
    <m/>
    <s v="Medidor de Relação de transformação digital"/>
    <s v="Equipamento para o curso de Ensaios Elétricos."/>
    <s v="A falta de treinamento das equipes impossibilitará as manutenções preventivas dos equipamentos de subestações, ocasionando altos índices de defeitos e indisponibilidade do sistema elétrico."/>
    <m/>
    <n v="0"/>
    <n v="0"/>
    <n v="0"/>
    <n v="0"/>
    <n v="0"/>
    <n v="0"/>
    <n v="0"/>
    <n v="0"/>
    <m/>
    <m/>
    <m/>
    <m/>
    <n v="0"/>
    <m/>
    <m/>
    <m/>
    <m/>
    <m/>
    <m/>
    <m/>
    <m/>
    <m/>
    <m/>
    <m/>
    <n v="33"/>
    <n v="33"/>
    <m/>
    <m/>
    <m/>
    <m/>
    <m/>
    <m/>
    <m/>
    <m/>
    <m/>
    <m/>
    <m/>
    <m/>
    <n v="0"/>
    <m/>
    <m/>
    <m/>
    <m/>
    <m/>
    <m/>
    <m/>
    <m/>
    <m/>
    <m/>
    <m/>
    <m/>
    <n v="0"/>
    <m/>
    <m/>
    <m/>
    <m/>
    <m/>
    <m/>
    <m/>
    <m/>
    <m/>
    <m/>
    <m/>
    <m/>
    <n v="0"/>
    <n v="33"/>
  </r>
  <r>
    <x v="0"/>
    <x v="1"/>
    <s v="RH/EC"/>
    <s v="Uaded"/>
    <s v="RH/EC"/>
    <s v="Uaded"/>
    <s v="DRH"/>
    <s v="NA"/>
    <m/>
    <s v="Lavadoura de pratos industrial"/>
    <s v="Lavadora de pratos para o refeitorio da Univercemig"/>
    <s v="Máquina é essencial para economia de mão de obra e tempo."/>
    <m/>
    <n v="0"/>
    <n v="0"/>
    <n v="0"/>
    <n v="0"/>
    <n v="0"/>
    <n v="0"/>
    <n v="0"/>
    <n v="0"/>
    <m/>
    <m/>
    <m/>
    <m/>
    <n v="0"/>
    <m/>
    <m/>
    <m/>
    <m/>
    <m/>
    <m/>
    <m/>
    <m/>
    <m/>
    <m/>
    <m/>
    <n v="21"/>
    <n v="21"/>
    <m/>
    <m/>
    <m/>
    <m/>
    <m/>
    <m/>
    <m/>
    <m/>
    <m/>
    <m/>
    <m/>
    <m/>
    <n v="0"/>
    <m/>
    <m/>
    <m/>
    <m/>
    <m/>
    <m/>
    <m/>
    <m/>
    <m/>
    <m/>
    <m/>
    <m/>
    <n v="0"/>
    <m/>
    <m/>
    <m/>
    <m/>
    <m/>
    <m/>
    <m/>
    <m/>
    <m/>
    <m/>
    <m/>
    <m/>
    <n v="0"/>
    <n v="21"/>
  </r>
  <r>
    <x v="0"/>
    <x v="1"/>
    <s v="RH/EC"/>
    <s v="Marcela Augusta"/>
    <s v="RH/EC"/>
    <s v="Marcela Augusta"/>
    <s v="DRH"/>
    <s v="RH00118"/>
    <s v="INFR.342.00118"/>
    <s v="Modernização de equipamentos e mobiliário e construção da pista off road para o curso de direção defensiva na UNIVERCEMIG."/>
    <s v="Modernização de equipamentos e mobiliário e construção da pista off road para o curso de direção defensiva na UNIVERCEMIG - RH00118"/>
    <s v="A falta de treinamento das equipes impossibilitará as manutenções preventivas e corretivas dos disjuntores, ocasionando altos índices de defeitos e indisponibilidade do sistema elétrico."/>
    <m/>
    <n v="0"/>
    <n v="0"/>
    <n v="0"/>
    <n v="0"/>
    <n v="0"/>
    <n v="0"/>
    <n v="0"/>
    <n v="0"/>
    <m/>
    <n v="103.2"/>
    <m/>
    <n v="20.845002937315996"/>
    <n v="124.045002937316"/>
    <m/>
    <m/>
    <n v="137"/>
    <n v="200"/>
    <m/>
    <m/>
    <m/>
    <n v="51.954997062683098"/>
    <m/>
    <m/>
    <m/>
    <m/>
    <n v="388.95499706268311"/>
    <m/>
    <m/>
    <m/>
    <m/>
    <m/>
    <m/>
    <m/>
    <m/>
    <m/>
    <m/>
    <m/>
    <m/>
    <n v="0"/>
    <m/>
    <m/>
    <m/>
    <m/>
    <m/>
    <m/>
    <m/>
    <m/>
    <m/>
    <m/>
    <m/>
    <m/>
    <n v="0"/>
    <m/>
    <m/>
    <m/>
    <m/>
    <m/>
    <m/>
    <m/>
    <m/>
    <m/>
    <m/>
    <m/>
    <m/>
    <n v="0"/>
    <n v="512.99999999999909"/>
  </r>
  <r>
    <x v="0"/>
    <x v="1"/>
    <s v="RH/EC"/>
    <s v="Marcela Augusta"/>
    <s v="RH/EC"/>
    <s v="Marcela Augusta"/>
    <s v="DRH"/>
    <s v="NA"/>
    <m/>
    <s v="Modernização de equipamentos e mobiliário UNIVERCEMIG."/>
    <s v="Modernização de equipamentos e mobiliário e construção da pista off road para o curso de direção defensiva na UNIVERCEMIG."/>
    <s v="A falta de treinamento das equipes impossibilitará as manutenções preventivas e corretivas dos disjuntores, ocasionando altos índices de defeitos e indisponibilidade do sistema elétrico."/>
    <m/>
    <n v="0"/>
    <n v="0"/>
    <n v="0"/>
    <n v="0"/>
    <n v="0"/>
    <n v="0"/>
    <n v="0"/>
    <n v="0"/>
    <m/>
    <m/>
    <m/>
    <m/>
    <n v="0"/>
    <m/>
    <m/>
    <m/>
    <m/>
    <m/>
    <m/>
    <m/>
    <m/>
    <m/>
    <m/>
    <m/>
    <n v="8"/>
    <n v="8"/>
    <m/>
    <m/>
    <m/>
    <m/>
    <m/>
    <m/>
    <m/>
    <m/>
    <m/>
    <m/>
    <m/>
    <n v="58"/>
    <n v="58"/>
    <m/>
    <m/>
    <m/>
    <m/>
    <m/>
    <m/>
    <m/>
    <m/>
    <m/>
    <m/>
    <m/>
    <n v="8"/>
    <n v="8"/>
    <m/>
    <m/>
    <m/>
    <m/>
    <m/>
    <m/>
    <m/>
    <m/>
    <m/>
    <m/>
    <m/>
    <n v="58"/>
    <n v="58"/>
    <n v="132"/>
  </r>
  <r>
    <x v="0"/>
    <x v="1"/>
    <s v="RH/EC"/>
    <s v="Marcela Augusta"/>
    <s v="RH/EC"/>
    <s v="Marcela Augusta"/>
    <s v="DRH"/>
    <s v="NA"/>
    <m/>
    <s v="Modernização de Recursos Pedagógicos"/>
    <s v="Modernização de salas de aula, paineis, equipamentos didáticos em geral."/>
    <s v="Impossibilitará reposição de materiais e equipamentos desgastados, impossibilitando os treinamentos."/>
    <m/>
    <n v="0"/>
    <n v="0"/>
    <n v="0"/>
    <n v="0"/>
    <n v="0"/>
    <n v="0"/>
    <n v="0"/>
    <n v="0"/>
    <m/>
    <m/>
    <m/>
    <m/>
    <n v="0"/>
    <m/>
    <m/>
    <m/>
    <m/>
    <m/>
    <m/>
    <m/>
    <m/>
    <m/>
    <m/>
    <m/>
    <m/>
    <n v="0"/>
    <m/>
    <m/>
    <m/>
    <m/>
    <m/>
    <m/>
    <m/>
    <m/>
    <m/>
    <m/>
    <m/>
    <n v="100"/>
    <n v="100"/>
    <m/>
    <m/>
    <m/>
    <m/>
    <m/>
    <m/>
    <m/>
    <m/>
    <m/>
    <m/>
    <m/>
    <n v="160"/>
    <n v="160"/>
    <m/>
    <m/>
    <m/>
    <m/>
    <m/>
    <m/>
    <m/>
    <m/>
    <m/>
    <m/>
    <m/>
    <n v="160"/>
    <n v="160"/>
    <n v="420"/>
  </r>
  <r>
    <x v="1"/>
    <x v="2"/>
    <s v="SC"/>
    <s v="Flávio Henrique Silva Rosário"/>
    <s v="SC"/>
    <s v="Flávio Henrique Silva Rosário"/>
    <s v="DGE"/>
    <s v="NA"/>
    <m/>
    <s v="Aquisição de Equipamentos Geral  - Ar Condicionado e Bebedouro - Geração"/>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n v="0"/>
    <n v="0"/>
    <n v="0"/>
    <n v="0"/>
    <n v="0"/>
    <n v="0"/>
    <n v="0"/>
    <m/>
    <m/>
    <m/>
    <m/>
    <n v="0"/>
    <m/>
    <m/>
    <m/>
    <m/>
    <m/>
    <m/>
    <m/>
    <n v="55"/>
    <m/>
    <m/>
    <m/>
    <m/>
    <n v="55"/>
    <m/>
    <m/>
    <m/>
    <m/>
    <n v="60"/>
    <m/>
    <m/>
    <m/>
    <m/>
    <m/>
    <m/>
    <m/>
    <n v="60"/>
    <m/>
    <m/>
    <m/>
    <m/>
    <n v="55"/>
    <m/>
    <m/>
    <m/>
    <m/>
    <m/>
    <m/>
    <m/>
    <n v="55"/>
    <m/>
    <m/>
    <m/>
    <m/>
    <n v="55"/>
    <m/>
    <m/>
    <m/>
    <m/>
    <m/>
    <m/>
    <m/>
    <n v="55"/>
    <n v="225"/>
  </r>
  <r>
    <x v="1"/>
    <x v="2"/>
    <s v="SC"/>
    <s v="Flávio Henrique Silva Rosário"/>
    <s v="SC"/>
    <s v="Flávio Henrique Silva Rosário"/>
    <s v="DGE"/>
    <s v="SC00318"/>
    <s v="INFR.131.01518"/>
    <s v="Aquisição de Equipamentos Geral  - Ar Condicionado e Bebedouro - Geração - SC00318"/>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n v="0"/>
    <n v="0"/>
    <n v="0"/>
    <n v="0"/>
    <n v="1.6000000238418579"/>
    <n v="0"/>
    <n v="27.184600830078125"/>
    <n v="91"/>
    <m/>
    <m/>
    <n v="7.5953991460798997"/>
    <n v="125.77999997615802"/>
    <m/>
    <m/>
    <m/>
    <m/>
    <m/>
    <m/>
    <m/>
    <m/>
    <m/>
    <m/>
    <m/>
    <m/>
    <n v="0"/>
    <m/>
    <m/>
    <m/>
    <m/>
    <m/>
    <m/>
    <m/>
    <m/>
    <m/>
    <m/>
    <m/>
    <m/>
    <n v="0"/>
    <m/>
    <m/>
    <m/>
    <m/>
    <m/>
    <m/>
    <m/>
    <m/>
    <m/>
    <m/>
    <m/>
    <m/>
    <n v="0"/>
    <m/>
    <m/>
    <m/>
    <m/>
    <m/>
    <m/>
    <m/>
    <m/>
    <m/>
    <m/>
    <m/>
    <m/>
    <n v="0"/>
    <n v="125.77999997615802"/>
  </r>
  <r>
    <x v="1"/>
    <x v="2"/>
    <s v="SC"/>
    <s v="Flávio Henrique Silva Rosário"/>
    <s v="SC"/>
    <s v="Flávio Henrique Silva Rosário"/>
    <s v="DGE"/>
    <s v="NA"/>
    <s v="INFR.131.03518"/>
    <s v="Aquisição de 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n v="0"/>
    <n v="0"/>
    <n v="0"/>
    <n v="0"/>
    <n v="0"/>
    <n v="0"/>
    <n v="0"/>
    <m/>
    <m/>
    <m/>
    <m/>
    <n v="0"/>
    <m/>
    <m/>
    <m/>
    <m/>
    <m/>
    <m/>
    <m/>
    <m/>
    <m/>
    <m/>
    <m/>
    <m/>
    <n v="0"/>
    <m/>
    <m/>
    <m/>
    <m/>
    <m/>
    <m/>
    <m/>
    <n v="124"/>
    <m/>
    <m/>
    <m/>
    <m/>
    <n v="124"/>
    <m/>
    <m/>
    <m/>
    <m/>
    <m/>
    <m/>
    <m/>
    <m/>
    <m/>
    <m/>
    <m/>
    <m/>
    <n v="0"/>
    <m/>
    <m/>
    <m/>
    <m/>
    <m/>
    <m/>
    <m/>
    <n v="30"/>
    <m/>
    <m/>
    <m/>
    <m/>
    <n v="30"/>
    <n v="154"/>
  </r>
  <r>
    <x v="1"/>
    <x v="2"/>
    <s v="SC"/>
    <s v="Rogério Elias"/>
    <s v="SC"/>
    <s v="Rogério Elias"/>
    <s v="DGE"/>
    <s v="NA"/>
    <m/>
    <s v="Aquisição de mobiliário para atendimento cliente interno G"/>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n v="0"/>
    <n v="0"/>
    <n v="0"/>
    <n v="0"/>
    <n v="0"/>
    <n v="0"/>
    <n v="0"/>
    <m/>
    <m/>
    <m/>
    <m/>
    <n v="0"/>
    <m/>
    <m/>
    <m/>
    <m/>
    <m/>
    <m/>
    <m/>
    <m/>
    <m/>
    <m/>
    <m/>
    <m/>
    <n v="0"/>
    <m/>
    <m/>
    <m/>
    <m/>
    <m/>
    <m/>
    <m/>
    <m/>
    <m/>
    <m/>
    <m/>
    <m/>
    <n v="0"/>
    <m/>
    <m/>
    <m/>
    <m/>
    <m/>
    <m/>
    <m/>
    <m/>
    <m/>
    <m/>
    <n v="108"/>
    <m/>
    <n v="108"/>
    <m/>
    <m/>
    <m/>
    <m/>
    <m/>
    <m/>
    <m/>
    <m/>
    <m/>
    <m/>
    <n v="92"/>
    <m/>
    <n v="92"/>
    <n v="200"/>
  </r>
  <r>
    <x v="1"/>
    <x v="2"/>
    <s v="SC"/>
    <s v="Flávio Henrique Silva Rosário"/>
    <s v="SC"/>
    <s v="Flávio Henrique Silva Rosário"/>
    <s v="DGE"/>
    <s v="NA"/>
    <m/>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n v="0"/>
    <n v="0"/>
    <n v="0"/>
    <n v="0"/>
    <n v="0"/>
    <n v="0"/>
    <n v="0"/>
    <n v="0"/>
    <m/>
    <m/>
    <m/>
    <m/>
    <n v="0"/>
    <m/>
    <m/>
    <m/>
    <m/>
    <m/>
    <m/>
    <m/>
    <m/>
    <n v="140"/>
    <m/>
    <m/>
    <m/>
    <n v="140"/>
    <m/>
    <m/>
    <m/>
    <m/>
    <m/>
    <m/>
    <m/>
    <m/>
    <n v="140"/>
    <m/>
    <m/>
    <m/>
    <n v="140"/>
    <m/>
    <m/>
    <m/>
    <m/>
    <m/>
    <m/>
    <m/>
    <m/>
    <n v="140"/>
    <m/>
    <m/>
    <m/>
    <n v="140"/>
    <m/>
    <m/>
    <m/>
    <m/>
    <m/>
    <m/>
    <m/>
    <m/>
    <n v="139.72435680488988"/>
    <m/>
    <m/>
    <m/>
    <n v="139.72435680488988"/>
    <n v="559.72435680488991"/>
  </r>
  <r>
    <x v="1"/>
    <x v="2"/>
    <s v="SC"/>
    <s v="Flávio Henrique Silva Rosário"/>
    <s v="SC"/>
    <s v="Flávio Henrique Silva Rosário"/>
    <s v="DGE"/>
    <s v="SC01018"/>
    <s v="INFR.131.01018"/>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n v="0"/>
    <n v="0"/>
    <n v="0"/>
    <n v="0"/>
    <n v="0"/>
    <n v="0"/>
    <n v="0"/>
    <n v="0"/>
    <m/>
    <m/>
    <m/>
    <n v="64.62"/>
    <n v="64.62"/>
    <m/>
    <m/>
    <m/>
    <m/>
    <m/>
    <m/>
    <m/>
    <m/>
    <m/>
    <m/>
    <m/>
    <m/>
    <n v="0"/>
    <m/>
    <m/>
    <m/>
    <m/>
    <m/>
    <m/>
    <m/>
    <m/>
    <m/>
    <m/>
    <m/>
    <m/>
    <n v="0"/>
    <m/>
    <m/>
    <m/>
    <m/>
    <m/>
    <m/>
    <m/>
    <m/>
    <m/>
    <m/>
    <m/>
    <m/>
    <n v="0"/>
    <m/>
    <m/>
    <m/>
    <m/>
    <m/>
    <m/>
    <m/>
    <m/>
    <m/>
    <m/>
    <m/>
    <m/>
    <n v="0"/>
    <n v="64.62"/>
  </r>
  <r>
    <x v="1"/>
    <x v="2"/>
    <s v="SC"/>
    <s v="Ian Garcia"/>
    <s v="SC"/>
    <s v="Ian Garcia"/>
    <s v="DGE"/>
    <s v="NA"/>
    <m/>
    <s v="Video Monitoramento Analítico em 12 usinas"/>
    <s v="Instalação de Câmeras  para monitoramento de eventos e ocorrencias no interior das Usinas"/>
    <s v="Inibir invasões, furtos e monitorar o acesso de pessoas na uisnas"/>
    <m/>
    <n v="0"/>
    <n v="0"/>
    <n v="0"/>
    <n v="0"/>
    <n v="0"/>
    <n v="0"/>
    <n v="0"/>
    <n v="0"/>
    <m/>
    <m/>
    <m/>
    <m/>
    <n v="0"/>
    <m/>
    <m/>
    <m/>
    <m/>
    <m/>
    <m/>
    <m/>
    <m/>
    <m/>
    <m/>
    <m/>
    <m/>
    <n v="0"/>
    <m/>
    <m/>
    <m/>
    <m/>
    <m/>
    <m/>
    <n v="45.710839976157331"/>
    <m/>
    <m/>
    <m/>
    <m/>
    <m/>
    <n v="45.710839976157331"/>
    <m/>
    <m/>
    <m/>
    <m/>
    <m/>
    <m/>
    <m/>
    <m/>
    <m/>
    <m/>
    <m/>
    <m/>
    <n v="0"/>
    <m/>
    <m/>
    <m/>
    <m/>
    <m/>
    <m/>
    <n v="60"/>
    <m/>
    <m/>
    <m/>
    <m/>
    <m/>
    <n v="60"/>
    <n v="105.71083997615733"/>
  </r>
  <r>
    <x v="1"/>
    <x v="8"/>
    <s v="SC"/>
    <s v="Ormindo Coutinho Filho"/>
    <s v="SC"/>
    <s v="Ormindo Coutinho Filho"/>
    <s v="DGE"/>
    <s v="NA"/>
    <m/>
    <s v="Substituição de Veículos da Diretoria Executiva - Geração"/>
    <s v="Renovação da frota de veículos da Diretoria Executiva - Gera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n v="0"/>
    <n v="0"/>
    <n v="0"/>
    <n v="0"/>
    <n v="0"/>
    <n v="0"/>
    <n v="0"/>
    <m/>
    <m/>
    <m/>
    <m/>
    <n v="0"/>
    <m/>
    <m/>
    <m/>
    <m/>
    <m/>
    <m/>
    <n v="102.5"/>
    <m/>
    <m/>
    <m/>
    <m/>
    <m/>
    <n v="102.5"/>
    <m/>
    <m/>
    <m/>
    <m/>
    <m/>
    <m/>
    <m/>
    <m/>
    <m/>
    <m/>
    <m/>
    <m/>
    <n v="0"/>
    <m/>
    <m/>
    <m/>
    <m/>
    <m/>
    <m/>
    <m/>
    <m/>
    <m/>
    <m/>
    <m/>
    <m/>
    <n v="0"/>
    <m/>
    <m/>
    <m/>
    <m/>
    <m/>
    <m/>
    <m/>
    <m/>
    <m/>
    <m/>
    <m/>
    <m/>
    <n v="0"/>
    <n v="102.5"/>
  </r>
  <r>
    <x v="2"/>
    <x v="6"/>
    <s v="SC"/>
    <s v="Rogério Elias"/>
    <s v="SC"/>
    <s v="Rogério Elias"/>
    <s v="DGE"/>
    <s v="NA"/>
    <m/>
    <s v="Aquisição de mobiliário para atendimento cliente interno T"/>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n v="0"/>
    <n v="0"/>
    <n v="0"/>
    <n v="0"/>
    <n v="0"/>
    <n v="0"/>
    <n v="0"/>
    <m/>
    <m/>
    <m/>
    <m/>
    <n v="0"/>
    <m/>
    <m/>
    <m/>
    <m/>
    <m/>
    <m/>
    <m/>
    <m/>
    <m/>
    <m/>
    <n v="13"/>
    <m/>
    <n v="13"/>
    <m/>
    <m/>
    <m/>
    <m/>
    <m/>
    <m/>
    <m/>
    <m/>
    <m/>
    <m/>
    <n v="13"/>
    <m/>
    <n v="13"/>
    <m/>
    <m/>
    <m/>
    <m/>
    <m/>
    <m/>
    <m/>
    <m/>
    <m/>
    <m/>
    <m/>
    <m/>
    <n v="0"/>
    <m/>
    <m/>
    <m/>
    <m/>
    <m/>
    <m/>
    <m/>
    <m/>
    <m/>
    <m/>
    <n v="26"/>
    <m/>
    <n v="26"/>
    <n v="52"/>
  </r>
  <r>
    <x v="2"/>
    <x v="6"/>
    <s v="SC"/>
    <s v="Flávio Henrique Silva Rosário"/>
    <s v="SC"/>
    <s v="Flávio Henrique Silva Rosário"/>
    <s v="DGE"/>
    <s v="NA"/>
    <m/>
    <s v="AR - Construção de muro de arrimo, passeio e sistema de drenagem"/>
    <s v="Contratação de projetos executivos e construção de muro de arrimo, sistema de drenagem e passeio externo no estacionamento adjascente ao P21 no AR"/>
    <s v="Tombamento do muro de toras de madeira, podendo ocasionar danos materiais e acidentes de trabalho."/>
    <m/>
    <n v="0"/>
    <n v="0"/>
    <n v="0"/>
    <n v="0"/>
    <n v="0"/>
    <n v="0"/>
    <n v="0"/>
    <n v="0"/>
    <m/>
    <m/>
    <m/>
    <m/>
    <n v="0"/>
    <m/>
    <m/>
    <m/>
    <m/>
    <m/>
    <m/>
    <m/>
    <m/>
    <m/>
    <m/>
    <m/>
    <m/>
    <n v="0"/>
    <m/>
    <m/>
    <m/>
    <m/>
    <m/>
    <m/>
    <m/>
    <m/>
    <m/>
    <m/>
    <m/>
    <m/>
    <n v="0"/>
    <m/>
    <m/>
    <m/>
    <n v="5"/>
    <n v="14"/>
    <n v="65"/>
    <n v="75"/>
    <n v="87"/>
    <n v="49"/>
    <m/>
    <m/>
    <m/>
    <n v="295"/>
    <m/>
    <m/>
    <m/>
    <m/>
    <m/>
    <m/>
    <m/>
    <m/>
    <m/>
    <m/>
    <m/>
    <m/>
    <n v="0"/>
    <n v="295"/>
  </r>
  <r>
    <x v="0"/>
    <x v="1"/>
    <s v="SC"/>
    <s v="Flávio Henrique Silva Rosário"/>
    <s v="SC"/>
    <s v="Flávio Henrique Silva Rosário"/>
    <s v="DGE"/>
    <s v="SC01418"/>
    <m/>
    <s v="AR - P21 - Execução de 2 Muros de Arrimo"/>
    <s v="Obra de estabilização de 02 taludes ao lado das escadas entre o prédio 20 e 21 do Anel Rodoviário"/>
    <s v="Tombamento do muro; acidente com empregados e terceiros; danificar ativos da Cemig; deslizamento de solo"/>
    <m/>
    <n v="0"/>
    <n v="0"/>
    <n v="0"/>
    <n v="0"/>
    <n v="0"/>
    <n v="0"/>
    <n v="0"/>
    <n v="0"/>
    <m/>
    <m/>
    <m/>
    <m/>
    <n v="0"/>
    <m/>
    <m/>
    <m/>
    <m/>
    <m/>
    <m/>
    <m/>
    <n v="320"/>
    <m/>
    <m/>
    <m/>
    <m/>
    <n v="320"/>
    <m/>
    <m/>
    <m/>
    <m/>
    <m/>
    <m/>
    <m/>
    <m/>
    <m/>
    <m/>
    <m/>
    <m/>
    <n v="0"/>
    <m/>
    <m/>
    <m/>
    <m/>
    <m/>
    <m/>
    <m/>
    <m/>
    <m/>
    <m/>
    <m/>
    <m/>
    <n v="0"/>
    <m/>
    <m/>
    <m/>
    <m/>
    <m/>
    <m/>
    <m/>
    <m/>
    <m/>
    <m/>
    <m/>
    <m/>
    <n v="0"/>
    <n v="320"/>
  </r>
  <r>
    <x v="2"/>
    <x v="6"/>
    <s v="DGT"/>
    <s v="Viviane"/>
    <s v="DGT"/>
    <s v="Viviane"/>
    <s v="DGT"/>
    <s v="NA"/>
    <m/>
    <s v="Saldo Transmissão (Projeto AR - P21 - Execução de 2 Muros de Arrimo que foi executado na Distribuidora devido à urgência de excecução em 2019 e falta de recursos na Transmissão)"/>
    <m/>
    <m/>
    <m/>
    <n v="0"/>
    <n v="0"/>
    <n v="0"/>
    <n v="0"/>
    <n v="0"/>
    <n v="0"/>
    <n v="0"/>
    <n v="0"/>
    <m/>
    <m/>
    <m/>
    <m/>
    <n v="0"/>
    <m/>
    <m/>
    <m/>
    <m/>
    <m/>
    <m/>
    <m/>
    <m/>
    <m/>
    <m/>
    <m/>
    <m/>
    <n v="0"/>
    <m/>
    <m/>
    <m/>
    <m/>
    <m/>
    <m/>
    <m/>
    <m/>
    <m/>
    <m/>
    <m/>
    <m/>
    <n v="0"/>
    <m/>
    <m/>
    <m/>
    <m/>
    <m/>
    <n v="320"/>
    <m/>
    <m/>
    <m/>
    <m/>
    <m/>
    <m/>
    <n v="320"/>
    <m/>
    <m/>
    <m/>
    <m/>
    <m/>
    <m/>
    <m/>
    <m/>
    <m/>
    <m/>
    <m/>
    <m/>
    <n v="0"/>
    <n v="320"/>
  </r>
  <r>
    <x v="2"/>
    <x v="7"/>
    <s v="SC"/>
    <s v="Ormindo Coutinho Filho"/>
    <s v="SC"/>
    <s v="Ormindo Coutinho Filho"/>
    <s v="DGE"/>
    <s v="NA"/>
    <m/>
    <s v="Substituição de Veículos da Diretoria Executiva - Transmissão"/>
    <s v="Renovação da frota de veículos da Diretoria Executiva - Transmiss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n v="0"/>
    <n v="0"/>
    <n v="0"/>
    <n v="0"/>
    <n v="0"/>
    <n v="0"/>
    <n v="0"/>
    <m/>
    <m/>
    <m/>
    <m/>
    <n v="0"/>
    <m/>
    <m/>
    <m/>
    <m/>
    <m/>
    <m/>
    <n v="105.44"/>
    <m/>
    <m/>
    <m/>
    <m/>
    <m/>
    <n v="105.44"/>
    <m/>
    <m/>
    <m/>
    <m/>
    <m/>
    <m/>
    <m/>
    <m/>
    <m/>
    <m/>
    <m/>
    <m/>
    <n v="0"/>
    <m/>
    <m/>
    <m/>
    <m/>
    <m/>
    <m/>
    <m/>
    <m/>
    <m/>
    <m/>
    <m/>
    <m/>
    <n v="0"/>
    <m/>
    <m/>
    <m/>
    <m/>
    <m/>
    <m/>
    <m/>
    <m/>
    <m/>
    <m/>
    <m/>
    <m/>
    <n v="0"/>
    <n v="105.44"/>
  </r>
  <r>
    <x v="0"/>
    <x v="1"/>
    <s v="SC"/>
    <s v="Rafael Braga"/>
    <s v="SC"/>
    <s v="Rafael Braga"/>
    <s v="DGE"/>
    <s v="GE00214"/>
    <s v="INFR.342.00414"/>
    <s v="2017 - Aquisição de Bebedouro e Itens 10 e 13 do PC 4500029072 Seal Telecom"/>
    <s v="2017 - Aquisição de Bebedouro e Itens 10 e 13 do PC 4500029072 Seal Telecom"/>
    <s v="2017 - Aquisição de Bebedouro e Itens 10 e 13 do PC 4500029072 Seal Telecom"/>
    <m/>
    <n v="0"/>
    <n v="0"/>
    <n v="1.7749999761581421"/>
    <n v="0"/>
    <n v="0"/>
    <n v="6.4369101524353027"/>
    <n v="-15.126480102539063"/>
    <n v="0"/>
    <m/>
    <m/>
    <m/>
    <n v="6.9145699739456177"/>
    <n v="6.9145699739456177"/>
    <m/>
    <m/>
    <m/>
    <m/>
    <m/>
    <m/>
    <m/>
    <m/>
    <m/>
    <m/>
    <m/>
    <m/>
    <n v="0"/>
    <m/>
    <m/>
    <m/>
    <m/>
    <m/>
    <m/>
    <m/>
    <m/>
    <m/>
    <m/>
    <m/>
    <m/>
    <n v="0"/>
    <m/>
    <m/>
    <m/>
    <m/>
    <m/>
    <m/>
    <m/>
    <m/>
    <m/>
    <m/>
    <m/>
    <m/>
    <n v="0"/>
    <m/>
    <m/>
    <m/>
    <m/>
    <m/>
    <m/>
    <m/>
    <m/>
    <m/>
    <m/>
    <m/>
    <m/>
    <n v="0"/>
    <n v="6.9145699739456177"/>
  </r>
  <r>
    <x v="0"/>
    <x v="1"/>
    <s v="SC"/>
    <s v="Mariana Tanure"/>
    <s v="SC"/>
    <s v="Mariana Tanure"/>
    <s v="DGE"/>
    <s v="CD00215"/>
    <s v="PIGD.15.687.O1.GE"/>
    <s v="2017 - Prestobat - Itens 1 e 3 do Pedido de compras 4500029427 – 27 aparelhos de ar condicionado"/>
    <s v="2017 - Prestobat - Itens 1 e 3 do Pedido de compras 4500029427 – 27 aparelhos de ar condicionado"/>
    <s v="2017 - Prestobat - Itens 1 e 3 do Pedido de compras 4500029427 – 27 aparelhos de ar condicionado"/>
    <m/>
    <n v="0"/>
    <n v="0"/>
    <n v="54.296999216079712"/>
    <n v="0"/>
    <n v="0"/>
    <n v="0"/>
    <n v="0"/>
    <n v="0"/>
    <m/>
    <m/>
    <m/>
    <m/>
    <n v="0"/>
    <m/>
    <m/>
    <m/>
    <m/>
    <m/>
    <m/>
    <m/>
    <m/>
    <m/>
    <m/>
    <m/>
    <m/>
    <n v="0"/>
    <m/>
    <m/>
    <m/>
    <m/>
    <m/>
    <m/>
    <m/>
    <m/>
    <m/>
    <m/>
    <m/>
    <m/>
    <n v="0"/>
    <m/>
    <m/>
    <m/>
    <m/>
    <m/>
    <m/>
    <m/>
    <m/>
    <m/>
    <m/>
    <m/>
    <m/>
    <n v="0"/>
    <m/>
    <m/>
    <m/>
    <m/>
    <m/>
    <m/>
    <m/>
    <m/>
    <m/>
    <m/>
    <m/>
    <m/>
    <n v="0"/>
    <n v="0"/>
  </r>
  <r>
    <x v="0"/>
    <x v="1"/>
    <s v="SC"/>
    <s v="Flávio Henrique Silva Rosário"/>
    <s v="SC"/>
    <s v="Flávio Henrique Silva Rosário"/>
    <s v="DGE"/>
    <s v="NA"/>
    <m/>
    <s v="Aquisição de baterias para os Nobreaks dos Edifícios Júlio Soares e Aureliano Chaves"/>
    <s v="Aquisição de baterias para os Nobreaks, que possuem vida útil média de 5 anos e precisam ser substituídas de periodicamente."/>
    <s v="Falha completa dos nobreaks, o que pode provocar interrupção no fornecimento de energia para áreas críticas da empresa, como COS, COD e TI, e consequentemente, diversos prejuízos em falhas operacionais e multas no Sistema Elétrica da Cemig."/>
    <m/>
    <n v="0"/>
    <n v="0"/>
    <n v="0"/>
    <n v="0"/>
    <n v="0"/>
    <n v="0"/>
    <n v="0"/>
    <n v="0"/>
    <m/>
    <m/>
    <m/>
    <m/>
    <n v="0"/>
    <m/>
    <m/>
    <m/>
    <m/>
    <m/>
    <m/>
    <m/>
    <m/>
    <m/>
    <m/>
    <m/>
    <m/>
    <n v="0"/>
    <m/>
    <m/>
    <m/>
    <m/>
    <m/>
    <m/>
    <m/>
    <m/>
    <m/>
    <m/>
    <m/>
    <m/>
    <n v="0"/>
    <m/>
    <m/>
    <m/>
    <m/>
    <m/>
    <m/>
    <m/>
    <m/>
    <n v="200"/>
    <m/>
    <m/>
    <m/>
    <n v="200"/>
    <m/>
    <m/>
    <m/>
    <m/>
    <m/>
    <m/>
    <m/>
    <m/>
    <n v="600"/>
    <m/>
    <m/>
    <m/>
    <n v="600"/>
    <n v="800"/>
  </r>
  <r>
    <x v="0"/>
    <x v="1"/>
    <s v="SC"/>
    <s v="Flávio Henrique Silva Rosário"/>
    <s v="SC"/>
    <s v="Flávio Henrique Silva Rosário"/>
    <s v="DGE"/>
    <s v="NA"/>
    <m/>
    <s v="Aquisição de Bebedouros CEMIG"/>
    <s v="Aquisição de Bebedouros para várias unidades da Cemig."/>
    <s v="Dificuldade no fornecimento de bebedouros para as instalações da Cemig e consequentemente, no fornecimento de água para os funcionários conforme normas regulamentadores."/>
    <m/>
    <n v="0"/>
    <n v="0"/>
    <n v="0"/>
    <n v="0"/>
    <n v="0"/>
    <n v="0"/>
    <n v="0"/>
    <n v="0"/>
    <m/>
    <m/>
    <m/>
    <m/>
    <n v="0"/>
    <m/>
    <m/>
    <m/>
    <m/>
    <m/>
    <m/>
    <m/>
    <m/>
    <n v="25"/>
    <m/>
    <m/>
    <m/>
    <n v="25"/>
    <m/>
    <m/>
    <m/>
    <m/>
    <m/>
    <m/>
    <m/>
    <m/>
    <n v="25"/>
    <m/>
    <m/>
    <m/>
    <n v="25"/>
    <m/>
    <m/>
    <m/>
    <m/>
    <m/>
    <m/>
    <m/>
    <m/>
    <n v="25"/>
    <m/>
    <m/>
    <m/>
    <n v="25"/>
    <m/>
    <m/>
    <m/>
    <m/>
    <m/>
    <m/>
    <m/>
    <m/>
    <n v="25"/>
    <m/>
    <m/>
    <m/>
    <n v="25"/>
    <n v="100"/>
  </r>
  <r>
    <x v="0"/>
    <x v="1"/>
    <s v="SC"/>
    <s v="Flávio Henrique Silva Rosário"/>
    <s v="SC"/>
    <s v="Flávio Henrique Silva Rosário"/>
    <s v="DGE"/>
    <s v="SC00818"/>
    <s v="INFR.342.03118"/>
    <s v="Aquisição de carrinho para a cozinha da Diretoria"/>
    <s v="Aquisição de carrinho para a cozinha da Diretoria visando melhorar a infraestrutura da cozinha e dos serviços prestados à Diretoria"/>
    <s v="Queda na qualidade do atendimento à Diretoria"/>
    <m/>
    <n v="0"/>
    <n v="0"/>
    <n v="0"/>
    <n v="0"/>
    <n v="0"/>
    <n v="0"/>
    <n v="0"/>
    <n v="2.8900001049041748"/>
    <m/>
    <m/>
    <m/>
    <n v="3.6099998950958252"/>
    <n v="6.5"/>
    <m/>
    <m/>
    <m/>
    <m/>
    <m/>
    <m/>
    <m/>
    <m/>
    <m/>
    <m/>
    <m/>
    <m/>
    <n v="0"/>
    <m/>
    <m/>
    <m/>
    <m/>
    <m/>
    <m/>
    <m/>
    <m/>
    <m/>
    <m/>
    <m/>
    <m/>
    <n v="0"/>
    <m/>
    <m/>
    <m/>
    <m/>
    <m/>
    <m/>
    <m/>
    <m/>
    <m/>
    <m/>
    <m/>
    <m/>
    <n v="0"/>
    <m/>
    <m/>
    <m/>
    <m/>
    <m/>
    <m/>
    <m/>
    <m/>
    <m/>
    <m/>
    <m/>
    <m/>
    <n v="0"/>
    <n v="6.5"/>
  </r>
  <r>
    <x v="0"/>
    <x v="1"/>
    <s v="SC"/>
    <s v="Daniel Bretas (31-35062945)"/>
    <s v="SC"/>
    <s v="Daniel Bretas (31-35062945)"/>
    <s v="DGE"/>
    <s v="NA"/>
    <m/>
    <s v="AQUISIÇÃO DE ELETRODOMÉSTICOS"/>
    <s v="AQUISIÇÃO DE 18 ELETRODOMÉSTICOS (REFRIGERADORES E FOGÕES) PARA REGIONAIS DA DGE - INSTALAÇÕES DA CEMIG D"/>
    <s v="• Aumento nos custos de manutenção (despesa operacional), uma vez que os atuais equipamentos obsoletos são submetidos e reiterados consertos"/>
    <m/>
    <n v="0"/>
    <n v="0"/>
    <n v="0"/>
    <n v="0"/>
    <n v="0"/>
    <n v="0"/>
    <n v="0"/>
    <n v="0"/>
    <m/>
    <m/>
    <m/>
    <m/>
    <n v="0"/>
    <m/>
    <m/>
    <m/>
    <m/>
    <m/>
    <m/>
    <m/>
    <m/>
    <m/>
    <m/>
    <m/>
    <m/>
    <n v="0"/>
    <m/>
    <m/>
    <m/>
    <m/>
    <m/>
    <m/>
    <m/>
    <m/>
    <m/>
    <m/>
    <m/>
    <m/>
    <n v="0"/>
    <m/>
    <m/>
    <m/>
    <m/>
    <m/>
    <m/>
    <m/>
    <m/>
    <m/>
    <m/>
    <m/>
    <n v="20"/>
    <n v="20"/>
    <m/>
    <m/>
    <m/>
    <m/>
    <m/>
    <n v="20"/>
    <m/>
    <m/>
    <m/>
    <m/>
    <m/>
    <m/>
    <n v="20"/>
    <n v="40"/>
  </r>
  <r>
    <x v="0"/>
    <x v="1"/>
    <s v="SC"/>
    <s v="Flávio Henrique Silva Rosário/ Daniel Bretas"/>
    <s v="SC"/>
    <s v="Flávio Henrique Silva Rosário/ Daniel Bretas"/>
    <s v="DGE"/>
    <s v="NA"/>
    <m/>
    <s v="Aquisição de Equipamento Geral - Ar Condicionado, Bebedouro, Projetor e Microondas - Distribuição - NA"/>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s v="Alongamento da curva de desembolso, para atendimento à demanda financeira da empresa."/>
    <n v="0"/>
    <n v="0"/>
    <n v="0"/>
    <n v="0"/>
    <n v="0"/>
    <n v="0"/>
    <n v="0"/>
    <n v="0"/>
    <m/>
    <m/>
    <m/>
    <m/>
    <n v="0"/>
    <m/>
    <m/>
    <m/>
    <m/>
    <m/>
    <m/>
    <m/>
    <n v="200"/>
    <m/>
    <m/>
    <m/>
    <m/>
    <n v="200"/>
    <m/>
    <m/>
    <m/>
    <m/>
    <m/>
    <m/>
    <m/>
    <n v="200"/>
    <m/>
    <m/>
    <m/>
    <m/>
    <n v="200"/>
    <m/>
    <m/>
    <m/>
    <m/>
    <m/>
    <m/>
    <m/>
    <m/>
    <n v="200"/>
    <m/>
    <m/>
    <n v="0"/>
    <n v="200"/>
    <m/>
    <m/>
    <m/>
    <m/>
    <m/>
    <m/>
    <m/>
    <n v="402"/>
    <m/>
    <m/>
    <m/>
    <m/>
    <n v="402"/>
    <n v="1002"/>
  </r>
  <r>
    <x v="0"/>
    <x v="1"/>
    <s v="SC"/>
    <s v="Flávio Henrique Silva Rosário/ Daniel Bretas"/>
    <s v="SC"/>
    <s v="Flávio Henrique Silva Rosário/ Daniel Bretas"/>
    <s v="DGE"/>
    <s v="SC00418"/>
    <s v="INFR.342.01618"/>
    <s v="Aquisição de Equipamento Geral - Ar Condicionado, Bebedouro, Projetor e Microondas - Distribuição - SC00418"/>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m/>
    <n v="0"/>
    <n v="0"/>
    <n v="0"/>
    <n v="0"/>
    <n v="0"/>
    <n v="12.800000190734863"/>
    <n v="12.51200008392334"/>
    <n v="53.306400299072266"/>
    <n v="10"/>
    <m/>
    <m/>
    <n v="64.381599426269446"/>
    <n v="127.68799972534171"/>
    <m/>
    <m/>
    <m/>
    <m/>
    <m/>
    <m/>
    <m/>
    <m/>
    <m/>
    <m/>
    <m/>
    <m/>
    <n v="0"/>
    <m/>
    <m/>
    <m/>
    <m/>
    <m/>
    <m/>
    <m/>
    <m/>
    <m/>
    <m/>
    <m/>
    <m/>
    <n v="0"/>
    <m/>
    <m/>
    <m/>
    <m/>
    <m/>
    <m/>
    <m/>
    <m/>
    <m/>
    <m/>
    <m/>
    <m/>
    <n v="0"/>
    <m/>
    <m/>
    <m/>
    <m/>
    <m/>
    <m/>
    <m/>
    <m/>
    <m/>
    <m/>
    <m/>
    <m/>
    <n v="0"/>
    <n v="127.68799972534171"/>
  </r>
  <r>
    <x v="0"/>
    <x v="1"/>
    <s v="SC"/>
    <s v="Rogério Elias"/>
    <s v="SC"/>
    <s v="Rogério Elias"/>
    <s v="DGE"/>
    <s v="NA"/>
    <m/>
    <s v="Aquisição de mobiliário para atender ao Estudo Estratégico de Ativos (EEA)"/>
    <s v="Aquisição de mobiliário para atender cidades do interior do estado para otimização da ocupação predial, dando suporte ao Estudo Estratégico de Ativos"/>
    <s v="Aumento da área construída para viabilizar a liberação de um imóvel."/>
    <m/>
    <n v="0"/>
    <n v="0"/>
    <n v="0"/>
    <n v="0"/>
    <n v="0"/>
    <n v="0"/>
    <n v="0"/>
    <n v="0"/>
    <m/>
    <m/>
    <m/>
    <m/>
    <n v="0"/>
    <m/>
    <m/>
    <m/>
    <m/>
    <m/>
    <m/>
    <m/>
    <m/>
    <m/>
    <m/>
    <n v="0"/>
    <m/>
    <n v="0"/>
    <m/>
    <m/>
    <m/>
    <m/>
    <m/>
    <m/>
    <m/>
    <m/>
    <m/>
    <m/>
    <n v="63"/>
    <m/>
    <n v="63"/>
    <m/>
    <m/>
    <m/>
    <m/>
    <m/>
    <m/>
    <m/>
    <m/>
    <m/>
    <m/>
    <n v="74"/>
    <m/>
    <n v="74"/>
    <m/>
    <m/>
    <m/>
    <m/>
    <m/>
    <m/>
    <m/>
    <m/>
    <m/>
    <m/>
    <m/>
    <n v="100"/>
    <n v="100"/>
    <n v="237"/>
  </r>
  <r>
    <x v="0"/>
    <x v="1"/>
    <s v="SC"/>
    <s v="Rogério Elias"/>
    <s v="SC"/>
    <s v="Rogério Elias"/>
    <s v="DGE"/>
    <s v="NA"/>
    <m/>
    <s v="Aquisição de mobiliário para atendimento cliente interno D"/>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n v="0"/>
    <n v="0"/>
    <n v="0"/>
    <n v="0"/>
    <n v="0"/>
    <n v="0"/>
    <n v="0"/>
    <m/>
    <m/>
    <m/>
    <m/>
    <n v="0"/>
    <m/>
    <m/>
    <m/>
    <m/>
    <m/>
    <m/>
    <m/>
    <m/>
    <m/>
    <m/>
    <n v="50"/>
    <m/>
    <n v="50"/>
    <m/>
    <m/>
    <m/>
    <m/>
    <m/>
    <m/>
    <m/>
    <m/>
    <m/>
    <m/>
    <n v="50"/>
    <m/>
    <n v="50"/>
    <m/>
    <m/>
    <m/>
    <m/>
    <m/>
    <m/>
    <m/>
    <m/>
    <m/>
    <m/>
    <n v="50"/>
    <m/>
    <n v="50"/>
    <m/>
    <m/>
    <m/>
    <m/>
    <m/>
    <m/>
    <m/>
    <m/>
    <m/>
    <m/>
    <n v="50"/>
    <m/>
    <n v="50"/>
    <n v="200"/>
  </r>
  <r>
    <x v="0"/>
    <x v="1"/>
    <s v="SC"/>
    <s v="Flávio Henrique Silva Rosário"/>
    <s v="SC"/>
    <s v="Flávio Henrique Silva Rosário"/>
    <s v="DGE"/>
    <s v="NA"/>
    <m/>
    <s v="Aquisição de Sistema de Proteção contra Descargas Atmosféricas (SPDA)"/>
    <s v="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
    <s v="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
    <m/>
    <n v="0"/>
    <n v="0"/>
    <n v="0"/>
    <n v="0"/>
    <n v="0"/>
    <n v="0"/>
    <n v="0"/>
    <n v="0"/>
    <m/>
    <m/>
    <m/>
    <m/>
    <n v="0"/>
    <m/>
    <m/>
    <m/>
    <m/>
    <m/>
    <m/>
    <m/>
    <m/>
    <n v="100"/>
    <m/>
    <m/>
    <m/>
    <n v="100"/>
    <m/>
    <m/>
    <m/>
    <m/>
    <m/>
    <m/>
    <m/>
    <m/>
    <n v="100"/>
    <m/>
    <m/>
    <m/>
    <n v="100"/>
    <m/>
    <m/>
    <m/>
    <m/>
    <m/>
    <m/>
    <m/>
    <m/>
    <n v="100"/>
    <m/>
    <m/>
    <m/>
    <n v="100"/>
    <m/>
    <m/>
    <m/>
    <m/>
    <m/>
    <m/>
    <m/>
    <m/>
    <m/>
    <m/>
    <m/>
    <m/>
    <n v="0"/>
    <n v="300"/>
  </r>
  <r>
    <x v="0"/>
    <x v="1"/>
    <s v="SC"/>
    <s v="Flávio Henrique Silva Rosário"/>
    <s v="SC"/>
    <s v="Flávio Henrique Silva Rosário"/>
    <s v="DGE"/>
    <s v="SC00618"/>
    <s v="INFR.342.02418"/>
    <s v="Aquisição de Sistema multiponto RPCS VE  Equipado para 40 conexões HD ou 80 conexões SD "/>
    <s v="Aquisição de um sistema conexão multiponto para modernização e ampliação e substituição da unidade MCU - MGC 10,0 em utilização atualmente no sistema de videoconferência da Cemig."/>
    <s v="Impossibilidade de conexão entre todos os terminais de sistema de videoconferência. Negativa do fafricante Polycom, em prestar manutenção corretiva na MGC 100, por se tratar de equipamento ultrapassado e sem peças de reposição."/>
    <s v="Orçamento de mercado superior ao previsto em função de variação do dólar. O desembolso ocorre na entrega do pagamento, logo houve antecipação."/>
    <n v="0"/>
    <n v="0"/>
    <n v="0"/>
    <n v="0"/>
    <n v="0"/>
    <n v="0"/>
    <n v="0"/>
    <n v="0"/>
    <m/>
    <m/>
    <m/>
    <n v="1209"/>
    <n v="1209"/>
    <m/>
    <m/>
    <m/>
    <m/>
    <m/>
    <m/>
    <m/>
    <m/>
    <m/>
    <m/>
    <m/>
    <m/>
    <n v="0"/>
    <m/>
    <m/>
    <m/>
    <m/>
    <m/>
    <m/>
    <m/>
    <m/>
    <n v="196"/>
    <m/>
    <m/>
    <m/>
    <n v="196"/>
    <m/>
    <m/>
    <m/>
    <m/>
    <m/>
    <m/>
    <m/>
    <m/>
    <n v="0"/>
    <m/>
    <m/>
    <m/>
    <n v="0"/>
    <m/>
    <m/>
    <m/>
    <m/>
    <m/>
    <m/>
    <m/>
    <m/>
    <m/>
    <m/>
    <m/>
    <m/>
    <n v="0"/>
    <n v="1405"/>
  </r>
  <r>
    <x v="0"/>
    <x v="1"/>
    <s v="SC"/>
    <s v="Flávio Henrique Silva Rosário"/>
    <s v="SC"/>
    <s v="Flávio Henrique Silva Rosário"/>
    <s v="DGE"/>
    <s v="NA"/>
    <m/>
    <s v="Aquisição de Subestação Predial para o Quarteirão 14"/>
    <s v="Aquisição de equipamentos para as subestações dos prédios do Quarteirão 14."/>
    <s v="Caso os equipamentos entrem em falha, há risco de interrupção no fornecimento de energia, acidentes e incêndio nas edificações envolvidas. Há também riscos de multas por parte da Aneel pelas irregularidades nas medições de energia."/>
    <m/>
    <n v="0"/>
    <n v="0"/>
    <n v="0"/>
    <n v="0"/>
    <n v="0"/>
    <n v="0"/>
    <n v="0"/>
    <n v="0"/>
    <m/>
    <m/>
    <m/>
    <m/>
    <n v="0"/>
    <m/>
    <m/>
    <m/>
    <m/>
    <m/>
    <m/>
    <m/>
    <m/>
    <n v="100"/>
    <m/>
    <m/>
    <m/>
    <n v="100"/>
    <m/>
    <m/>
    <m/>
    <m/>
    <m/>
    <m/>
    <m/>
    <m/>
    <n v="100"/>
    <n v="100"/>
    <m/>
    <m/>
    <n v="200"/>
    <m/>
    <m/>
    <m/>
    <m/>
    <m/>
    <m/>
    <m/>
    <m/>
    <n v="100"/>
    <m/>
    <m/>
    <m/>
    <n v="100"/>
    <m/>
    <m/>
    <m/>
    <m/>
    <m/>
    <m/>
    <m/>
    <m/>
    <m/>
    <m/>
    <m/>
    <m/>
    <n v="0"/>
    <n v="400"/>
  </r>
  <r>
    <x v="0"/>
    <x v="1"/>
    <s v="SC"/>
    <s v="Mariana Tanure"/>
    <s v="SC"/>
    <s v="Mariana Tanure"/>
    <s v="DGE"/>
    <s v="SC00518"/>
    <s v="INFR.342.02118"/>
    <s v="AQUISIÇÃO EXTINTORES DE INCÊNDIO - SE's CEMIG D-REGIONAIS LESTE E VALE DO AÇO "/>
    <m/>
    <m/>
    <m/>
    <n v="0"/>
    <n v="0"/>
    <n v="0"/>
    <n v="0"/>
    <n v="0"/>
    <n v="0"/>
    <n v="0"/>
    <n v="0"/>
    <m/>
    <n v="23.331"/>
    <m/>
    <m/>
    <n v="23.331"/>
    <m/>
    <m/>
    <m/>
    <m/>
    <m/>
    <m/>
    <m/>
    <m/>
    <m/>
    <m/>
    <m/>
    <m/>
    <n v="0"/>
    <m/>
    <m/>
    <m/>
    <m/>
    <m/>
    <m/>
    <m/>
    <m/>
    <m/>
    <m/>
    <m/>
    <m/>
    <n v="0"/>
    <m/>
    <m/>
    <m/>
    <m/>
    <m/>
    <m/>
    <m/>
    <m/>
    <m/>
    <m/>
    <m/>
    <m/>
    <n v="0"/>
    <m/>
    <m/>
    <m/>
    <m/>
    <m/>
    <m/>
    <m/>
    <m/>
    <m/>
    <m/>
    <m/>
    <m/>
    <n v="0"/>
    <n v="23.331"/>
  </r>
  <r>
    <x v="0"/>
    <x v="1"/>
    <s v="SC"/>
    <s v="Flávio Henrique Silva Rosário"/>
    <s v="SC"/>
    <s v="Flávio Henrique Silva Rosário"/>
    <s v="DGE"/>
    <s v="SC00118"/>
    <s v="INFR.342.00418"/>
    <s v="CDI - Sete Lagoas - Execução de bacia de contenção coberta"/>
    <s v="Obra de bacia de contenção em concreto armado impermeabilizada com cobertura e fechamento lateral metálicos"/>
    <s v="Contaminação do solo por óleo; passivo ambiental"/>
    <s v="É necessário contratação de projeto executivo para realização de obras. O projeto está previsto para 2018. No entanto, a obra será desembolsada em 2019."/>
    <n v="0"/>
    <n v="0"/>
    <n v="0"/>
    <n v="0"/>
    <n v="0"/>
    <n v="0"/>
    <n v="0"/>
    <n v="0"/>
    <m/>
    <n v="7"/>
    <n v="3"/>
    <n v="20"/>
    <n v="30"/>
    <m/>
    <m/>
    <m/>
    <m/>
    <m/>
    <m/>
    <m/>
    <m/>
    <n v="55"/>
    <n v="100"/>
    <n v="55"/>
    <m/>
    <n v="210"/>
    <m/>
    <m/>
    <m/>
    <m/>
    <m/>
    <m/>
    <m/>
    <m/>
    <m/>
    <m/>
    <m/>
    <m/>
    <n v="0"/>
    <m/>
    <m/>
    <m/>
    <m/>
    <m/>
    <m/>
    <m/>
    <m/>
    <m/>
    <m/>
    <m/>
    <m/>
    <n v="0"/>
    <m/>
    <m/>
    <m/>
    <m/>
    <m/>
    <m/>
    <m/>
    <m/>
    <m/>
    <m/>
    <m/>
    <m/>
    <n v="0"/>
    <n v="240"/>
  </r>
  <r>
    <x v="0"/>
    <x v="1"/>
    <s v="SC"/>
    <s v="Flávio Henrique Silva Rosário"/>
    <s v="SC"/>
    <s v="Flávio Henrique Silva Rosário"/>
    <s v="DGE"/>
    <s v="SC00117"/>
    <s v="INFR.342.00117"/>
    <s v="CDI - Sete Lagoas - Execução de reforço do talude e obra de drenagem"/>
    <s v="Reforço do talude, demolição da escada externa e reforma do sistema de drenagem no CDI-Sete Lagoas"/>
    <s v="Queda da caixa de escada; desmoronamento do talude em que os caminhões de linha viva estacionam; transbordamento do sistema de drenagem pluvial e alagamento do pátio de estacionamento externo; enxurradas em épocas de chuva"/>
    <s v="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
    <n v="0"/>
    <n v="0"/>
    <n v="0"/>
    <n v="0"/>
    <n v="0"/>
    <n v="0"/>
    <n v="0"/>
    <n v="0"/>
    <m/>
    <m/>
    <n v="52"/>
    <m/>
    <n v="52"/>
    <m/>
    <m/>
    <m/>
    <m/>
    <m/>
    <m/>
    <m/>
    <m/>
    <n v="50"/>
    <n v="100"/>
    <n v="48"/>
    <m/>
    <n v="198"/>
    <m/>
    <m/>
    <m/>
    <m/>
    <m/>
    <m/>
    <m/>
    <m/>
    <m/>
    <m/>
    <m/>
    <m/>
    <n v="0"/>
    <m/>
    <m/>
    <m/>
    <m/>
    <m/>
    <m/>
    <m/>
    <m/>
    <m/>
    <m/>
    <m/>
    <m/>
    <n v="0"/>
    <m/>
    <m/>
    <m/>
    <m/>
    <m/>
    <m/>
    <m/>
    <m/>
    <m/>
    <m/>
    <m/>
    <m/>
    <n v="0"/>
    <n v="250"/>
  </r>
  <r>
    <x v="0"/>
    <x v="1"/>
    <s v="SC"/>
    <s v="Ian Garcia"/>
    <s v="SC"/>
    <s v="Ian Garcia"/>
    <s v="DGE"/>
    <s v="NA"/>
    <m/>
    <s v="Controle de Acesso - AR"/>
    <s v="Instalação de catracas na entrada principal e P21 do AR (depende do projeto de Infra._x000a_Infraestrutura para implantação de controle de acesso - AR_x000a_Instalação de infraestrutura para recebimento de controle de acesso no AR - Projeto elaborado_x000a_"/>
    <s v="Perda do controle da pontualidade dos empregados. Dificuldade no controle do fluxo de pessoas na unidade._x000a_Impossibilidade de implantação  do sistema eletrônico de controle de acesso. Dificuldade no controle do fluxo de pessoas na unidade."/>
    <s v="Alongamento da curva de desembolso, para atendimento à demanda financeira da empresa em conjunto com dificuldade de rastreamento do projeto, devido a desligamento de empregado pelo PDVP sem gestão do conhecimento."/>
    <n v="0"/>
    <n v="0"/>
    <n v="0"/>
    <n v="0"/>
    <n v="0"/>
    <n v="0"/>
    <n v="0"/>
    <n v="0"/>
    <m/>
    <m/>
    <m/>
    <m/>
    <n v="0"/>
    <m/>
    <m/>
    <m/>
    <m/>
    <m/>
    <m/>
    <m/>
    <m/>
    <m/>
    <m/>
    <m/>
    <m/>
    <n v="0"/>
    <m/>
    <m/>
    <m/>
    <m/>
    <m/>
    <m/>
    <m/>
    <n v="60"/>
    <n v="60"/>
    <n v="60"/>
    <m/>
    <m/>
    <n v="180"/>
    <m/>
    <m/>
    <m/>
    <m/>
    <m/>
    <m/>
    <m/>
    <n v="60"/>
    <n v="60"/>
    <n v="60"/>
    <m/>
    <m/>
    <n v="180"/>
    <m/>
    <m/>
    <m/>
    <m/>
    <m/>
    <m/>
    <m/>
    <n v="60"/>
    <n v="60"/>
    <n v="60"/>
    <m/>
    <m/>
    <n v="180"/>
    <n v="540"/>
  </r>
  <r>
    <x v="0"/>
    <x v="1"/>
    <s v="SC"/>
    <s v="Ian Garcia"/>
    <s v="SC"/>
    <s v="Ian Garcia"/>
    <s v="DGE"/>
    <s v="NA"/>
    <m/>
    <s v="Controle de acesso Interior"/>
    <s v="Instalar catracas e controle de acesso nos prédios da Cemig localizados no interior do Estado"/>
    <s v="Dificuldade no controle e identificação de pessoas e, circulação no interior das unidades do interior."/>
    <s v="Cancelamento do projeto, devido a nova iniciativa que vem a substituir sua demanda. Previsto recurso mais baixo para aquisição de catraca para reposição em interiores, até a implantação total do projeto."/>
    <n v="0"/>
    <n v="0"/>
    <n v="0"/>
    <n v="0"/>
    <n v="0"/>
    <n v="0"/>
    <n v="0"/>
    <n v="0"/>
    <m/>
    <n v="0"/>
    <n v="0"/>
    <m/>
    <n v="0"/>
    <m/>
    <m/>
    <m/>
    <m/>
    <m/>
    <n v="60"/>
    <m/>
    <m/>
    <m/>
    <m/>
    <m/>
    <m/>
    <n v="60"/>
    <m/>
    <m/>
    <m/>
    <m/>
    <m/>
    <m/>
    <n v="60"/>
    <m/>
    <m/>
    <m/>
    <m/>
    <m/>
    <n v="60"/>
    <m/>
    <m/>
    <m/>
    <m/>
    <m/>
    <n v="60"/>
    <m/>
    <m/>
    <m/>
    <m/>
    <m/>
    <m/>
    <n v="60"/>
    <m/>
    <m/>
    <m/>
    <m/>
    <m/>
    <m/>
    <m/>
    <m/>
    <m/>
    <m/>
    <m/>
    <n v="15"/>
    <n v="15"/>
    <n v="195"/>
  </r>
  <r>
    <x v="0"/>
    <x v="1"/>
    <s v="SC"/>
    <s v="Flávio Henrique Silva Rosário"/>
    <s v="SC"/>
    <s v="Flávio Henrique Silva Rosário"/>
    <s v="DGE"/>
    <s v="SC01318"/>
    <s v="INFR.342.03618"/>
    <s v="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n v="0"/>
    <n v="0"/>
    <n v="0"/>
    <n v="0"/>
    <n v="0"/>
    <n v="0"/>
    <n v="0"/>
    <m/>
    <m/>
    <m/>
    <n v="40"/>
    <n v="40"/>
    <m/>
    <m/>
    <m/>
    <m/>
    <m/>
    <m/>
    <m/>
    <m/>
    <m/>
    <m/>
    <m/>
    <n v="120"/>
    <n v="120"/>
    <m/>
    <m/>
    <m/>
    <m/>
    <m/>
    <m/>
    <m/>
    <n v="45.5"/>
    <m/>
    <m/>
    <m/>
    <m/>
    <n v="45.5"/>
    <m/>
    <m/>
    <m/>
    <m/>
    <m/>
    <m/>
    <m/>
    <n v="39"/>
    <m/>
    <m/>
    <m/>
    <m/>
    <n v="39"/>
    <m/>
    <m/>
    <m/>
    <m/>
    <m/>
    <m/>
    <m/>
    <n v="39.540319137769984"/>
    <m/>
    <m/>
    <m/>
    <m/>
    <n v="39.540319137769984"/>
    <n v="284.04031913776998"/>
  </r>
  <r>
    <x v="0"/>
    <x v="1"/>
    <s v="SC"/>
    <s v="Ian Garcia"/>
    <s v="SC"/>
    <s v="Ian Garcia"/>
    <s v="DGE"/>
    <s v="NA"/>
    <m/>
    <s v="Implantação de Cancelas com acesso eletrônico e registro de veículos no edif. Julio Soares"/>
    <s v="Automatizar controle de entrada e saida de veículos da sede"/>
    <s v="Permanencia de controles manuais não precisos. Histórico comprometido."/>
    <m/>
    <n v="0"/>
    <n v="0"/>
    <n v="0"/>
    <n v="0"/>
    <n v="0"/>
    <n v="0"/>
    <n v="0"/>
    <n v="0"/>
    <m/>
    <m/>
    <m/>
    <m/>
    <n v="0"/>
    <m/>
    <m/>
    <m/>
    <m/>
    <m/>
    <m/>
    <m/>
    <m/>
    <m/>
    <m/>
    <m/>
    <m/>
    <n v="0"/>
    <m/>
    <m/>
    <m/>
    <m/>
    <m/>
    <m/>
    <m/>
    <n v="30"/>
    <n v="20"/>
    <m/>
    <m/>
    <m/>
    <n v="50"/>
    <m/>
    <m/>
    <m/>
    <m/>
    <m/>
    <m/>
    <m/>
    <m/>
    <m/>
    <m/>
    <m/>
    <m/>
    <n v="0"/>
    <m/>
    <m/>
    <m/>
    <m/>
    <m/>
    <m/>
    <m/>
    <m/>
    <m/>
    <m/>
    <m/>
    <m/>
    <n v="0"/>
    <n v="50"/>
  </r>
  <r>
    <x v="0"/>
    <x v="1"/>
    <s v="SC"/>
    <s v="Daniel Bretas (31-35062945)"/>
    <s v="SC"/>
    <s v="Daniel Bretas (31-35062945)"/>
    <s v="DGE"/>
    <s v="NA"/>
    <m/>
    <s v="ITAJUBÁ - SUBSTITUIÇÃO DO TELHADO E MADEIRAMENTO DO PRÉDIO"/>
    <s v="SUBSTITUIÇÃO DO TELHADO E MADEIRAMENTO DO PRÉDIO"/>
    <s v="Aumento nos custos de manutenção (despesa operacional), danos a bens da Companhia quando de chuvas e vazamento dentro da instalação, impacto direto no clima organizacional com a insatisfação e reclamação dos empregados"/>
    <m/>
    <n v="0"/>
    <n v="0"/>
    <n v="0"/>
    <n v="0"/>
    <n v="0"/>
    <n v="0"/>
    <n v="0"/>
    <n v="0"/>
    <m/>
    <m/>
    <m/>
    <m/>
    <n v="0"/>
    <m/>
    <m/>
    <m/>
    <m/>
    <m/>
    <m/>
    <m/>
    <m/>
    <m/>
    <m/>
    <m/>
    <m/>
    <n v="0"/>
    <m/>
    <m/>
    <m/>
    <m/>
    <m/>
    <m/>
    <m/>
    <m/>
    <m/>
    <m/>
    <m/>
    <n v="60"/>
    <n v="60"/>
    <m/>
    <m/>
    <m/>
    <m/>
    <m/>
    <m/>
    <m/>
    <m/>
    <m/>
    <m/>
    <m/>
    <m/>
    <n v="0"/>
    <m/>
    <m/>
    <m/>
    <m/>
    <m/>
    <m/>
    <m/>
    <m/>
    <m/>
    <m/>
    <m/>
    <m/>
    <n v="0"/>
    <n v="60"/>
  </r>
  <r>
    <x v="0"/>
    <x v="1"/>
    <s v="SC"/>
    <s v="Daniel Bretas (31-35062945)"/>
    <s v="SC"/>
    <s v="Daniel Bretas (31-35062945)"/>
    <s v="DGE"/>
    <s v="NA"/>
    <m/>
    <s v="JUIZ DE FORA - DRENAGEM DE SOLO E ASFALTAMENTO NA ÁREA DO SERVIÇO DE CAMPO"/>
    <s v="OBRA DE DRENAGEM, SUBSTITUIÇÃO DO ASFALTO EXISTENTE E IMPLANTAÇÃO DE ASFALTO ONDE NÃO HÁ"/>
    <s v="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
    <s v="Alongamento da curva de desembolso, para atendimento à demanda financeira da empresa. Além de necessidade de contratação de projeto anterior a obra, o que traz a necessidade de postergação do valor da obra."/>
    <n v="0"/>
    <n v="0"/>
    <n v="0"/>
    <n v="0"/>
    <n v="0"/>
    <n v="0"/>
    <n v="0"/>
    <n v="0"/>
    <m/>
    <m/>
    <m/>
    <m/>
    <n v="0"/>
    <m/>
    <m/>
    <m/>
    <m/>
    <m/>
    <m/>
    <m/>
    <m/>
    <m/>
    <m/>
    <m/>
    <n v="120"/>
    <n v="120"/>
    <m/>
    <m/>
    <m/>
    <m/>
    <n v="330"/>
    <m/>
    <m/>
    <m/>
    <m/>
    <m/>
    <m/>
    <m/>
    <n v="330"/>
    <m/>
    <m/>
    <m/>
    <m/>
    <m/>
    <m/>
    <m/>
    <m/>
    <m/>
    <m/>
    <m/>
    <m/>
    <n v="0"/>
    <m/>
    <m/>
    <m/>
    <m/>
    <m/>
    <m/>
    <m/>
    <m/>
    <m/>
    <m/>
    <m/>
    <m/>
    <n v="0"/>
    <n v="450"/>
  </r>
  <r>
    <x v="0"/>
    <x v="1"/>
    <s v="SC"/>
    <s v="Flávio Henrique Silva Rosário"/>
    <s v="SC"/>
    <s v="Flávio Henrique Silva Rosário"/>
    <s v="DGE"/>
    <s v="NA"/>
    <m/>
    <s v="Kit para teste de detecção de fumaça "/>
    <s v="Aquisição de equipamentos para testes dos sistemas de alarme e combate a incêndio das edificações."/>
    <s v="Dificuldade na realização das manutenções preventivas nos detectores de fumaça, e aumento na chance de falha desses detectores."/>
    <s v="Projeto em planejamento, desembolso previsto apenas para 2019."/>
    <n v="0"/>
    <n v="0"/>
    <n v="0"/>
    <n v="0"/>
    <n v="0"/>
    <n v="0"/>
    <n v="0"/>
    <n v="0"/>
    <m/>
    <m/>
    <m/>
    <m/>
    <n v="0"/>
    <m/>
    <m/>
    <m/>
    <m/>
    <m/>
    <m/>
    <m/>
    <n v="80"/>
    <m/>
    <m/>
    <m/>
    <m/>
    <n v="80"/>
    <m/>
    <m/>
    <m/>
    <m/>
    <m/>
    <m/>
    <m/>
    <m/>
    <m/>
    <m/>
    <m/>
    <m/>
    <n v="0"/>
    <m/>
    <m/>
    <m/>
    <m/>
    <m/>
    <m/>
    <m/>
    <m/>
    <m/>
    <m/>
    <m/>
    <m/>
    <n v="0"/>
    <m/>
    <m/>
    <m/>
    <m/>
    <m/>
    <m/>
    <m/>
    <m/>
    <m/>
    <m/>
    <m/>
    <m/>
    <n v="0"/>
    <n v="80"/>
  </r>
  <r>
    <x v="0"/>
    <x v="1"/>
    <s v="SC"/>
    <s v="Flávio Henrique Silva Rosário"/>
    <s v="SC"/>
    <s v="Flávio Henrique Silva Rosário"/>
    <s v="DGE"/>
    <s v="NA"/>
    <m/>
    <s v="Q14/P2 e 3 e P2/Adelaide - Obra de recuperação estrutural e instalações"/>
    <s v="Obra de instalação do sistema de combate a incêndio, Sistema de Proteção conta Descargas Atmosféricas - SPDA e substituição de telhado."/>
    <s v="Infiltração do telhado podendo avariar equipamentos e materiais; segurança em relação a combate a incêndio, SPDA e instalações elétricas"/>
    <s v="Alongamento da curva de desembolso, para atendimento à demanda financeira da empresa. Além disso, está sendo elaborada pelo SC ata de registro de preços para obras, a fim de viabilizar execução dos trabalhos a partir de 2018."/>
    <n v="0"/>
    <n v="0"/>
    <n v="0"/>
    <n v="0"/>
    <n v="0"/>
    <n v="0"/>
    <n v="0"/>
    <n v="0"/>
    <m/>
    <m/>
    <m/>
    <m/>
    <n v="0"/>
    <m/>
    <m/>
    <m/>
    <m/>
    <m/>
    <m/>
    <m/>
    <m/>
    <n v="660"/>
    <m/>
    <m/>
    <m/>
    <n v="660"/>
    <n v="124"/>
    <n v="120"/>
    <n v="116"/>
    <n v="100"/>
    <n v="74"/>
    <m/>
    <m/>
    <m/>
    <m/>
    <m/>
    <m/>
    <m/>
    <n v="534"/>
    <m/>
    <m/>
    <m/>
    <m/>
    <n v="320"/>
    <m/>
    <m/>
    <m/>
    <m/>
    <m/>
    <m/>
    <n v="0"/>
    <n v="320"/>
    <m/>
    <m/>
    <m/>
    <m/>
    <m/>
    <m/>
    <m/>
    <m/>
    <m/>
    <m/>
    <m/>
    <n v="0"/>
    <n v="0"/>
    <n v="1514"/>
  </r>
  <r>
    <x v="0"/>
    <x v="1"/>
    <s v="SC"/>
    <s v="Flávio Henrique Silva Rosário"/>
    <s v="SC"/>
    <s v="Flávio Henrique Silva Rosário"/>
    <s v="DGE"/>
    <s v="NA"/>
    <m/>
    <s v="Reforma total e impermeabilização do telhado do imóvel Q3 - Bloco A e B - Agência de Atendimento"/>
    <s v="Desintalação e remoção do telhado existente e troca total por telhado metálico novo e impermeabilização de áreas abertas."/>
    <s v="Infiltração do telhado podendo avariar equipamentos e materiais; segurança em relação a combate a incêndio, SPDA e instalações elétricas"/>
    <m/>
    <n v="0"/>
    <n v="0"/>
    <n v="0"/>
    <n v="0"/>
    <n v="0"/>
    <n v="0"/>
    <n v="0"/>
    <n v="0"/>
    <m/>
    <m/>
    <m/>
    <m/>
    <n v="0"/>
    <n v="10"/>
    <n v="10"/>
    <n v="10"/>
    <m/>
    <m/>
    <m/>
    <m/>
    <m/>
    <m/>
    <m/>
    <m/>
    <m/>
    <n v="30"/>
    <m/>
    <m/>
    <n v="50"/>
    <n v="110"/>
    <n v="155"/>
    <n v="175"/>
    <n v="100"/>
    <n v="50"/>
    <m/>
    <m/>
    <m/>
    <m/>
    <n v="640"/>
    <m/>
    <m/>
    <m/>
    <m/>
    <m/>
    <m/>
    <m/>
    <m/>
    <m/>
    <m/>
    <m/>
    <m/>
    <n v="0"/>
    <m/>
    <m/>
    <m/>
    <m/>
    <m/>
    <m/>
    <m/>
    <m/>
    <m/>
    <m/>
    <m/>
    <m/>
    <n v="0"/>
    <n v="670"/>
  </r>
  <r>
    <x v="0"/>
    <x v="1"/>
    <s v="SC"/>
    <s v="Daniel Bretas (31-35062945)"/>
    <s v="SC"/>
    <s v="Daniel Bretas (31-35062945)"/>
    <s v="DGE"/>
    <s v="NA"/>
    <m/>
    <s v="SÃO JOÃO DEL REI - SUBSTITUIÇÃO DE TELHADO  "/>
    <s v="SUBSTITUIÇÃO COMPLETA DE TELHADO  "/>
    <s v="Aumento nos custos de manutenção (despesa operacional), danos a bens da Companhia quando de chuvas e vazamento dentro da instalação, impacto direto no clima organizacional com a insatisfação e reclamação dos empregados"/>
    <m/>
    <n v="0"/>
    <n v="0"/>
    <n v="0"/>
    <n v="0"/>
    <n v="0"/>
    <n v="0"/>
    <n v="0"/>
    <n v="0"/>
    <m/>
    <m/>
    <m/>
    <m/>
    <n v="0"/>
    <m/>
    <m/>
    <m/>
    <m/>
    <m/>
    <m/>
    <m/>
    <m/>
    <m/>
    <m/>
    <m/>
    <n v="250"/>
    <n v="250"/>
    <m/>
    <m/>
    <m/>
    <m/>
    <m/>
    <m/>
    <m/>
    <m/>
    <m/>
    <m/>
    <m/>
    <m/>
    <n v="0"/>
    <m/>
    <m/>
    <m/>
    <m/>
    <m/>
    <m/>
    <m/>
    <m/>
    <m/>
    <m/>
    <m/>
    <m/>
    <n v="0"/>
    <m/>
    <m/>
    <m/>
    <m/>
    <m/>
    <m/>
    <m/>
    <m/>
    <m/>
    <m/>
    <m/>
    <m/>
    <n v="0"/>
    <n v="250"/>
  </r>
  <r>
    <x v="0"/>
    <x v="1"/>
    <s v="SC"/>
    <s v="Flávio Henrique Silva Rosário"/>
    <s v="SC"/>
    <s v="Flávio Henrique Silva Rosário"/>
    <s v="DGE"/>
    <s v="NA"/>
    <m/>
    <s v="Substituição do sistema de abastecimento de água das unidades AR, CI, IT e SE-NA"/>
    <s v="Substituição de toda a malha hidráulica dos prédios dentro das unidades AR, CI, IT e SE-NA dentro dos novos padrões de mercado e de produto"/>
    <s v="Rompimento de tubulações; interrupção de abastecimento em local de trabalho; contaminação em água potável; atendimentos emergenciais aos vazamentos; dificuldade para manutenção; impacto em outros sistemas construtivos, aumentando custo de manutenção"/>
    <s v="Alongamento da curva de desembolso, para atendimento à demanda financeira da empresa. Além disso, está sendo elaborada pelo SC ata de registro de preços para obras, a fim de viabilizar execução dos trabalhos a partir de 2018."/>
    <n v="0"/>
    <n v="0"/>
    <n v="0"/>
    <n v="0"/>
    <n v="0"/>
    <n v="0"/>
    <n v="0"/>
    <n v="0"/>
    <m/>
    <m/>
    <m/>
    <m/>
    <n v="0"/>
    <m/>
    <m/>
    <m/>
    <m/>
    <n v="30"/>
    <n v="30"/>
    <n v="25"/>
    <n v="30"/>
    <n v="30"/>
    <n v="38"/>
    <n v="40"/>
    <n v="45"/>
    <n v="268"/>
    <n v="50"/>
    <n v="55"/>
    <n v="60"/>
    <n v="65"/>
    <n v="70"/>
    <n v="80"/>
    <n v="80"/>
    <n v="80"/>
    <n v="75"/>
    <n v="70"/>
    <n v="65"/>
    <n v="60"/>
    <n v="810"/>
    <n v="55"/>
    <n v="45"/>
    <n v="40"/>
    <n v="35"/>
    <n v="35"/>
    <n v="25"/>
    <m/>
    <m/>
    <m/>
    <m/>
    <m/>
    <m/>
    <n v="235"/>
    <m/>
    <m/>
    <m/>
    <m/>
    <m/>
    <m/>
    <m/>
    <m/>
    <m/>
    <m/>
    <m/>
    <m/>
    <n v="0"/>
    <n v="1313"/>
  </r>
  <r>
    <x v="0"/>
    <x v="1"/>
    <s v="SC"/>
    <s v="Daniel Bretas (31-35062945)"/>
    <s v="SC"/>
    <s v="Daniel Bretas (31-35062945)"/>
    <s v="DGE"/>
    <s v="SC00918"/>
    <s v="PIRE/18/0001"/>
    <s v="UBERLÂNDIA - SUBSTITUIÇÃO TELHADO NO CRIU"/>
    <s v="SUBSTITUIÇÃO DO TELHADO EXISTENTE, QUE ESTÁ MUITO DANIFICADO - BLOCO B, COMPREENDIDO PELA OFICINA, EQUIPES DA MD/UL, SA/SE E TI/TC"/>
    <s v="Aumento nos custos de manutenção (despesa operacional), danos a bens da Companhia quando de chuvas e vazamento dentro da instalação, impacto direto no clima organizacional com a insatisfação e reclamação dos empregados"/>
    <s v="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
    <n v="0"/>
    <n v="0"/>
    <n v="0"/>
    <n v="0"/>
    <n v="0"/>
    <n v="0"/>
    <n v="0"/>
    <n v="0"/>
    <m/>
    <m/>
    <m/>
    <n v="9"/>
    <n v="9"/>
    <m/>
    <m/>
    <m/>
    <m/>
    <m/>
    <m/>
    <m/>
    <n v="108"/>
    <n v="110"/>
    <n v="110"/>
    <n v="110"/>
    <m/>
    <n v="438"/>
    <m/>
    <m/>
    <m/>
    <m/>
    <m/>
    <m/>
    <m/>
    <m/>
    <m/>
    <m/>
    <m/>
    <m/>
    <n v="0"/>
    <m/>
    <m/>
    <m/>
    <m/>
    <m/>
    <m/>
    <m/>
    <m/>
    <m/>
    <m/>
    <m/>
    <m/>
    <n v="0"/>
    <m/>
    <m/>
    <m/>
    <m/>
    <m/>
    <m/>
    <m/>
    <m/>
    <m/>
    <m/>
    <m/>
    <m/>
    <n v="0"/>
    <n v="447"/>
  </r>
  <r>
    <x v="0"/>
    <x v="9"/>
    <s v="SC"/>
    <s v="Márcio Rosa"/>
    <s v="SC"/>
    <s v="Márcio Rosa"/>
    <s v="DGE"/>
    <s v="TI04618"/>
    <s v="TINV.18.D.741.NA"/>
    <s v="NetAdmin Gerenciamento das estações de trabalho"/>
    <s v="O projeto refere-se à contratação do licenciamento do software NetAdmin para a gestão e inventário lógico de estações de trabalho e demais ativos utilizados na rede de dados da Cemig."/>
    <s v="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
    <s v="-"/>
    <n v="0"/>
    <n v="0"/>
    <n v="0"/>
    <n v="0"/>
    <n v="0"/>
    <n v="0"/>
    <n v="0"/>
    <n v="0"/>
    <n v="0"/>
    <n v="150"/>
    <n v="0"/>
    <n v="0"/>
    <n v="150"/>
    <n v="0"/>
    <n v="0"/>
    <n v="0"/>
    <n v="0"/>
    <n v="0"/>
    <n v="0"/>
    <n v="0"/>
    <n v="0"/>
    <n v="0"/>
    <n v="0"/>
    <n v="0"/>
    <n v="0"/>
    <n v="0"/>
    <n v="0"/>
    <n v="0"/>
    <n v="0"/>
    <n v="0"/>
    <n v="0"/>
    <n v="0"/>
    <n v="0"/>
    <n v="0"/>
    <n v="0"/>
    <n v="0"/>
    <n v="0"/>
    <n v="0"/>
    <n v="0"/>
    <n v="0"/>
    <n v="0"/>
    <n v="0"/>
    <n v="0"/>
    <n v="0"/>
    <n v="150"/>
    <n v="0"/>
    <n v="0"/>
    <n v="0"/>
    <n v="0"/>
    <n v="0"/>
    <n v="0"/>
    <n v="150"/>
    <n v="0"/>
    <n v="0"/>
    <n v="0"/>
    <n v="0"/>
    <n v="0"/>
    <n v="0"/>
    <n v="0"/>
    <n v="0"/>
    <n v="0"/>
    <n v="0"/>
    <n v="0"/>
    <n v="0"/>
    <n v="0"/>
    <n v="300"/>
  </r>
  <r>
    <x v="0"/>
    <x v="4"/>
    <s v="SC"/>
    <s v="Ormindo Coutinho Filho"/>
    <s v="SC"/>
    <s v="Ormindo Coutinho Filho"/>
    <s v="DGE"/>
    <s v="NA"/>
    <m/>
    <s v="Aquisição de Caminhão e Guindaste Hidráulico 25 toneladas para RDS"/>
    <s v="Aquisição de caminhão e equipamento hidraulico para movimentação, içamento e remoção, que permite carregar, transportar e descarregar equipamentos de até 25 toneladas"/>
    <s v="Comprometer a produtividade das equipes da rede de distribuição subterrânea"/>
    <m/>
    <n v="0"/>
    <n v="0"/>
    <n v="0"/>
    <n v="0"/>
    <n v="0"/>
    <n v="0"/>
    <n v="0"/>
    <n v="0"/>
    <m/>
    <m/>
    <m/>
    <m/>
    <n v="0"/>
    <m/>
    <m/>
    <m/>
    <m/>
    <m/>
    <m/>
    <m/>
    <m/>
    <m/>
    <m/>
    <m/>
    <m/>
    <n v="0"/>
    <n v="368"/>
    <m/>
    <m/>
    <m/>
    <m/>
    <m/>
    <m/>
    <m/>
    <m/>
    <m/>
    <m/>
    <m/>
    <n v="368"/>
    <m/>
    <m/>
    <m/>
    <m/>
    <m/>
    <m/>
    <m/>
    <m/>
    <m/>
    <m/>
    <m/>
    <m/>
    <n v="0"/>
    <m/>
    <m/>
    <m/>
    <m/>
    <m/>
    <m/>
    <m/>
    <m/>
    <m/>
    <m/>
    <m/>
    <m/>
    <n v="0"/>
    <n v="368"/>
  </r>
  <r>
    <x v="0"/>
    <x v="4"/>
    <s v="SC"/>
    <s v="Ormindo Coutinho Filho"/>
    <s v="SC"/>
    <s v="Ormindo Coutinho Filho"/>
    <s v="DGE"/>
    <s v="NA"/>
    <m/>
    <s v="Aquisição de Caminhão para instalação da cesta aérea isolada para 138KV"/>
    <s v="Aquisição de caminhão para instalação da cesta aérea isolada para 138 kV"/>
    <s v="Comprometer a produtividade das equipes e atendimento aos indices de qualidade de fornecimento da Alta Tensão."/>
    <m/>
    <n v="0"/>
    <n v="0"/>
    <n v="0"/>
    <n v="0"/>
    <n v="0"/>
    <n v="0"/>
    <n v="0"/>
    <n v="0"/>
    <m/>
    <m/>
    <m/>
    <m/>
    <n v="0"/>
    <m/>
    <m/>
    <m/>
    <m/>
    <m/>
    <m/>
    <m/>
    <m/>
    <m/>
    <m/>
    <m/>
    <m/>
    <n v="0"/>
    <n v="180"/>
    <m/>
    <m/>
    <m/>
    <m/>
    <m/>
    <m/>
    <m/>
    <m/>
    <m/>
    <m/>
    <m/>
    <n v="180"/>
    <m/>
    <m/>
    <m/>
    <m/>
    <m/>
    <m/>
    <m/>
    <m/>
    <m/>
    <m/>
    <m/>
    <m/>
    <n v="0"/>
    <m/>
    <m/>
    <m/>
    <m/>
    <m/>
    <m/>
    <m/>
    <m/>
    <m/>
    <m/>
    <m/>
    <m/>
    <n v="0"/>
    <n v="180"/>
  </r>
  <r>
    <x v="0"/>
    <x v="4"/>
    <s v="SC"/>
    <s v="Ormindo Coutinho Filho"/>
    <s v="SC"/>
    <s v="Ormindo Coutinho Filho"/>
    <s v="DGE"/>
    <s v="NA"/>
    <m/>
    <s v="Aquisição de carroceria e cesta Aérea para Trabalhos em Linha Viva 138KV"/>
    <s v="Aquisição de carroceria e montagem e cesta Aérea para Trabalhos em Linha Viva 138KV"/>
    <s v="Comprometer a produtividade das equipes e atendimento aos indices de qualidade de fornecimento da Alta Tensão."/>
    <m/>
    <n v="0"/>
    <n v="0"/>
    <n v="0"/>
    <n v="0"/>
    <n v="0"/>
    <n v="0"/>
    <n v="0"/>
    <n v="0"/>
    <m/>
    <m/>
    <m/>
    <m/>
    <n v="0"/>
    <m/>
    <m/>
    <m/>
    <m/>
    <m/>
    <m/>
    <m/>
    <m/>
    <m/>
    <m/>
    <m/>
    <m/>
    <n v="0"/>
    <n v="720"/>
    <m/>
    <m/>
    <m/>
    <m/>
    <m/>
    <m/>
    <m/>
    <m/>
    <m/>
    <m/>
    <m/>
    <n v="720"/>
    <m/>
    <m/>
    <m/>
    <m/>
    <m/>
    <m/>
    <m/>
    <m/>
    <m/>
    <m/>
    <m/>
    <m/>
    <n v="0"/>
    <m/>
    <m/>
    <m/>
    <m/>
    <m/>
    <m/>
    <m/>
    <m/>
    <m/>
    <m/>
    <m/>
    <m/>
    <n v="0"/>
    <n v="720"/>
  </r>
  <r>
    <x v="0"/>
    <x v="4"/>
    <s v="SC"/>
    <s v="Ormindo Coutinho Filho"/>
    <s v="MD"/>
    <s v="Fabio Henrique de Souza"/>
    <s v="DGE"/>
    <s v="MD00218"/>
    <s v="INFR.346.01218"/>
    <s v="Aquisição de carroceria e cesta Aérea para Trabalhos em Linha Viva 138KV - MD00218"/>
    <s v="Aquisição de carroceria e montagem e cesta Aérea para Trabalhos em Linha Viva 138KV"/>
    <s v="Comprometer a produtividade das equipes e atendimento aos indices de qualidade de fornecimento da Alta Tensão."/>
    <s v="Será feita uma compra internacional, cujo prazo de entrega após o processo licitatória é de 7 (sete) meses."/>
    <n v="0"/>
    <n v="0"/>
    <n v="0"/>
    <n v="0"/>
    <n v="0"/>
    <n v="0"/>
    <n v="0"/>
    <n v="0"/>
    <m/>
    <m/>
    <m/>
    <m/>
    <n v="0"/>
    <m/>
    <m/>
    <m/>
    <n v="1656"/>
    <m/>
    <m/>
    <m/>
    <m/>
    <m/>
    <m/>
    <m/>
    <m/>
    <n v="1656"/>
    <n v="0"/>
    <m/>
    <m/>
    <m/>
    <m/>
    <m/>
    <m/>
    <m/>
    <m/>
    <m/>
    <m/>
    <m/>
    <n v="0"/>
    <m/>
    <m/>
    <m/>
    <m/>
    <m/>
    <m/>
    <m/>
    <m/>
    <m/>
    <m/>
    <m/>
    <m/>
    <n v="0"/>
    <m/>
    <m/>
    <m/>
    <m/>
    <m/>
    <m/>
    <m/>
    <m/>
    <m/>
    <m/>
    <m/>
    <m/>
    <n v="0"/>
    <n v="1656"/>
  </r>
  <r>
    <x v="0"/>
    <x v="4"/>
    <s v="SC"/>
    <s v="Ormindo Coutinho Filho"/>
    <s v="SC"/>
    <s v="Ormindo Coutinho Filho"/>
    <s v="DGE"/>
    <s v="NA"/>
    <m/>
    <s v="Aquisição de Guindaste Hidráulico Veicular e Carroceria modular metálica p/ RDS"/>
    <s v="Instalar nos caminhões equipamentos hidraulicos para movimentação, içamento e remoção, que permite carregar, transportar e descarregar equipamentos"/>
    <s v="Comprometer a qualidade dos serviços prestados e  a produtividade das equipes de Rede de Distribuição Subterrânea"/>
    <m/>
    <n v="0"/>
    <n v="0"/>
    <n v="0"/>
    <n v="0"/>
    <n v="0"/>
    <n v="0"/>
    <n v="0"/>
    <n v="0"/>
    <m/>
    <m/>
    <m/>
    <m/>
    <n v="0"/>
    <m/>
    <m/>
    <m/>
    <m/>
    <m/>
    <m/>
    <m/>
    <m/>
    <m/>
    <m/>
    <m/>
    <m/>
    <n v="0"/>
    <n v="350"/>
    <m/>
    <m/>
    <m/>
    <m/>
    <m/>
    <m/>
    <m/>
    <m/>
    <m/>
    <m/>
    <m/>
    <n v="350"/>
    <n v="350"/>
    <m/>
    <m/>
    <m/>
    <m/>
    <m/>
    <m/>
    <m/>
    <m/>
    <m/>
    <m/>
    <m/>
    <n v="350"/>
    <m/>
    <m/>
    <m/>
    <m/>
    <m/>
    <m/>
    <m/>
    <m/>
    <m/>
    <m/>
    <m/>
    <m/>
    <n v="0"/>
    <n v="700"/>
  </r>
  <r>
    <x v="0"/>
    <x v="4"/>
    <s v="SC"/>
    <s v="Ormindo Coutinho Filho"/>
    <s v="SC"/>
    <s v="Ormindo Coutinho Filho"/>
    <s v="DGE"/>
    <s v="NA"/>
    <m/>
    <s v="Aquisição de Retroescavadeira compacta"/>
    <s v="Aquisição de Retroescavadeira compacta para manutenção da via de acesso para trabalho das equipes de Linhas de Distribuição"/>
    <s v="Comprometer a produtividade das equipes, atendimentos emergenciais e aumentar a utilização de recursos de despesas."/>
    <m/>
    <n v="0"/>
    <n v="0"/>
    <n v="0"/>
    <n v="0"/>
    <n v="0"/>
    <n v="0"/>
    <n v="0"/>
    <n v="0"/>
    <m/>
    <m/>
    <m/>
    <m/>
    <n v="0"/>
    <m/>
    <m/>
    <m/>
    <m/>
    <m/>
    <m/>
    <m/>
    <m/>
    <m/>
    <m/>
    <m/>
    <m/>
    <n v="0"/>
    <m/>
    <m/>
    <m/>
    <m/>
    <m/>
    <m/>
    <m/>
    <m/>
    <m/>
    <m/>
    <m/>
    <m/>
    <n v="0"/>
    <m/>
    <m/>
    <m/>
    <m/>
    <m/>
    <m/>
    <m/>
    <m/>
    <m/>
    <m/>
    <m/>
    <m/>
    <n v="0"/>
    <n v="170"/>
    <m/>
    <m/>
    <m/>
    <m/>
    <m/>
    <m/>
    <m/>
    <m/>
    <m/>
    <m/>
    <m/>
    <n v="170"/>
    <n v="170"/>
  </r>
  <r>
    <x v="0"/>
    <x v="4"/>
    <s v="SC"/>
    <s v="Ormindo Coutinho Filho"/>
    <s v="SC"/>
    <s v="Ormindo Coutinho Filho"/>
    <s v="DGE"/>
    <s v="NA"/>
    <m/>
    <s v="Aquisição de tanques para combustível"/>
    <s v="Atualização tecnológica do tanque de combustível, já que o atual está validade ultrapassada e requer inspeções trimestrais (despesa operacional)"/>
    <s v="Aumento da despesa operacional."/>
    <s v="Houve alteração de mercado em relação às opções até então disponíveis. Necessidade de prospectar novamente no mercado e construir a especificação técnica."/>
    <n v="0"/>
    <n v="0"/>
    <n v="0"/>
    <n v="0"/>
    <n v="0"/>
    <n v="0"/>
    <n v="0"/>
    <n v="0"/>
    <m/>
    <m/>
    <m/>
    <m/>
    <n v="0"/>
    <m/>
    <m/>
    <m/>
    <m/>
    <m/>
    <m/>
    <m/>
    <m/>
    <n v="300"/>
    <m/>
    <m/>
    <m/>
    <n v="300"/>
    <m/>
    <m/>
    <m/>
    <m/>
    <m/>
    <m/>
    <m/>
    <m/>
    <m/>
    <m/>
    <m/>
    <m/>
    <n v="0"/>
    <m/>
    <m/>
    <m/>
    <m/>
    <m/>
    <m/>
    <m/>
    <m/>
    <m/>
    <m/>
    <m/>
    <m/>
    <n v="0"/>
    <m/>
    <m/>
    <m/>
    <m/>
    <m/>
    <m/>
    <m/>
    <m/>
    <m/>
    <m/>
    <m/>
    <m/>
    <n v="0"/>
    <n v="300"/>
  </r>
  <r>
    <x v="0"/>
    <x v="4"/>
    <s v="SC"/>
    <s v="Ormindo Coutinho Filho"/>
    <s v="MD"/>
    <s v="Fabio Henrique de Souza"/>
    <s v="DDC"/>
    <s v="MD00418"/>
    <s v="INFR.346.03818"/>
    <s v="Aquisição de veículo para MD para instalação de Sistema Veicular de Inspeção Termográfica e Visual para inspeção de subestações, redes e linhas aéreas."/>
    <m/>
    <m/>
    <m/>
    <n v="0"/>
    <n v="0"/>
    <n v="0"/>
    <n v="0"/>
    <n v="0"/>
    <n v="0"/>
    <n v="0"/>
    <n v="0"/>
    <m/>
    <m/>
    <m/>
    <n v="90"/>
    <n v="90"/>
    <m/>
    <m/>
    <m/>
    <m/>
    <m/>
    <m/>
    <m/>
    <m/>
    <m/>
    <m/>
    <m/>
    <m/>
    <n v="0"/>
    <m/>
    <m/>
    <m/>
    <m/>
    <m/>
    <m/>
    <m/>
    <m/>
    <m/>
    <m/>
    <m/>
    <m/>
    <n v="0"/>
    <m/>
    <m/>
    <m/>
    <m/>
    <m/>
    <m/>
    <m/>
    <m/>
    <m/>
    <m/>
    <m/>
    <m/>
    <n v="0"/>
    <m/>
    <m/>
    <m/>
    <m/>
    <m/>
    <m/>
    <m/>
    <m/>
    <m/>
    <m/>
    <m/>
    <m/>
    <n v="0"/>
    <n v="90"/>
  </r>
  <r>
    <x v="0"/>
    <x v="4"/>
    <s v="SC"/>
    <s v="Ormindo Coutinho Filho"/>
    <s v="SC"/>
    <s v="Ormindo Coutinho Filho"/>
    <s v="DGE"/>
    <s v="NA"/>
    <m/>
    <s v="CARRETA TANQUE CAP. 25.000LT TRANSP. OLEO ISOLANTE"/>
    <s v="CARRETA TANQUE CAP. 25.000LT TRANSP. OLEO ISOLANTE"/>
    <s v="Paralisação das atividades de manutenção alta tensão "/>
    <m/>
    <n v="0"/>
    <n v="0"/>
    <n v="0"/>
    <n v="0"/>
    <n v="0"/>
    <n v="0"/>
    <n v="0"/>
    <n v="0"/>
    <m/>
    <m/>
    <m/>
    <m/>
    <n v="0"/>
    <m/>
    <m/>
    <m/>
    <m/>
    <m/>
    <m/>
    <n v="500"/>
    <m/>
    <m/>
    <m/>
    <m/>
    <m/>
    <n v="500"/>
    <m/>
    <m/>
    <m/>
    <m/>
    <m/>
    <m/>
    <m/>
    <m/>
    <m/>
    <m/>
    <m/>
    <m/>
    <n v="0"/>
    <m/>
    <m/>
    <m/>
    <m/>
    <m/>
    <m/>
    <m/>
    <m/>
    <m/>
    <m/>
    <m/>
    <m/>
    <n v="0"/>
    <m/>
    <m/>
    <m/>
    <m/>
    <m/>
    <m/>
    <m/>
    <m/>
    <m/>
    <m/>
    <m/>
    <m/>
    <n v="0"/>
    <n v="500"/>
  </r>
  <r>
    <x v="0"/>
    <x v="4"/>
    <s v="SC"/>
    <s v="Ormindo Coutinho Filho"/>
    <s v="SC"/>
    <s v="Ormindo Coutinho Filho"/>
    <s v="DGE"/>
    <s v="NA"/>
    <m/>
    <s v="Substituição de Veículos da Diretoria Executiva - Distribuição"/>
    <s v="Renovação da frota de veículos da Diretoria Executiva - Distribui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n v="0"/>
    <n v="0"/>
    <n v="0"/>
    <n v="0"/>
    <n v="0"/>
    <n v="0"/>
    <n v="0"/>
    <m/>
    <m/>
    <m/>
    <m/>
    <n v="0"/>
    <m/>
    <m/>
    <m/>
    <m/>
    <m/>
    <m/>
    <n v="1054.4000000000001"/>
    <m/>
    <m/>
    <m/>
    <m/>
    <m/>
    <n v="1054.4000000000001"/>
    <m/>
    <m/>
    <m/>
    <m/>
    <m/>
    <m/>
    <m/>
    <m/>
    <m/>
    <m/>
    <m/>
    <m/>
    <n v="0"/>
    <m/>
    <m/>
    <m/>
    <m/>
    <m/>
    <m/>
    <m/>
    <m/>
    <m/>
    <m/>
    <m/>
    <m/>
    <n v="0"/>
    <m/>
    <m/>
    <m/>
    <m/>
    <m/>
    <m/>
    <m/>
    <m/>
    <m/>
    <m/>
    <m/>
    <m/>
    <n v="0"/>
    <n v="1054.4000000000001"/>
  </r>
  <r>
    <x v="1"/>
    <x v="10"/>
    <s v="TI/IO"/>
    <s v="Carlos Araújo"/>
    <s v="MG/SB"/>
    <s v="Franco Menho Silva"/>
    <s v="DGT"/>
    <s v="TI03218"/>
    <s v="TINV.18.G.045.TB"/>
    <s v="Aquisição tablets MG/SB "/>
    <s v="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
    <s v="-"/>
    <s v="-"/>
    <n v="0"/>
    <n v="0"/>
    <n v="0"/>
    <n v="0"/>
    <n v="0"/>
    <n v="0"/>
    <n v="0"/>
    <n v="0"/>
    <n v="0"/>
    <m/>
    <n v="58.6"/>
    <m/>
    <n v="58.6"/>
    <n v="0"/>
    <n v="0"/>
    <n v="0"/>
    <n v="0"/>
    <n v="0"/>
    <n v="0"/>
    <n v="0"/>
    <n v="0"/>
    <n v="0"/>
    <n v="0"/>
    <n v="0"/>
    <n v="0"/>
    <n v="0"/>
    <n v="0"/>
    <n v="0"/>
    <n v="0"/>
    <n v="0"/>
    <n v="0"/>
    <n v="0"/>
    <n v="0"/>
    <n v="0"/>
    <n v="0"/>
    <n v="0"/>
    <n v="0"/>
    <n v="0"/>
    <n v="0"/>
    <n v="0"/>
    <n v="0"/>
    <n v="0"/>
    <n v="0"/>
    <n v="0"/>
    <n v="0"/>
    <n v="0"/>
    <n v="0"/>
    <n v="0"/>
    <n v="0"/>
    <n v="0"/>
    <n v="0"/>
    <n v="0"/>
    <n v="0"/>
    <n v="0"/>
    <n v="0"/>
    <n v="0"/>
    <n v="0"/>
    <n v="0"/>
    <n v="0"/>
    <n v="0"/>
    <n v="0"/>
    <n v="0"/>
    <n v="0"/>
    <n v="0"/>
    <n v="0"/>
    <n v="58.6"/>
  </r>
  <r>
    <x v="1"/>
    <x v="10"/>
    <s v="TI/IO"/>
    <s v="Carlos Araújo"/>
    <s v="TI/IO"/>
    <s v="Carlos Araújo"/>
    <s v="DGE"/>
    <s v="NA"/>
    <s v="-"/>
    <s v="Modernização do Parque Microinformática (CORPORATIVO) G"/>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0"/>
    <n v="0"/>
    <n v="0"/>
    <n v="0"/>
    <n v="0"/>
    <n v="0"/>
    <n v="0"/>
    <n v="0"/>
    <n v="0"/>
    <n v="0"/>
    <n v="0"/>
    <n v="0"/>
    <n v="0"/>
    <n v="0"/>
    <n v="0"/>
    <n v="0"/>
    <n v="0"/>
    <n v="351.9"/>
    <n v="0"/>
    <n v="0"/>
    <n v="0"/>
    <n v="351.9"/>
    <n v="0"/>
    <n v="0"/>
    <n v="0"/>
    <n v="0"/>
    <n v="0"/>
    <n v="0"/>
    <n v="0"/>
    <n v="214.7"/>
    <n v="0"/>
    <n v="0"/>
    <n v="0"/>
    <n v="0"/>
    <n v="214.7"/>
    <n v="0"/>
    <n v="0"/>
    <n v="0"/>
    <n v="0"/>
    <n v="0"/>
    <n v="0"/>
    <n v="0"/>
    <n v="51.5"/>
    <n v="0"/>
    <n v="0"/>
    <n v="0"/>
    <n v="0"/>
    <n v="51.5"/>
    <n v="0"/>
    <n v="0"/>
    <n v="0"/>
    <n v="0"/>
    <n v="0"/>
    <n v="0"/>
    <n v="0"/>
    <n v="278.5"/>
    <n v="0"/>
    <n v="0"/>
    <n v="0"/>
    <n v="0"/>
    <n v="278.5"/>
    <n v="896.6"/>
  </r>
  <r>
    <x v="1"/>
    <x v="11"/>
    <s v="TI/IO"/>
    <s v="Carlos Araújo"/>
    <s v="MG/CT"/>
    <s v="Elisete Dias Costa Miranda"/>
    <s v="DGT"/>
    <s v="TI04918"/>
    <s v="TINV.18.G.045.SE"/>
    <s v="Aquisição Pacote Software Elipse (GLE-INV-PPE-Aq-software-ElipseE3Studio)"/>
    <s v="Descrição: MG/LE: Aquisição de (1) software supervisório Elipse E3 Studio com chave de engenharia._x000a_"/>
    <s v="OBS: Já autorizado na CRCA 085/2016 - Revisão de macro projetos ciclo 2014/2018_x000a_Deficiência no atendimento à situações de falha em sistemas supervisórios de operação de usinas, com interferência negativa na comunicação de dados operativos relacionados à teleassistência de usinas pelo COS-CEMIG, e COR-ONS._x000a_Penalização por parte de orgão regulador."/>
    <s v="Revisão do valor em virtude do balizamento de preços."/>
    <n v="0"/>
    <n v="0"/>
    <n v="0"/>
    <n v="0"/>
    <n v="0"/>
    <n v="0"/>
    <n v="0"/>
    <n v="0"/>
    <n v="32.383310000000002"/>
    <n v="0"/>
    <n v="0"/>
    <m/>
    <n v="32.383310000000002"/>
    <n v="0"/>
    <n v="0"/>
    <n v="0"/>
    <n v="0"/>
    <n v="0"/>
    <n v="0"/>
    <n v="0"/>
    <n v="0"/>
    <n v="0"/>
    <n v="0"/>
    <n v="0"/>
    <n v="0"/>
    <n v="0"/>
    <n v="0"/>
    <n v="0"/>
    <n v="0"/>
    <n v="0"/>
    <n v="0"/>
    <n v="0"/>
    <n v="0"/>
    <n v="0"/>
    <n v="0"/>
    <n v="0"/>
    <n v="0"/>
    <n v="0"/>
    <n v="0"/>
    <n v="0"/>
    <n v="0"/>
    <n v="0"/>
    <n v="0"/>
    <n v="0"/>
    <n v="0"/>
    <n v="0"/>
    <n v="0"/>
    <n v="0"/>
    <n v="0"/>
    <n v="0"/>
    <n v="0"/>
    <n v="0"/>
    <n v="0"/>
    <n v="0"/>
    <n v="0"/>
    <n v="0"/>
    <n v="0"/>
    <n v="0"/>
    <n v="0"/>
    <n v="0"/>
    <n v="0"/>
    <n v="0"/>
    <n v="0"/>
    <n v="0"/>
    <n v="0"/>
    <n v="32.383310000000002"/>
  </r>
  <r>
    <x v="1"/>
    <x v="11"/>
    <s v="TI/IO"/>
    <s v="Carlos Araújo"/>
    <s v="PO/MG"/>
    <s v="Antônio Carlos Arantes"/>
    <s v="DGT"/>
    <s v="NA"/>
    <s v="-"/>
    <s v="Aquisição software de Confiabilidade (RENO, Lambdapredict, DOE e RGA)"/>
    <s v="Software de Confiabilidade"/>
    <s v="Falha no diagnostico e priorização de investimentos em equipamentos da geração, podendo levar a indisponibilidade operativa e consequente perda de receita da geração"/>
    <s v="-"/>
    <n v="0"/>
    <n v="0"/>
    <n v="0"/>
    <n v="0"/>
    <n v="0"/>
    <n v="0"/>
    <n v="0"/>
    <n v="0"/>
    <n v="0"/>
    <n v="0"/>
    <n v="69"/>
    <n v="0"/>
    <n v="69"/>
    <n v="0"/>
    <n v="44"/>
    <n v="0"/>
    <n v="0"/>
    <n v="0"/>
    <n v="0"/>
    <n v="0"/>
    <n v="0"/>
    <n v="0"/>
    <n v="0"/>
    <n v="0"/>
    <n v="0"/>
    <n v="44"/>
    <n v="0"/>
    <n v="0"/>
    <n v="0"/>
    <n v="0"/>
    <n v="0"/>
    <n v="0"/>
    <n v="0"/>
    <n v="0"/>
    <n v="0"/>
    <n v="0"/>
    <n v="0"/>
    <n v="0"/>
    <n v="0"/>
    <n v="0"/>
    <n v="0"/>
    <n v="0"/>
    <n v="0"/>
    <n v="0"/>
    <n v="0"/>
    <n v="0"/>
    <n v="0"/>
    <n v="0"/>
    <n v="0"/>
    <n v="0"/>
    <n v="0"/>
    <n v="0"/>
    <n v="0"/>
    <n v="0"/>
    <n v="0"/>
    <n v="0"/>
    <n v="0"/>
    <n v="0"/>
    <n v="0"/>
    <n v="0"/>
    <n v="0"/>
    <n v="0"/>
    <n v="0"/>
    <n v="0"/>
    <n v="0"/>
    <n v="113"/>
  </r>
  <r>
    <x v="1"/>
    <x v="11"/>
    <s v="TI/IO"/>
    <s v="Carlos Araújo"/>
    <s v="TI/IO"/>
    <s v="Carlos Araújo"/>
    <s v="DGE"/>
    <s v="NA"/>
    <s v="-"/>
    <s v="Aquisição/atualização de Servidores x86 "/>
    <s v="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
    <s v="-"/>
    <s v="Revisão de escopo do projeto, considerando a necessidade de atualização dos servidores."/>
    <n v="0"/>
    <n v="0"/>
    <n v="0"/>
    <n v="0"/>
    <n v="0"/>
    <n v="0"/>
    <n v="0"/>
    <n v="0"/>
    <n v="0"/>
    <n v="0"/>
    <n v="0"/>
    <n v="0"/>
    <n v="0"/>
    <n v="0"/>
    <n v="0"/>
    <n v="0"/>
    <n v="0"/>
    <n v="0"/>
    <n v="0"/>
    <n v="0"/>
    <n v="0"/>
    <n v="97"/>
    <n v="0"/>
    <n v="0"/>
    <n v="0"/>
    <n v="97"/>
    <n v="0"/>
    <n v="0"/>
    <n v="0"/>
    <n v="0"/>
    <n v="0"/>
    <n v="0"/>
    <n v="0"/>
    <n v="0"/>
    <n v="0"/>
    <n v="0"/>
    <n v="0"/>
    <n v="0"/>
    <n v="0"/>
    <n v="0"/>
    <n v="0"/>
    <n v="0"/>
    <n v="0"/>
    <n v="0"/>
    <n v="0"/>
    <n v="0"/>
    <n v="0"/>
    <n v="0"/>
    <n v="0"/>
    <n v="0"/>
    <n v="0"/>
    <n v="0"/>
    <n v="0"/>
    <n v="0"/>
    <n v="0"/>
    <n v="0"/>
    <n v="0"/>
    <n v="0"/>
    <n v="0"/>
    <n v="0"/>
    <n v="0"/>
    <n v="0"/>
    <n v="142"/>
    <n v="0"/>
    <n v="142"/>
    <n v="239"/>
  </r>
  <r>
    <x v="1"/>
    <x v="11"/>
    <s v="TI/IO"/>
    <s v="Carlos Araújo"/>
    <s v="MG/CT"/>
    <s v="Elisete Dias Costa Miranda"/>
    <s v="DGT"/>
    <s v="TI04818"/>
    <s v="TINV.18.G.045.LH"/>
    <s v="Licença do software Logic Linx Hardkey"/>
    <s v="Aquisição de Licença do Software Logic Linx para a UHE Nova Ponte, visando repor equipamento danificado."/>
    <s v="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
    <s v="Revisão do valor em virtude do balizamento de preços."/>
    <n v="0"/>
    <n v="0"/>
    <n v="0"/>
    <n v="0"/>
    <n v="0"/>
    <n v="0"/>
    <n v="0"/>
    <n v="0"/>
    <n v="27.390999999999998"/>
    <n v="0"/>
    <n v="0"/>
    <n v="0"/>
    <n v="27.390999999999998"/>
    <n v="0"/>
    <n v="0"/>
    <n v="0"/>
    <n v="0"/>
    <n v="0"/>
    <n v="0"/>
    <n v="0"/>
    <n v="0"/>
    <n v="0"/>
    <n v="0"/>
    <n v="0"/>
    <n v="0"/>
    <n v="0"/>
    <n v="0"/>
    <n v="0"/>
    <n v="0"/>
    <n v="0"/>
    <n v="0"/>
    <n v="0"/>
    <n v="0"/>
    <n v="0"/>
    <n v="0"/>
    <n v="0"/>
    <n v="0"/>
    <n v="0"/>
    <n v="0"/>
    <n v="0"/>
    <n v="0"/>
    <n v="0"/>
    <n v="0"/>
    <n v="0"/>
    <n v="0"/>
    <n v="0"/>
    <n v="0"/>
    <n v="0"/>
    <n v="0"/>
    <n v="0"/>
    <n v="0"/>
    <n v="0"/>
    <n v="0"/>
    <n v="0"/>
    <n v="0"/>
    <n v="0"/>
    <n v="0"/>
    <n v="0"/>
    <n v="0"/>
    <n v="0"/>
    <n v="0"/>
    <n v="0"/>
    <n v="0"/>
    <n v="0"/>
    <n v="0"/>
    <n v="27.390999999999998"/>
  </r>
  <r>
    <x v="1"/>
    <x v="11"/>
    <s v="TI/IO"/>
    <s v="Marcus Souto"/>
    <s v="TI/IO"/>
    <s v="Carlos Araújo"/>
    <s v="DGE"/>
    <s v="TI07218"/>
    <s v="TINV.18.G.045.MS"/>
    <s v="Licenciamento Microsoft G"/>
    <s v="Licenciamento Microsoft visando manter atualizada todas as versões de software Microsoft instalados na Empresa de forma a garantir a disponibilidade e a segurança das informações."/>
    <s v="-"/>
    <s v="Postergação do desembolso, conforme estratégia de contratação/renovação dos produtos licenciados."/>
    <n v="0"/>
    <n v="0"/>
    <n v="0"/>
    <n v="0"/>
    <n v="0"/>
    <n v="0"/>
    <n v="0"/>
    <n v="0"/>
    <n v="22"/>
    <n v="0"/>
    <n v="0"/>
    <m/>
    <n v="22"/>
    <n v="0"/>
    <n v="0"/>
    <n v="0"/>
    <n v="0"/>
    <n v="0"/>
    <n v="0"/>
    <n v="0"/>
    <n v="22"/>
    <n v="0"/>
    <n v="0"/>
    <n v="0"/>
    <n v="0"/>
    <n v="22"/>
    <n v="0"/>
    <n v="0"/>
    <n v="0"/>
    <n v="0"/>
    <n v="0"/>
    <n v="0"/>
    <n v="0"/>
    <n v="22"/>
    <n v="0"/>
    <n v="0"/>
    <n v="0"/>
    <n v="0"/>
    <n v="22"/>
    <n v="0"/>
    <n v="0"/>
    <n v="0"/>
    <n v="0"/>
    <n v="0"/>
    <n v="0"/>
    <n v="0"/>
    <n v="716.5"/>
    <n v="0"/>
    <n v="0"/>
    <n v="0"/>
    <n v="0"/>
    <n v="716.5"/>
    <n v="0"/>
    <n v="0"/>
    <n v="0"/>
    <n v="0"/>
    <n v="0"/>
    <n v="0"/>
    <n v="0"/>
    <n v="716.5"/>
    <n v="0"/>
    <n v="0"/>
    <n v="0"/>
    <n v="0"/>
    <n v="716.5"/>
    <n v="1499"/>
  </r>
  <r>
    <x v="1"/>
    <x v="11"/>
    <s v="TI/IO"/>
    <s v="Carlos Araújo"/>
    <s v="MG/SB"/>
    <s v="ALEXANDRE VAZ DE MELO"/>
    <s v="DGT"/>
    <s v="NA"/>
    <s v="-"/>
    <s v="Upgrade/atualização do software Geo-slope 2012"/>
    <s v="Upgrade Software Geo-slope"/>
    <s v="Falha grave no software que pode acarretar a perda de controle do monitoramento da Segurança em Barragens das usinas da Cemig"/>
    <s v="-"/>
    <n v="0"/>
    <n v="0"/>
    <n v="0"/>
    <n v="0"/>
    <n v="0"/>
    <n v="0"/>
    <n v="0"/>
    <n v="0"/>
    <n v="0"/>
    <n v="0"/>
    <n v="0"/>
    <n v="0"/>
    <n v="0"/>
    <n v="0"/>
    <n v="0"/>
    <n v="0"/>
    <n v="0"/>
    <n v="0"/>
    <n v="0"/>
    <n v="0"/>
    <n v="0"/>
    <n v="0"/>
    <n v="0"/>
    <n v="0"/>
    <n v="0"/>
    <n v="0"/>
    <n v="0"/>
    <n v="0"/>
    <n v="0"/>
    <n v="0"/>
    <n v="0"/>
    <n v="35"/>
    <n v="0"/>
    <n v="0"/>
    <n v="0"/>
    <n v="0"/>
    <n v="0"/>
    <n v="0"/>
    <n v="35"/>
    <n v="0"/>
    <n v="0"/>
    <n v="0"/>
    <n v="0"/>
    <n v="0"/>
    <n v="0"/>
    <n v="0"/>
    <n v="0"/>
    <n v="0"/>
    <n v="0"/>
    <n v="0"/>
    <n v="0"/>
    <n v="0"/>
    <n v="0"/>
    <n v="0"/>
    <n v="0"/>
    <n v="0"/>
    <n v="0"/>
    <n v="0"/>
    <n v="0"/>
    <n v="0"/>
    <n v="0"/>
    <n v="0"/>
    <n v="0"/>
    <n v="0"/>
    <n v="0"/>
    <n v="35"/>
  </r>
  <r>
    <x v="2"/>
    <x v="12"/>
    <s v="TI/IO"/>
    <s v="Tiago Leite"/>
    <s v="TI/IO"/>
    <s v="Tiago Leite"/>
    <s v="DGE"/>
    <s v="NA"/>
    <m/>
    <s v="Instrumentos da Transmissora - Equipe Campo"/>
    <s v="Aquisição de Instrumentos da Transmissora para suporte e manutenção em estações de comunicação"/>
    <s v="Auemento do tempo de reparo, risco de queima de equipamentos por uso de instrumentos inadequados"/>
    <s v="-"/>
    <n v="0"/>
    <n v="0"/>
    <n v="0"/>
    <n v="0"/>
    <n v="0"/>
    <n v="0"/>
    <n v="0"/>
    <n v="0"/>
    <n v="0"/>
    <n v="0"/>
    <n v="0"/>
    <n v="0"/>
    <n v="0"/>
    <n v="0"/>
    <n v="0"/>
    <n v="0"/>
    <n v="0"/>
    <n v="0"/>
    <n v="0"/>
    <n v="0"/>
    <n v="0"/>
    <n v="124.39999999999999"/>
    <n v="0"/>
    <n v="0"/>
    <n v="0"/>
    <n v="124.39999999999999"/>
    <n v="0"/>
    <n v="0"/>
    <n v="0"/>
    <n v="0"/>
    <n v="0"/>
    <n v="0"/>
    <n v="0"/>
    <n v="0"/>
    <n v="0"/>
    <n v="0"/>
    <n v="0"/>
    <n v="0"/>
    <n v="0"/>
    <n v="0"/>
    <n v="0"/>
    <n v="0"/>
    <n v="0"/>
    <n v="0"/>
    <n v="0"/>
    <n v="0"/>
    <n v="0"/>
    <n v="0"/>
    <n v="0"/>
    <n v="0"/>
    <n v="0"/>
    <n v="0"/>
    <n v="0"/>
    <n v="0"/>
    <n v="0"/>
    <n v="0"/>
    <n v="0"/>
    <n v="0"/>
    <n v="0"/>
    <n v="0"/>
    <n v="0"/>
    <n v="0"/>
    <n v="0"/>
    <n v="0"/>
    <n v="0"/>
    <n v="124.39999999999999"/>
  </r>
  <r>
    <x v="2"/>
    <x v="12"/>
    <s v="TI/IO"/>
    <s v="Tiago Leite"/>
    <s v="TI/IO"/>
    <s v="Tiago Leite"/>
    <s v="DGE"/>
    <s v="TI07818"/>
    <m/>
    <s v="Sistemas de Ar Condicionado da Transmissora - Ses"/>
    <m/>
    <m/>
    <s v="Demanda incorporada à carteira, considerando remanejamento entre projetos."/>
    <n v="0"/>
    <n v="0"/>
    <n v="0"/>
    <n v="0"/>
    <n v="0"/>
    <n v="0"/>
    <n v="0"/>
    <n v="0"/>
    <n v="0"/>
    <n v="0"/>
    <n v="0"/>
    <n v="0"/>
    <n v="0"/>
    <n v="40"/>
    <n v="0"/>
    <n v="0"/>
    <n v="0"/>
    <n v="0"/>
    <n v="0"/>
    <n v="0"/>
    <n v="34.433332495118158"/>
    <n v="0"/>
    <n v="0"/>
    <n v="0"/>
    <n v="0"/>
    <n v="74.433332495118151"/>
    <n v="0"/>
    <n v="0"/>
    <n v="0"/>
    <n v="0"/>
    <n v="0"/>
    <n v="0"/>
    <n v="0"/>
    <n v="0"/>
    <n v="0"/>
    <n v="0"/>
    <n v="0"/>
    <n v="0"/>
    <n v="0"/>
    <n v="0"/>
    <n v="0"/>
    <n v="0"/>
    <n v="0"/>
    <n v="0"/>
    <n v="0"/>
    <n v="0"/>
    <n v="0"/>
    <n v="0"/>
    <n v="0"/>
    <n v="0"/>
    <n v="0"/>
    <n v="0"/>
    <n v="0"/>
    <n v="0"/>
    <n v="0"/>
    <n v="0"/>
    <n v="0"/>
    <n v="0"/>
    <n v="0"/>
    <n v="0"/>
    <n v="0"/>
    <n v="0"/>
    <n v="0"/>
    <n v="0"/>
    <n v="0"/>
    <n v="74.433332495118151"/>
  </r>
  <r>
    <x v="2"/>
    <x v="13"/>
    <s v="TI/IO"/>
    <s v="Carlos Araújo"/>
    <s v="TI/IO"/>
    <s v="Carlos Araújo"/>
    <s v="DGE"/>
    <s v="TI04418"/>
    <s v="TINV.18.T.045.MP"/>
    <s v="Modernização do Parque Microinformática (CORPORATIVO) T"/>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0"/>
    <n v="0"/>
    <n v="0"/>
    <n v="0"/>
    <n v="0"/>
    <n v="0"/>
    <n v="0"/>
    <n v="415"/>
    <n v="415"/>
    <n v="0"/>
    <n v="0"/>
    <n v="0"/>
    <n v="0"/>
    <n v="0"/>
    <n v="0"/>
    <n v="0"/>
    <n v="0"/>
    <n v="55"/>
    <n v="0"/>
    <n v="0"/>
    <n v="0"/>
    <n v="55"/>
    <n v="0"/>
    <n v="0"/>
    <n v="0"/>
    <n v="0"/>
    <n v="0"/>
    <n v="0"/>
    <n v="0"/>
    <n v="209"/>
    <n v="0"/>
    <n v="0"/>
    <n v="0"/>
    <n v="0"/>
    <n v="209"/>
    <n v="0"/>
    <n v="0"/>
    <n v="0"/>
    <n v="0"/>
    <n v="0"/>
    <n v="0"/>
    <n v="0"/>
    <n v="55"/>
    <n v="0"/>
    <n v="0"/>
    <n v="0"/>
    <n v="0"/>
    <n v="55"/>
    <n v="0"/>
    <n v="0"/>
    <n v="0"/>
    <n v="0"/>
    <n v="0"/>
    <n v="0"/>
    <n v="0"/>
    <n v="209.5"/>
    <n v="0"/>
    <n v="0"/>
    <n v="0"/>
    <n v="0"/>
    <n v="209.5"/>
    <n v="943.5"/>
  </r>
  <r>
    <x v="0"/>
    <x v="14"/>
    <s v="TI/IO"/>
    <s v="Tiago Leite"/>
    <s v="TI/IO"/>
    <s v="Tiago Leite"/>
    <s v="DGE"/>
    <s v="NA"/>
    <m/>
    <s v="Instrumentos da Distribuidora - Equipe Campo"/>
    <s v="Instrumentos de teste de equipamentos de telecomunicações."/>
    <s v="Demora no reparo dos equipamentos de telecomunicações e fibra óptica."/>
    <s v="Demanda incorporada à carteira, considerando remanejamento entre projetos."/>
    <n v="0"/>
    <n v="0"/>
    <n v="0"/>
    <n v="0"/>
    <n v="0"/>
    <n v="0"/>
    <n v="0"/>
    <n v="0"/>
    <n v="0"/>
    <n v="0"/>
    <n v="0"/>
    <n v="0"/>
    <n v="0"/>
    <n v="0"/>
    <n v="0"/>
    <n v="0"/>
    <n v="0"/>
    <n v="0"/>
    <n v="0"/>
    <n v="0"/>
    <n v="0"/>
    <n v="368"/>
    <n v="0"/>
    <n v="0"/>
    <n v="0"/>
    <n v="368"/>
    <n v="0"/>
    <n v="0"/>
    <n v="0"/>
    <n v="0"/>
    <n v="0"/>
    <n v="0"/>
    <n v="0"/>
    <n v="0"/>
    <n v="0"/>
    <n v="0"/>
    <n v="0"/>
    <n v="0"/>
    <n v="0"/>
    <n v="0"/>
    <n v="0"/>
    <n v="0"/>
    <n v="0"/>
    <n v="0"/>
    <n v="0"/>
    <n v="0"/>
    <n v="0"/>
    <n v="0"/>
    <n v="0"/>
    <n v="0"/>
    <n v="0"/>
    <n v="0"/>
    <m/>
    <m/>
    <m/>
    <m/>
    <m/>
    <m/>
    <m/>
    <m/>
    <m/>
    <m/>
    <m/>
    <m/>
    <n v="0"/>
    <n v="368"/>
  </r>
  <r>
    <x v="0"/>
    <x v="14"/>
    <s v="TI/IO"/>
    <s v="Tiago Leite"/>
    <s v="TI/IO"/>
    <s v="Tiago Leite"/>
    <s v="DGE"/>
    <s v="TI07718"/>
    <s v="TINV.18.D.045.AR"/>
    <s v="Sistemas de Ar Condicionado SEs"/>
    <m/>
    <m/>
    <s v="Demanda incorporada à carteira, considerando remanejamento entre projetos."/>
    <n v="0"/>
    <n v="0"/>
    <n v="0"/>
    <n v="0"/>
    <n v="0"/>
    <n v="0"/>
    <n v="0"/>
    <n v="0"/>
    <n v="0"/>
    <n v="0"/>
    <n v="271.89999999999998"/>
    <n v="0"/>
    <n v="271.89999999999998"/>
    <n v="0"/>
    <n v="0"/>
    <n v="0"/>
    <n v="0"/>
    <n v="0"/>
    <n v="0"/>
    <n v="0"/>
    <n v="32.299999999999997"/>
    <n v="0"/>
    <n v="0"/>
    <n v="0"/>
    <n v="0"/>
    <n v="32.299999999999997"/>
    <n v="0"/>
    <n v="0"/>
    <n v="0"/>
    <n v="0"/>
    <n v="0"/>
    <n v="0"/>
    <n v="0"/>
    <n v="0"/>
    <n v="0"/>
    <n v="0"/>
    <n v="0"/>
    <n v="0"/>
    <n v="0"/>
    <n v="0"/>
    <n v="0"/>
    <n v="0"/>
    <n v="0"/>
    <n v="0"/>
    <n v="0"/>
    <n v="0"/>
    <n v="0"/>
    <n v="0"/>
    <n v="0"/>
    <n v="0"/>
    <n v="0"/>
    <n v="0"/>
    <n v="0"/>
    <n v="0"/>
    <n v="0"/>
    <n v="0"/>
    <n v="0"/>
    <n v="0"/>
    <n v="0"/>
    <n v="0"/>
    <n v="0"/>
    <n v="0"/>
    <n v="0"/>
    <n v="0"/>
    <n v="0"/>
    <n v="304.2"/>
  </r>
  <r>
    <x v="0"/>
    <x v="15"/>
    <s v="TI/IO"/>
    <s v="Carlos Araújo"/>
    <s v="GR/PC"/>
    <s v="Ronaldo Oliveira"/>
    <s v="DDC"/>
    <s v="NA"/>
    <s v="-"/>
    <s v="Aquisição Berço"/>
    <s v="Equipamento para leitura de consumo dos cosumidores do mercado cativo"/>
    <s v="Não faturamento, afetando diretamente o caixa da empresa_x000a_Descomprimento da regulação - Multa"/>
    <s v="-"/>
    <n v="0"/>
    <n v="0"/>
    <n v="0"/>
    <n v="0"/>
    <n v="0"/>
    <n v="0"/>
    <n v="0"/>
    <n v="0"/>
    <n v="0"/>
    <n v="0"/>
    <n v="0"/>
    <n v="0"/>
    <n v="0"/>
    <n v="0"/>
    <n v="0"/>
    <n v="0"/>
    <n v="1000"/>
    <n v="0"/>
    <n v="0"/>
    <n v="0"/>
    <n v="0"/>
    <n v="0"/>
    <n v="0"/>
    <n v="0"/>
    <n v="0"/>
    <n v="1000"/>
    <n v="0"/>
    <n v="0"/>
    <n v="0"/>
    <n v="0"/>
    <n v="0"/>
    <n v="0"/>
    <n v="0"/>
    <n v="0"/>
    <n v="0"/>
    <n v="0"/>
    <n v="0"/>
    <n v="0"/>
    <n v="0"/>
    <n v="0"/>
    <n v="0"/>
    <n v="0"/>
    <n v="0"/>
    <n v="0"/>
    <n v="0"/>
    <n v="0"/>
    <n v="0"/>
    <n v="0"/>
    <n v="0"/>
    <n v="0"/>
    <n v="0"/>
    <n v="0"/>
    <n v="0"/>
    <n v="0"/>
    <n v="0"/>
    <n v="0"/>
    <n v="0"/>
    <n v="0"/>
    <n v="0"/>
    <n v="0"/>
    <n v="0"/>
    <n v="0"/>
    <n v="0"/>
    <n v="0"/>
    <n v="0"/>
    <n v="1000"/>
  </r>
  <r>
    <x v="0"/>
    <x v="15"/>
    <s v="TI/IO"/>
    <s v="Carlos Araújo"/>
    <s v="GR/PC"/>
    <s v="Ronaldo Oliveira"/>
    <s v="DDC"/>
    <s v="NA"/>
    <s v="-"/>
    <s v="Aquisição Impressora LES"/>
    <s v="Equipamento para leitura de consumo dos cosumidores do mercado cativo"/>
    <s v="Não faturamento, afetando diretamente o caixa da empresa_x000a_Descomprimento da regulação - Multa"/>
    <s v="-"/>
    <n v="0"/>
    <n v="0"/>
    <n v="0"/>
    <n v="0"/>
    <n v="0"/>
    <n v="0"/>
    <n v="0"/>
    <n v="0"/>
    <n v="0"/>
    <n v="0"/>
    <n v="0"/>
    <n v="0"/>
    <n v="0"/>
    <n v="0"/>
    <n v="0"/>
    <n v="0"/>
    <n v="4000"/>
    <n v="0"/>
    <n v="0"/>
    <n v="0"/>
    <n v="0"/>
    <n v="0"/>
    <n v="0"/>
    <n v="0"/>
    <n v="0"/>
    <n v="4000"/>
    <n v="0"/>
    <n v="0"/>
    <n v="0"/>
    <n v="0"/>
    <n v="0"/>
    <n v="0"/>
    <n v="0"/>
    <n v="0"/>
    <n v="0"/>
    <n v="0"/>
    <n v="0"/>
    <n v="0"/>
    <n v="0"/>
    <n v="0"/>
    <n v="0"/>
    <n v="0"/>
    <n v="0"/>
    <n v="0"/>
    <n v="0"/>
    <n v="0"/>
    <n v="0"/>
    <n v="0"/>
    <n v="0"/>
    <n v="0"/>
    <n v="0"/>
    <n v="0"/>
    <n v="0"/>
    <n v="0"/>
    <n v="0"/>
    <n v="0"/>
    <n v="0"/>
    <n v="0"/>
    <n v="0"/>
    <n v="0"/>
    <n v="0"/>
    <n v="0"/>
    <n v="0"/>
    <n v="0"/>
    <n v="0"/>
    <n v="4000"/>
  </r>
  <r>
    <x v="0"/>
    <x v="15"/>
    <s v="TI/IO"/>
    <s v="Carlos Araújo"/>
    <s v="GR/PC"/>
    <s v="Ronaldo Oliveira"/>
    <s v="DDC"/>
    <s v="NA"/>
    <s v="-"/>
    <s v="Aquisição Microcoletores"/>
    <s v="Equipamento para leitura de consumo dos cosumidores do mercado cativo"/>
    <s v="Não faturamento, afetando diretamente o caixa da empresa_x000a_Descomprimento da regulação - Multa"/>
    <s v="-"/>
    <n v="0"/>
    <n v="0"/>
    <n v="0"/>
    <n v="0"/>
    <n v="0"/>
    <n v="0"/>
    <n v="0"/>
    <n v="0"/>
    <n v="0"/>
    <n v="0"/>
    <n v="0"/>
    <n v="0"/>
    <n v="0"/>
    <n v="0"/>
    <n v="0"/>
    <n v="0"/>
    <n v="10000"/>
    <n v="0"/>
    <n v="0"/>
    <n v="0"/>
    <n v="0"/>
    <n v="0"/>
    <n v="0"/>
    <n v="0"/>
    <n v="0"/>
    <n v="10000"/>
    <n v="0"/>
    <n v="0"/>
    <n v="0"/>
    <n v="0"/>
    <n v="0"/>
    <n v="0"/>
    <n v="0"/>
    <n v="0"/>
    <n v="0"/>
    <n v="0"/>
    <n v="0"/>
    <n v="0"/>
    <n v="0"/>
    <n v="0"/>
    <n v="0"/>
    <n v="0"/>
    <n v="0"/>
    <n v="0"/>
    <n v="0"/>
    <n v="0"/>
    <n v="0"/>
    <n v="0"/>
    <n v="0"/>
    <n v="0"/>
    <n v="0"/>
    <n v="0"/>
    <n v="0"/>
    <n v="0"/>
    <n v="0"/>
    <n v="0"/>
    <n v="0"/>
    <n v="0"/>
    <n v="0"/>
    <n v="0"/>
    <n v="0"/>
    <n v="0"/>
    <n v="0"/>
    <n v="0"/>
    <n v="0"/>
    <n v="10000"/>
  </r>
  <r>
    <x v="0"/>
    <x v="15"/>
    <s v="TI/IO"/>
    <s v="Carlos Araújo"/>
    <s v="TI/IO"/>
    <s v="Carlos Araújo"/>
    <s v="DGE"/>
    <s v="TI04318"/>
    <s v="TINV.18.D.045.MP"/>
    <s v="Modernização do Parque Microinformática (CORPORATIVO) D"/>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
    <s v="-"/>
    <n v="0"/>
    <n v="0"/>
    <n v="0"/>
    <n v="0"/>
    <n v="0"/>
    <n v="0"/>
    <n v="0"/>
    <n v="0"/>
    <n v="0"/>
    <n v="0"/>
    <n v="0"/>
    <n v="4684"/>
    <n v="4684"/>
    <n v="0"/>
    <n v="0"/>
    <n v="0"/>
    <n v="0"/>
    <n v="0"/>
    <n v="0"/>
    <n v="0"/>
    <n v="200"/>
    <n v="0"/>
    <n v="0"/>
    <n v="0"/>
    <n v="0"/>
    <n v="200"/>
    <n v="0"/>
    <n v="0"/>
    <n v="0"/>
    <n v="0"/>
    <n v="0"/>
    <n v="0"/>
    <n v="0"/>
    <n v="0"/>
    <n v="0"/>
    <n v="0"/>
    <n v="2220"/>
    <n v="0"/>
    <n v="2220"/>
    <n v="0"/>
    <n v="0"/>
    <n v="0"/>
    <n v="0"/>
    <n v="0"/>
    <n v="0"/>
    <n v="0"/>
    <n v="200"/>
    <n v="0"/>
    <n v="0"/>
    <n v="0"/>
    <n v="0"/>
    <n v="200"/>
    <n v="0"/>
    <n v="0"/>
    <n v="0"/>
    <n v="0"/>
    <n v="0"/>
    <n v="0"/>
    <n v="0"/>
    <n v="2736"/>
    <n v="0"/>
    <n v="0"/>
    <n v="0"/>
    <n v="0"/>
    <n v="2736"/>
    <n v="10040"/>
  </r>
  <r>
    <x v="0"/>
    <x v="9"/>
    <s v="TI/IO"/>
    <s v="Carlos Araújo"/>
    <s v="TI/IO"/>
    <s v="Carlos Araújo"/>
    <s v="DGE"/>
    <s v="NA"/>
    <s v="-"/>
    <s v="Aquisição de licenças de Sharepoint EPM"/>
    <s v="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
    <s v="Sobre recurso é preciso saber se isso é colocado na conta da casa ou se é algo que devemos aumentar e já inserir no rateio percentual, visto que o SharePoint, assim como EPM, estão com versão 2010 que já não mais recebe atualização. "/>
    <s v="-"/>
    <n v="0"/>
    <n v="0"/>
    <n v="0"/>
    <n v="0"/>
    <n v="0"/>
    <n v="0"/>
    <n v="0"/>
    <n v="0"/>
    <n v="0"/>
    <n v="0"/>
    <n v="0"/>
    <n v="0"/>
    <n v="0"/>
    <n v="0"/>
    <n v="0"/>
    <n v="0"/>
    <n v="0"/>
    <n v="0"/>
    <n v="0"/>
    <n v="0"/>
    <n v="0"/>
    <n v="0"/>
    <n v="0"/>
    <n v="0"/>
    <n v="0"/>
    <n v="0"/>
    <n v="0"/>
    <n v="0"/>
    <n v="0"/>
    <n v="0"/>
    <n v="0"/>
    <n v="0"/>
    <n v="0"/>
    <n v="0"/>
    <n v="0"/>
    <n v="0"/>
    <n v="0"/>
    <n v="0"/>
    <n v="0"/>
    <n v="0"/>
    <n v="0"/>
    <n v="0"/>
    <n v="0"/>
    <n v="0"/>
    <n v="750"/>
    <n v="0"/>
    <n v="0"/>
    <n v="0"/>
    <n v="0"/>
    <n v="0"/>
    <n v="0"/>
    <n v="750"/>
    <n v="0"/>
    <n v="0"/>
    <n v="0"/>
    <n v="0"/>
    <n v="0"/>
    <n v="750"/>
    <n v="0"/>
    <n v="0"/>
    <n v="0"/>
    <n v="0"/>
    <n v="0"/>
    <n v="0"/>
    <n v="750"/>
    <n v="1500"/>
  </r>
  <r>
    <x v="0"/>
    <x v="9"/>
    <s v="TI/IO"/>
    <s v="Carlos Araújo"/>
    <s v="TI/IO"/>
    <s v="Carlos Araújo"/>
    <s v="DGE"/>
    <s v="NA"/>
    <s v="-"/>
    <s v="Aquisição de Servidores x86 "/>
    <s v="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
    <s v="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
    <s v="-"/>
    <n v="0"/>
    <n v="0"/>
    <n v="0"/>
    <n v="0"/>
    <n v="0"/>
    <n v="0"/>
    <n v="0"/>
    <n v="0"/>
    <n v="0"/>
    <n v="0"/>
    <n v="0"/>
    <n v="0"/>
    <n v="0"/>
    <n v="0"/>
    <n v="0"/>
    <n v="0"/>
    <n v="0"/>
    <n v="0"/>
    <n v="0"/>
    <n v="0"/>
    <n v="500"/>
    <n v="0"/>
    <n v="0"/>
    <n v="0"/>
    <n v="0"/>
    <n v="500"/>
    <n v="0"/>
    <n v="0"/>
    <n v="0"/>
    <n v="0"/>
    <n v="0"/>
    <n v="0"/>
    <n v="0"/>
    <n v="0"/>
    <n v="0"/>
    <n v="0"/>
    <n v="0"/>
    <n v="0"/>
    <n v="0"/>
    <n v="0"/>
    <n v="0"/>
    <n v="0"/>
    <n v="0"/>
    <n v="0"/>
    <n v="0"/>
    <n v="0"/>
    <n v="0"/>
    <n v="0"/>
    <n v="0"/>
    <n v="0"/>
    <n v="535"/>
    <n v="535"/>
    <n v="0"/>
    <n v="0"/>
    <n v="0"/>
    <n v="0"/>
    <n v="0"/>
    <n v="0"/>
    <n v="0"/>
    <n v="0"/>
    <n v="0"/>
    <n v="0"/>
    <n v="0"/>
    <n v="0"/>
    <n v="0"/>
    <n v="1035"/>
  </r>
  <r>
    <x v="0"/>
    <x v="9"/>
    <s v="TI/IO"/>
    <s v="Carlos Araújo"/>
    <s v="EA/EL"/>
    <s v="José William Campomizzi"/>
    <s v="DDC"/>
    <s v="TI07418"/>
    <s v="TINV.18.D.045.AP"/>
    <s v="Aquisição do Software analisador de protocolo. Ex.: ASE2000._x000a__x000a_NOTA - Este software pode ser adquirido dentro do contrato das SECIs. Para isso, há necessidade da solicitação através do gerente para a EA/EP._x000a_"/>
    <s v="Aquisição de 2 licenças de  Software analisador de protocolos Industriais e redes Ethernet industriais_x000a_"/>
    <s v="Contribui para a morosidade na identificação de problemas de integração de equipamentos e conexão via redes de automação das novas SEs."/>
    <s v="Revisão do valor em virtude do balizamento de preços."/>
    <n v="0"/>
    <n v="0"/>
    <n v="0"/>
    <n v="0"/>
    <n v="0"/>
    <n v="0"/>
    <n v="0"/>
    <n v="0"/>
    <n v="0"/>
    <n v="0"/>
    <n v="0"/>
    <n v="70"/>
    <n v="70"/>
    <n v="0"/>
    <n v="0"/>
    <n v="0"/>
    <n v="0"/>
    <n v="0"/>
    <n v="0"/>
    <n v="0"/>
    <n v="0"/>
    <n v="0"/>
    <n v="0"/>
    <n v="0"/>
    <n v="0"/>
    <n v="0"/>
    <n v="0"/>
    <n v="0"/>
    <n v="0"/>
    <n v="0"/>
    <n v="0"/>
    <n v="0"/>
    <n v="0"/>
    <n v="0"/>
    <n v="0"/>
    <n v="0"/>
    <n v="0"/>
    <n v="0"/>
    <n v="0"/>
    <n v="0"/>
    <n v="0"/>
    <n v="0"/>
    <n v="0"/>
    <n v="0"/>
    <n v="0"/>
    <n v="0"/>
    <n v="0"/>
    <n v="0"/>
    <n v="0"/>
    <n v="0"/>
    <n v="0"/>
    <n v="0"/>
    <n v="0"/>
    <n v="0"/>
    <n v="0"/>
    <n v="0"/>
    <n v="0"/>
    <n v="0"/>
    <n v="0"/>
    <n v="0"/>
    <n v="0"/>
    <n v="0"/>
    <n v="0"/>
    <n v="0"/>
    <n v="0"/>
    <n v="70"/>
  </r>
  <r>
    <x v="0"/>
    <x v="9"/>
    <s v="TI/IO"/>
    <s v="Carlos Araújo"/>
    <s v="TI/IO"/>
    <s v="Carlos Araújo"/>
    <s v="DGE"/>
    <s v="NA"/>
    <s v="-"/>
    <s v="Aquisição Storage (armazenamento)"/>
    <s v="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
    <s v="Limitação da capacidade de processamento de dados das soluções da empresa. Como ressaltado, trata-se de aplicações de desempenho crítico e que, por essa razão, requerem alto nível de performance. "/>
    <s v="Demanda incorporada à carteira, considerando a estratégia de contratação do serviço de Data Center."/>
    <n v="0"/>
    <n v="0"/>
    <n v="0"/>
    <n v="0"/>
    <n v="0"/>
    <n v="0"/>
    <n v="0"/>
    <n v="0"/>
    <n v="0"/>
    <n v="0"/>
    <n v="0"/>
    <n v="20000"/>
    <n v="20000"/>
    <n v="0"/>
    <n v="0"/>
    <n v="0"/>
    <n v="0"/>
    <n v="0"/>
    <n v="0"/>
    <n v="0"/>
    <n v="0"/>
    <n v="0"/>
    <n v="0"/>
    <n v="0"/>
    <n v="0"/>
    <n v="0"/>
    <n v="0"/>
    <n v="0"/>
    <n v="0"/>
    <n v="0"/>
    <n v="0"/>
    <n v="0"/>
    <n v="0"/>
    <n v="0"/>
    <n v="0"/>
    <n v="0"/>
    <n v="0"/>
    <n v="0"/>
    <n v="0"/>
    <n v="0"/>
    <n v="0"/>
    <n v="0"/>
    <n v="0"/>
    <n v="0"/>
    <n v="0"/>
    <n v="0"/>
    <n v="0"/>
    <n v="0"/>
    <n v="0"/>
    <n v="0"/>
    <n v="0"/>
    <n v="0"/>
    <n v="0"/>
    <n v="0"/>
    <n v="0"/>
    <n v="0"/>
    <n v="0"/>
    <n v="0"/>
    <n v="0"/>
    <n v="0"/>
    <n v="0"/>
    <n v="0"/>
    <n v="0"/>
    <n v="0"/>
    <n v="0"/>
    <n v="20000"/>
  </r>
  <r>
    <x v="0"/>
    <x v="9"/>
    <s v="TI/IO"/>
    <s v="Carlos Araújo"/>
    <s v="TI/IO"/>
    <s v="Carlos Araújo"/>
    <s v="DGE"/>
    <s v="NA"/>
    <s v="-"/>
    <s v="Aquisição/Upgrade do ambiente de backup "/>
    <s v="Melhoria no ambiente de backup (hardware e software) para atendimento ao crescimento vegetativo e novas aplicações"/>
    <s v="-"/>
    <s v="-"/>
    <n v="0"/>
    <n v="0"/>
    <n v="0"/>
    <n v="0"/>
    <n v="0"/>
    <n v="0"/>
    <n v="0"/>
    <n v="0"/>
    <n v="0"/>
    <n v="0"/>
    <n v="0"/>
    <n v="0"/>
    <n v="0"/>
    <n v="0"/>
    <n v="0"/>
    <n v="0"/>
    <n v="0"/>
    <n v="0"/>
    <n v="0"/>
    <n v="0"/>
    <n v="0"/>
    <n v="0"/>
    <n v="0"/>
    <n v="0"/>
    <n v="0"/>
    <n v="0"/>
    <n v="0"/>
    <n v="0"/>
    <n v="0"/>
    <n v="0"/>
    <n v="0"/>
    <n v="0"/>
    <n v="0"/>
    <n v="0"/>
    <n v="0"/>
    <n v="1500"/>
    <n v="0"/>
    <n v="0"/>
    <n v="1500"/>
    <n v="0"/>
    <n v="0"/>
    <n v="0"/>
    <n v="0"/>
    <n v="0"/>
    <n v="0"/>
    <n v="0"/>
    <n v="0"/>
    <n v="0"/>
    <n v="0"/>
    <n v="0"/>
    <n v="0"/>
    <n v="0"/>
    <n v="0"/>
    <n v="0"/>
    <n v="0"/>
    <n v="0"/>
    <n v="0"/>
    <n v="0"/>
    <n v="0"/>
    <n v="0"/>
    <n v="0"/>
    <n v="0"/>
    <n v="0"/>
    <n v="0"/>
    <n v="0"/>
    <n v="1500"/>
  </r>
  <r>
    <x v="0"/>
    <x v="9"/>
    <s v="TI/IO"/>
    <s v="Alex de Assis"/>
    <s v="TI/IO"/>
    <s v="Alex de Assis"/>
    <s v="DGE"/>
    <s v="TI03017"/>
    <m/>
    <s v="Atualização Hardware IBM"/>
    <m/>
    <m/>
    <m/>
    <n v="0"/>
    <n v="0"/>
    <n v="0"/>
    <n v="0"/>
    <n v="0"/>
    <n v="0"/>
    <n v="5.8700799942016602"/>
    <n v="0"/>
    <n v="0"/>
    <n v="0"/>
    <n v="0"/>
    <n v="160.12995000000001"/>
    <n v="160.12995000000001"/>
    <m/>
    <m/>
    <m/>
    <m/>
    <m/>
    <m/>
    <m/>
    <m/>
    <m/>
    <m/>
    <m/>
    <m/>
    <n v="0"/>
    <m/>
    <m/>
    <m/>
    <m/>
    <m/>
    <m/>
    <m/>
    <m/>
    <m/>
    <m/>
    <m/>
    <m/>
    <n v="0"/>
    <n v="0"/>
    <n v="0"/>
    <n v="0"/>
    <n v="0"/>
    <n v="0"/>
    <n v="0"/>
    <n v="0"/>
    <n v="0"/>
    <n v="0"/>
    <n v="0"/>
    <n v="0"/>
    <n v="0"/>
    <n v="0"/>
    <n v="0"/>
    <n v="0"/>
    <n v="0"/>
    <n v="0"/>
    <n v="0"/>
    <n v="0"/>
    <n v="0"/>
    <n v="0"/>
    <n v="0"/>
    <n v="0"/>
    <n v="0"/>
    <n v="0"/>
    <n v="0"/>
    <n v="160.12995000000001"/>
  </r>
  <r>
    <x v="0"/>
    <x v="9"/>
    <s v="TI/IO"/>
    <s v="Carlos Araújo"/>
    <s v="TI/IO"/>
    <s v="Carlos Araújo"/>
    <s v="DGE"/>
    <s v="NA"/>
    <s v="-"/>
    <s v="Crescimento vegetativo ambiente SAP"/>
    <s v="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
    <s v="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
    <s v="Postergação do desembolso para adequação da curva de investimento."/>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4624.8999999999996"/>
    <n v="0"/>
    <n v="0"/>
    <n v="0"/>
    <n v="4624.8999999999996"/>
    <n v="4624.8999999999996"/>
  </r>
  <r>
    <x v="0"/>
    <x v="9"/>
    <s v="TI/IO"/>
    <s v="Carlos Araújo"/>
    <s v="AD/AD"/>
    <s v="Marisa Lages Murta"/>
    <s v="DDC"/>
    <s v="NA"/>
    <s v="-"/>
    <s v="Integração da rede de oscilografia das subestações "/>
    <s v=" Aquisição de infraestrutura de conectividade para permitir acesso remoto aos dados dos IEDS visando oscilografia das subestações"/>
    <s v="Elevação de custos de OPEX com serviço de campo para  análise e  localização de faltas e ocorrências no SEP. Não será capturado melhoria dos indicadores de qualidade, dentre eles o DEC"/>
    <s v="-"/>
    <n v="0"/>
    <n v="0"/>
    <n v="0"/>
    <n v="0"/>
    <n v="0"/>
    <n v="0"/>
    <n v="0"/>
    <n v="0"/>
    <n v="0"/>
    <n v="0"/>
    <n v="0"/>
    <n v="0"/>
    <n v="0"/>
    <n v="0"/>
    <n v="0"/>
    <n v="0"/>
    <n v="0"/>
    <n v="0"/>
    <n v="0"/>
    <n v="0"/>
    <n v="0"/>
    <n v="1280"/>
    <n v="0"/>
    <n v="0"/>
    <n v="0"/>
    <n v="1280"/>
    <n v="200"/>
    <n v="200"/>
    <n v="200"/>
    <n v="220"/>
    <n v="0"/>
    <n v="0"/>
    <n v="0"/>
    <n v="0"/>
    <n v="0"/>
    <n v="0"/>
    <n v="0"/>
    <n v="0"/>
    <n v="820"/>
    <n v="0"/>
    <n v="0"/>
    <n v="0"/>
    <n v="0"/>
    <n v="0"/>
    <n v="0"/>
    <n v="0"/>
    <n v="0"/>
    <n v="0"/>
    <n v="0"/>
    <n v="0"/>
    <n v="0"/>
    <n v="0"/>
    <n v="0"/>
    <n v="0"/>
    <n v="0"/>
    <n v="0"/>
    <n v="0"/>
    <n v="0"/>
    <n v="0"/>
    <n v="0"/>
    <n v="0"/>
    <n v="0"/>
    <n v="0"/>
    <n v="0"/>
    <n v="0"/>
    <n v="2100"/>
  </r>
  <r>
    <x v="0"/>
    <x v="9"/>
    <s v="TI/IO"/>
    <s v="Carlos Araújo"/>
    <s v="EA/EP"/>
    <s v="Sandro de Castro Assis - 3506-2967"/>
    <s v="DDC"/>
    <s v="TI06718"/>
    <s v="TINV.18.D.045.TF"/>
    <s v="Licença do programa TF_SE"/>
    <s v="Programa para calculo das trações e flechas em barramentos flexíveis em subestações"/>
    <s v="Comprometimento de atendimento aos projetos de expansão no prazo desejado dentro do ciclo tarifário."/>
    <s v="-"/>
    <n v="0"/>
    <n v="0"/>
    <n v="0"/>
    <n v="0"/>
    <n v="0"/>
    <n v="0"/>
    <n v="0"/>
    <n v="0"/>
    <n v="0"/>
    <n v="12"/>
    <n v="0"/>
    <n v="0"/>
    <n v="12"/>
    <n v="0"/>
    <n v="0"/>
    <n v="0"/>
    <n v="0"/>
    <n v="0"/>
    <n v="0"/>
    <n v="0"/>
    <n v="0"/>
    <n v="0"/>
    <n v="0"/>
    <n v="0"/>
    <n v="0"/>
    <n v="0"/>
    <n v="0"/>
    <n v="0"/>
    <n v="0"/>
    <n v="0"/>
    <n v="0"/>
    <n v="0"/>
    <n v="0"/>
    <n v="0"/>
    <n v="0"/>
    <n v="0"/>
    <n v="0"/>
    <n v="0"/>
    <n v="0"/>
    <n v="0"/>
    <n v="0"/>
    <n v="0"/>
    <n v="0"/>
    <n v="0"/>
    <n v="0"/>
    <n v="0"/>
    <n v="0"/>
    <n v="0"/>
    <n v="0"/>
    <n v="0"/>
    <n v="0"/>
    <n v="0"/>
    <n v="0"/>
    <n v="0"/>
    <n v="0"/>
    <n v="0"/>
    <n v="0"/>
    <n v="0"/>
    <n v="0"/>
    <n v="0"/>
    <n v="0"/>
    <n v="0"/>
    <n v="0"/>
    <n v="0"/>
    <n v="0"/>
    <n v="12"/>
  </r>
  <r>
    <x v="0"/>
    <x v="9"/>
    <s v="TI/IO"/>
    <s v="Carlos Araújo"/>
    <s v="TI/IO"/>
    <s v="Carlos Araújo"/>
    <s v="DGE"/>
    <s v="NA"/>
    <s v="-"/>
    <s v="Licenciamento IBM Sterling_x000a_"/>
    <s v="Licenciamento IBM Sterling_x000a_"/>
    <s v="-"/>
    <s v="-"/>
    <n v="0"/>
    <n v="0"/>
    <n v="0"/>
    <n v="0"/>
    <n v="0"/>
    <n v="0"/>
    <n v="0"/>
    <n v="0"/>
    <n v="0"/>
    <n v="0"/>
    <n v="0"/>
    <n v="0"/>
    <n v="0"/>
    <n v="0"/>
    <n v="0"/>
    <n v="0"/>
    <n v="0"/>
    <n v="0"/>
    <n v="0"/>
    <n v="0"/>
    <n v="0"/>
    <n v="0"/>
    <n v="0"/>
    <n v="0"/>
    <n v="650"/>
    <n v="650"/>
    <n v="0"/>
    <n v="0"/>
    <n v="0"/>
    <n v="0"/>
    <n v="0"/>
    <n v="0"/>
    <n v="0"/>
    <n v="0"/>
    <n v="0"/>
    <n v="0"/>
    <n v="0"/>
    <n v="0"/>
    <n v="0"/>
    <n v="0"/>
    <n v="0"/>
    <n v="0"/>
    <n v="0"/>
    <n v="0"/>
    <n v="0"/>
    <n v="0"/>
    <n v="0"/>
    <n v="0"/>
    <n v="0"/>
    <n v="0"/>
    <n v="0"/>
    <n v="0"/>
    <n v="0"/>
    <n v="0"/>
    <n v="0"/>
    <n v="0"/>
    <n v="0"/>
    <n v="0"/>
    <n v="0"/>
    <n v="0"/>
    <n v="0"/>
    <n v="0"/>
    <n v="0"/>
    <n v="0"/>
    <n v="0"/>
    <n v="650"/>
  </r>
  <r>
    <x v="0"/>
    <x v="9"/>
    <s v="TI/IO"/>
    <s v="Marcus Souto"/>
    <s v="TI/IO"/>
    <s v="Marcus Souto"/>
    <s v="DGE"/>
    <s v="NA"/>
    <s v="-"/>
    <s v="Licenciamento Microsoft (TrueUp Microsoft 2013)"/>
    <s v="Renovação do contrato de licenciamento de software que contempla Windows Server, Office, etc (2015). Para os demais anos, atendimento às demandas de novos projetos"/>
    <s v="-"/>
    <s v="Postergação do desembolso para adequação da curva de investimento."/>
    <n v="0"/>
    <n v="0"/>
    <n v="0"/>
    <n v="0"/>
    <n v="0"/>
    <n v="0"/>
    <n v="0"/>
    <n v="0"/>
    <n v="0"/>
    <n v="0"/>
    <n v="0"/>
    <n v="0"/>
    <n v="0"/>
    <n v="0"/>
    <n v="0"/>
    <n v="0"/>
    <n v="0"/>
    <n v="0"/>
    <n v="0"/>
    <n v="0"/>
    <n v="0"/>
    <n v="0"/>
    <n v="0"/>
    <n v="0"/>
    <n v="0"/>
    <n v="0"/>
    <n v="0"/>
    <n v="0"/>
    <n v="0"/>
    <n v="0"/>
    <n v="0"/>
    <n v="0"/>
    <n v="0"/>
    <n v="0"/>
    <n v="0"/>
    <n v="0"/>
    <n v="0"/>
    <n v="0"/>
    <n v="0"/>
    <n v="0"/>
    <n v="0"/>
    <n v="0"/>
    <n v="0"/>
    <n v="0"/>
    <n v="0"/>
    <n v="0"/>
    <n v="650"/>
    <n v="0"/>
    <n v="0"/>
    <n v="0"/>
    <n v="0"/>
    <n v="650"/>
    <n v="0"/>
    <n v="0"/>
    <n v="0"/>
    <n v="0"/>
    <n v="0"/>
    <n v="0"/>
    <n v="0"/>
    <n v="0"/>
    <n v="0"/>
    <n v="0"/>
    <n v="0"/>
    <n v="0"/>
    <n v="0"/>
    <n v="650"/>
  </r>
  <r>
    <x v="0"/>
    <x v="9"/>
    <s v="TI/IO"/>
    <s v="Marcus Souto"/>
    <s v="TI/IO"/>
    <s v="Marcus Souto"/>
    <s v="DGE"/>
    <s v="TI07018"/>
    <s v="TINV.18.D.045.MS"/>
    <s v="Licenciamento Microsoft D"/>
    <s v="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
    <s v="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
    <s v="Postergação do desembolso, conforme estratégia de contratação/renovação dos produtos licenciados."/>
    <n v="0"/>
    <n v="0"/>
    <n v="0"/>
    <n v="0"/>
    <n v="0"/>
    <n v="0"/>
    <n v="0"/>
    <n v="0"/>
    <n v="0"/>
    <n v="100"/>
    <n v="0"/>
    <n v="0"/>
    <n v="100"/>
    <n v="0"/>
    <n v="0"/>
    <n v="0"/>
    <n v="0"/>
    <n v="0"/>
    <n v="0"/>
    <n v="0"/>
    <n v="100"/>
    <n v="0"/>
    <n v="0"/>
    <n v="0"/>
    <n v="0"/>
    <n v="100"/>
    <n v="0"/>
    <n v="0"/>
    <n v="0"/>
    <n v="0"/>
    <n v="0"/>
    <n v="0"/>
    <n v="0"/>
    <n v="100"/>
    <n v="0"/>
    <n v="0"/>
    <n v="0"/>
    <n v="0"/>
    <n v="100"/>
    <n v="0"/>
    <n v="0"/>
    <n v="0"/>
    <n v="0"/>
    <n v="0"/>
    <n v="0"/>
    <n v="0"/>
    <n v="2267"/>
    <n v="0"/>
    <n v="0"/>
    <n v="0"/>
    <n v="0"/>
    <n v="2267"/>
    <n v="0"/>
    <n v="0"/>
    <n v="0"/>
    <n v="0"/>
    <n v="0"/>
    <n v="0"/>
    <n v="0"/>
    <n v="2267"/>
    <n v="0"/>
    <n v="0"/>
    <n v="0"/>
    <n v="0"/>
    <n v="2267"/>
    <n v="4834"/>
  </r>
  <r>
    <x v="0"/>
    <x v="9"/>
    <s v="TI/IO"/>
    <s v="Carlos Araújo"/>
    <s v="EA/EP"/>
    <s v="Rodrigo Otávio Carneiro Moreira_x000a_3506 2966"/>
    <s v="DDC"/>
    <s v="NA"/>
    <s v="-"/>
    <s v="PLS-CADD"/>
    <s v="Aquisição de 2 licenças do software PLS-CADD"/>
    <s v="Comprometimento ao atendimento dos projetos de expansão do ciclo tarifário (2018/2022)._x000a_Comprometimento da produtividade da equipe devido à indisponibilidade de licenças suficientes para trabalhar com o SPELT."/>
    <s v="-"/>
    <n v="0"/>
    <n v="0"/>
    <n v="0"/>
    <n v="0"/>
    <n v="0"/>
    <n v="0"/>
    <n v="0"/>
    <n v="0"/>
    <n v="0"/>
    <n v="0"/>
    <n v="0"/>
    <n v="120"/>
    <n v="120"/>
    <n v="0"/>
    <n v="0"/>
    <n v="0"/>
    <n v="0"/>
    <n v="0"/>
    <n v="0"/>
    <n v="0"/>
    <n v="0"/>
    <n v="0"/>
    <n v="0"/>
    <n v="0"/>
    <n v="0"/>
    <n v="0"/>
    <n v="0"/>
    <n v="0"/>
    <n v="0"/>
    <n v="0"/>
    <n v="0"/>
    <n v="0"/>
    <n v="0"/>
    <n v="0"/>
    <n v="0"/>
    <n v="0"/>
    <n v="0"/>
    <n v="0"/>
    <n v="0"/>
    <n v="0"/>
    <n v="0"/>
    <n v="0"/>
    <n v="0"/>
    <n v="0"/>
    <n v="0"/>
    <n v="0"/>
    <n v="0"/>
    <n v="0"/>
    <n v="0"/>
    <n v="0"/>
    <n v="0"/>
    <n v="0"/>
    <n v="0"/>
    <n v="0"/>
    <n v="0"/>
    <n v="0"/>
    <n v="0"/>
    <n v="0"/>
    <n v="0"/>
    <n v="0"/>
    <n v="0"/>
    <n v="0"/>
    <n v="0"/>
    <n v="0"/>
    <n v="0"/>
    <n v="120"/>
  </r>
  <r>
    <x v="0"/>
    <x v="9"/>
    <s v="TI/IO"/>
    <s v="Carlos Araújo"/>
    <s v="EA/EP"/>
    <s v="Reginaldo de Almeida Silva_x000a_3506-2964"/>
    <s v="DDC"/>
    <s v="NA"/>
    <s v="-"/>
    <s v="Programa de cálculo de janela de travessia e balanço de cabos"/>
    <s v="Cálculo de janelas de travessias de MD sob LD e de balanço de cabos._x000a_8 licenças."/>
    <s v="Atendimento à demanda continuará com a EA/EP, consumindo recurso humano de um profissional em tempo integral e comprometendo seu desempenho e o atendimento às demandas de expansão. "/>
    <s v="-"/>
    <n v="0"/>
    <n v="0"/>
    <n v="0"/>
    <n v="0"/>
    <n v="0"/>
    <n v="0"/>
    <n v="0"/>
    <n v="0"/>
    <n v="0"/>
    <n v="0"/>
    <n v="0"/>
    <n v="72"/>
    <n v="72"/>
    <n v="0"/>
    <n v="0"/>
    <n v="0"/>
    <n v="0"/>
    <n v="0"/>
    <n v="0"/>
    <n v="0"/>
    <n v="0"/>
    <n v="0"/>
    <n v="0"/>
    <n v="0"/>
    <n v="0"/>
    <n v="0"/>
    <n v="0"/>
    <n v="0"/>
    <n v="0"/>
    <n v="0"/>
    <n v="0"/>
    <n v="0"/>
    <n v="0"/>
    <n v="0"/>
    <n v="0"/>
    <n v="0"/>
    <n v="0"/>
    <n v="0"/>
    <n v="0"/>
    <n v="0"/>
    <n v="0"/>
    <n v="0"/>
    <n v="0"/>
    <n v="0"/>
    <n v="0"/>
    <n v="0"/>
    <n v="0"/>
    <n v="0"/>
    <n v="0"/>
    <n v="0"/>
    <n v="0"/>
    <n v="0"/>
    <n v="0"/>
    <n v="0"/>
    <n v="0"/>
    <n v="0"/>
    <n v="0"/>
    <n v="0"/>
    <n v="0"/>
    <n v="0"/>
    <n v="0"/>
    <n v="0"/>
    <n v="0"/>
    <n v="0"/>
    <n v="0"/>
    <n v="72"/>
  </r>
  <r>
    <x v="0"/>
    <x v="9"/>
    <s v="TI/IO"/>
    <s v="Carlos Araújo"/>
    <s v="EA/EP"/>
    <s v="Reginaldo de Almeida Silva_x000a_3506-2964"/>
    <s v="DDC"/>
    <s v="NA"/>
    <s v="-"/>
    <s v="Programa para substituição do Sistproj"/>
    <s v="Programa para cálculo de rotinas de projetos de LD._x000a_2 licenças"/>
    <s v="Paralização de atividades de projetos executivos de LD com comprometimento de prazos e custos dos planos de expansão._x000a_Impossibilidade de realizar a elaboração e a conferência de projetos contratados que utilizem resultados destas rotinas, que são comuns."/>
    <s v="-"/>
    <n v="0"/>
    <n v="0"/>
    <n v="0"/>
    <n v="0"/>
    <n v="0"/>
    <n v="0"/>
    <n v="0"/>
    <n v="0"/>
    <n v="0"/>
    <n v="0"/>
    <n v="0"/>
    <n v="95"/>
    <n v="95"/>
    <n v="0"/>
    <n v="0"/>
    <n v="0"/>
    <n v="0"/>
    <n v="0"/>
    <n v="0"/>
    <n v="0"/>
    <n v="0"/>
    <n v="0"/>
    <n v="0"/>
    <n v="0"/>
    <n v="0"/>
    <n v="0"/>
    <n v="0"/>
    <n v="0"/>
    <n v="0"/>
    <n v="0"/>
    <n v="0"/>
    <n v="0"/>
    <n v="0"/>
    <n v="0"/>
    <n v="0"/>
    <n v="0"/>
    <n v="0"/>
    <n v="0"/>
    <n v="0"/>
    <n v="0"/>
    <n v="0"/>
    <n v="0"/>
    <n v="0"/>
    <n v="0"/>
    <n v="0"/>
    <n v="0"/>
    <n v="0"/>
    <n v="0"/>
    <n v="0"/>
    <n v="0"/>
    <n v="0"/>
    <n v="0"/>
    <n v="0"/>
    <n v="0"/>
    <n v="0"/>
    <n v="0"/>
    <n v="0"/>
    <n v="0"/>
    <n v="0"/>
    <n v="0"/>
    <n v="0"/>
    <n v="0"/>
    <n v="0"/>
    <n v="0"/>
    <n v="0"/>
    <n v="95"/>
  </r>
  <r>
    <x v="0"/>
    <x v="9"/>
    <s v="TI/IO"/>
    <s v="Carlos Araújo"/>
    <s v="TI/IO"/>
    <s v="Carlos Araújo"/>
    <s v="DGE"/>
    <s v="NA"/>
    <s v="-"/>
    <s v="xOmini"/>
    <s v="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
    <s v="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
    <s v="-"/>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539.6867243280576"/>
    <n v="2539.6867243280576"/>
    <n v="2539.6867243280576"/>
  </r>
  <r>
    <x v="3"/>
    <x v="16"/>
    <s v="TI/IO"/>
    <s v="Carlos Araújo"/>
    <s v="TI/IO"/>
    <s v="Carlos Araújo"/>
    <s v="DGE"/>
    <s v="TI04518"/>
    <s v="TINV.18.H.045.MP"/>
    <s v="Modernização do Parque Microinformática (CORPORATIVO) H"/>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0"/>
    <n v="0"/>
    <n v="0"/>
    <n v="0"/>
    <n v="0"/>
    <n v="0"/>
    <n v="0"/>
    <n v="75"/>
    <n v="75"/>
    <n v="0"/>
    <n v="0"/>
    <n v="0"/>
    <n v="0"/>
    <n v="0"/>
    <n v="0"/>
    <n v="0"/>
    <n v="0"/>
    <n v="75"/>
    <n v="0"/>
    <n v="0"/>
    <n v="0"/>
    <n v="75"/>
    <n v="0"/>
    <n v="0"/>
    <n v="0"/>
    <n v="0"/>
    <n v="0"/>
    <n v="0"/>
    <n v="0"/>
    <n v="0"/>
    <n v="150"/>
    <n v="0"/>
    <n v="0"/>
    <n v="0"/>
    <n v="150"/>
    <n v="0"/>
    <n v="0"/>
    <n v="0"/>
    <n v="0"/>
    <n v="0"/>
    <n v="0"/>
    <n v="0"/>
    <n v="0"/>
    <n v="150"/>
    <n v="0"/>
    <n v="0"/>
    <n v="0"/>
    <n v="150"/>
    <n v="0"/>
    <n v="0"/>
    <n v="0"/>
    <n v="0"/>
    <n v="0"/>
    <n v="0"/>
    <n v="0"/>
    <n v="0"/>
    <n v="0"/>
    <n v="0"/>
    <n v="250"/>
    <n v="0"/>
    <n v="250"/>
    <n v="700"/>
  </r>
  <r>
    <x v="3"/>
    <x v="17"/>
    <s v="TI/IO"/>
    <s v="Marcus Souto"/>
    <s v="TI/IO"/>
    <s v="Marcus Souto"/>
    <s v="DGE"/>
    <s v="TI07118"/>
    <s v="TINV.18.H.045.MS"/>
    <s v="Licenciamento Microsoft H"/>
    <s v="Renovação do contrato de licenciamento de software que contempla Windows Server, Office, etc (2015). Para os demais anos, atendimento às demandas de novos projetos"/>
    <s v="-"/>
    <s v="Postergação do desembolso, conforme estratégia de contratação/renovação dos produtos licenciados."/>
    <n v="0"/>
    <n v="0"/>
    <n v="0"/>
    <n v="0"/>
    <n v="0"/>
    <n v="0"/>
    <n v="0"/>
    <n v="0"/>
    <n v="15"/>
    <n v="0"/>
    <n v="0"/>
    <m/>
    <n v="15"/>
    <n v="0"/>
    <n v="0"/>
    <n v="0"/>
    <n v="0"/>
    <n v="0"/>
    <n v="0"/>
    <n v="0"/>
    <n v="15"/>
    <n v="0"/>
    <n v="0"/>
    <n v="0"/>
    <n v="0"/>
    <n v="15"/>
    <n v="0"/>
    <n v="0"/>
    <n v="0"/>
    <n v="0"/>
    <n v="0"/>
    <n v="0"/>
    <n v="0"/>
    <n v="15"/>
    <n v="0"/>
    <n v="0"/>
    <n v="0"/>
    <n v="0"/>
    <n v="15"/>
    <n v="0"/>
    <n v="0"/>
    <n v="0"/>
    <n v="0"/>
    <n v="0"/>
    <n v="0"/>
    <n v="0"/>
    <n v="812"/>
    <n v="0"/>
    <n v="0"/>
    <n v="0"/>
    <n v="0"/>
    <n v="812"/>
    <n v="0"/>
    <n v="0"/>
    <n v="0"/>
    <n v="0"/>
    <n v="0"/>
    <n v="0"/>
    <n v="0"/>
    <n v="812"/>
    <n v="0"/>
    <n v="0"/>
    <n v="0"/>
    <n v="0"/>
    <n v="812"/>
    <n v="1669"/>
  </r>
  <r>
    <x v="1"/>
    <x v="11"/>
    <s v="TI/RT"/>
    <s v="Heberte Faria"/>
    <s v="SC"/>
    <s v="José Maria Nascimento Filho"/>
    <s v="DGE"/>
    <s v="NA"/>
    <s v="-"/>
    <s v="HP SERVICE MANAGER G"/>
    <s v="Renovação das licenças do software HP SERVICE MANAGER."/>
    <s v="-"/>
    <s v="-"/>
    <n v="0"/>
    <n v="0"/>
    <n v="0"/>
    <n v="0"/>
    <n v="0"/>
    <n v="0"/>
    <n v="0"/>
    <n v="0"/>
    <n v="0"/>
    <n v="0"/>
    <n v="0"/>
    <n v="0"/>
    <n v="0"/>
    <n v="0"/>
    <n v="0"/>
    <n v="0"/>
    <n v="0"/>
    <n v="0"/>
    <n v="0"/>
    <n v="0"/>
    <n v="0"/>
    <n v="0"/>
    <n v="0"/>
    <n v="0"/>
    <n v="0"/>
    <n v="0"/>
    <n v="0"/>
    <n v="0"/>
    <n v="0"/>
    <n v="0"/>
    <n v="0"/>
    <n v="0"/>
    <n v="0"/>
    <n v="0"/>
    <n v="0"/>
    <n v="0"/>
    <n v="0"/>
    <n v="0"/>
    <n v="0"/>
    <n v="0"/>
    <n v="0"/>
    <n v="0"/>
    <n v="0"/>
    <n v="0"/>
    <n v="0"/>
    <n v="0"/>
    <n v="0"/>
    <n v="0"/>
    <n v="150"/>
    <n v="0"/>
    <n v="0"/>
    <n v="150"/>
    <n v="0"/>
    <n v="0"/>
    <n v="0"/>
    <n v="0"/>
    <n v="0"/>
    <n v="0"/>
    <n v="0"/>
    <n v="0"/>
    <n v="0"/>
    <n v="0"/>
    <n v="0"/>
    <n v="0"/>
    <n v="0"/>
    <n v="150"/>
  </r>
  <r>
    <x v="0"/>
    <x v="9"/>
    <s v="TI/RT"/>
    <s v="Heberte Faria"/>
    <s v="TI/RT"/>
    <s v="Heberte Faria"/>
    <s v="DGE"/>
    <s v="NA"/>
    <s v="-"/>
    <s v="HP SERVICE MANAGER D"/>
    <s v="Renovação das licenças do software HP SERVICE MANAGER."/>
    <s v="-"/>
    <s v="-"/>
    <n v="0"/>
    <n v="0"/>
    <n v="0"/>
    <n v="0"/>
    <n v="0"/>
    <n v="0"/>
    <n v="0"/>
    <n v="0"/>
    <n v="0"/>
    <n v="400"/>
    <n v="0"/>
    <n v="0"/>
    <n v="400"/>
    <n v="0"/>
    <n v="0"/>
    <n v="0"/>
    <n v="0"/>
    <n v="0"/>
    <n v="0"/>
    <n v="0"/>
    <n v="0"/>
    <n v="0"/>
    <n v="0"/>
    <n v="0"/>
    <n v="0"/>
    <n v="0"/>
    <n v="0"/>
    <n v="0"/>
    <n v="0"/>
    <n v="0"/>
    <n v="0"/>
    <n v="0"/>
    <n v="0"/>
    <n v="0"/>
    <n v="0"/>
    <n v="0"/>
    <n v="0"/>
    <n v="0"/>
    <n v="0"/>
    <n v="0"/>
    <n v="0"/>
    <n v="0"/>
    <n v="0"/>
    <n v="0"/>
    <n v="0"/>
    <n v="0"/>
    <n v="0"/>
    <n v="0"/>
    <n v="400"/>
    <n v="0"/>
    <n v="0"/>
    <n v="400"/>
    <n v="0"/>
    <n v="0"/>
    <n v="0"/>
    <n v="0"/>
    <n v="0"/>
    <n v="0"/>
    <n v="0"/>
    <n v="0"/>
    <n v="0"/>
    <n v="0"/>
    <n v="0"/>
    <n v="0"/>
    <n v="0"/>
    <n v="800"/>
  </r>
  <r>
    <x v="0"/>
    <x v="9"/>
    <s v="TI/RT"/>
    <s v="Heberte Faria"/>
    <s v="TI/RT"/>
    <s v="Heberte Faria"/>
    <s v="DGE"/>
    <s v="TI05318"/>
    <s v="TINV.18.D.762.WZ"/>
    <s v="Licenças WARPZ de otimização de programas no ambiente SAP"/>
    <s v="Otimização do processamento no ambiente SAP, realizado por programas ABAP utilizando  20 licenças  do produto WARPZ , com o objetivo de reduzir o tempo de execução dos programas, menor necessidade de hardwares como memorias e processadores."/>
    <s v="Necessitar maior investimento em hardware de processamento; Ocorrer frequentemente reclamação em função de problema de desempenho no processo on-line provocado por atraso no processamento da Janela batch;"/>
    <s v="Demanda incorporada à carteira, considerando remanejamento entre projetos."/>
    <n v="0"/>
    <n v="0"/>
    <n v="0"/>
    <n v="0"/>
    <n v="0"/>
    <n v="0"/>
    <n v="800"/>
    <n v="0"/>
    <n v="0"/>
    <n v="0"/>
    <n v="0"/>
    <n v="0"/>
    <n v="0"/>
    <n v="0"/>
    <n v="0"/>
    <n v="0"/>
    <n v="0"/>
    <n v="0"/>
    <n v="0"/>
    <n v="0"/>
    <n v="0"/>
    <n v="0"/>
    <n v="0"/>
    <n v="0"/>
    <n v="0"/>
    <n v="0"/>
    <n v="0"/>
    <n v="0"/>
    <n v="0"/>
    <n v="0"/>
    <n v="0"/>
    <n v="0"/>
    <n v="0"/>
    <n v="0"/>
    <n v="0"/>
    <n v="0"/>
    <n v="0"/>
    <n v="0"/>
    <n v="0"/>
    <n v="0"/>
    <n v="0"/>
    <n v="0"/>
    <n v="0"/>
    <n v="0"/>
    <n v="0"/>
    <n v="0"/>
    <n v="0"/>
    <n v="0"/>
    <n v="0"/>
    <n v="0"/>
    <n v="0"/>
    <n v="0"/>
    <m/>
    <m/>
    <m/>
    <m/>
    <m/>
    <m/>
    <m/>
    <m/>
    <m/>
    <m/>
    <m/>
    <m/>
    <n v="0"/>
    <n v="0"/>
  </r>
  <r>
    <x v="0"/>
    <x v="9"/>
    <s v="TI/RT"/>
    <s v="Sérgio Mourthé"/>
    <s v="TI/RT"/>
    <s v="Sérgio Mourthé"/>
    <s v="DGE"/>
    <s v="NA"/>
    <s v="-"/>
    <s v="Projeto de Atualização da Versão do SAP CRM"/>
    <s v="Projeto de Atualização da Versão do SAP CRM"/>
    <s v="Impacto no atendimento aos clientes; Defasagem tecnológica;"/>
    <s v="-"/>
    <n v="0"/>
    <n v="0"/>
    <n v="0"/>
    <n v="0"/>
    <n v="0"/>
    <n v="0"/>
    <n v="0"/>
    <n v="0"/>
    <n v="0"/>
    <n v="0"/>
    <n v="0"/>
    <n v="0"/>
    <n v="0"/>
    <n v="0"/>
    <n v="0"/>
    <n v="0"/>
    <n v="0"/>
    <n v="0"/>
    <n v="0"/>
    <n v="0"/>
    <n v="0"/>
    <n v="0"/>
    <n v="0"/>
    <n v="0"/>
    <n v="0"/>
    <n v="0"/>
    <n v="300"/>
    <n v="300"/>
    <n v="300"/>
    <n v="300"/>
    <n v="300"/>
    <n v="300"/>
    <n v="300"/>
    <n v="300"/>
    <n v="300"/>
    <n v="300"/>
    <n v="300"/>
    <n v="155"/>
    <n v="3455"/>
    <n v="0"/>
    <n v="0"/>
    <n v="0"/>
    <n v="0"/>
    <n v="0"/>
    <n v="0"/>
    <n v="0"/>
    <n v="0"/>
    <n v="0"/>
    <n v="0"/>
    <n v="0"/>
    <n v="0"/>
    <n v="0"/>
    <n v="0"/>
    <n v="0"/>
    <n v="0"/>
    <n v="0"/>
    <n v="0"/>
    <n v="0"/>
    <n v="0"/>
    <n v="0"/>
    <n v="0"/>
    <n v="0"/>
    <n v="0"/>
    <n v="0"/>
    <n v="0"/>
    <n v="3455"/>
  </r>
  <r>
    <x v="0"/>
    <x v="9"/>
    <s v="TI/RT"/>
    <s v="Heberte Faria"/>
    <s v="TI/RT"/>
    <s v="Heberte Faria"/>
    <s v="DGE"/>
    <s v="TI02616"/>
    <s v="TINV.16.D.042.CS"/>
    <s v="Sistema de Gestão de Serviços Corporativos em BPMS"/>
    <s v="Construção de um sistema para a área de serviços corporativos compartilhados, baseado na modelagem de processo de negócio; Padronização e Unificação de ferramentas usadas nos processos assumidos pela superintendência SC."/>
    <s v="Baixa produtividade das equipes centralizadas; Falta de padronização das ferramentas utilizadas; Demora no atendimento aos serviços corporativos compartilhados."/>
    <s v="-"/>
    <n v="0"/>
    <n v="0"/>
    <n v="0"/>
    <n v="0"/>
    <n v="0"/>
    <n v="0"/>
    <n v="0"/>
    <n v="0"/>
    <n v="0"/>
    <n v="0"/>
    <n v="20"/>
    <n v="35"/>
    <n v="55"/>
    <n v="0"/>
    <n v="0"/>
    <n v="0"/>
    <n v="0"/>
    <n v="0"/>
    <n v="0"/>
    <n v="0"/>
    <n v="20"/>
    <n v="0"/>
    <n v="0"/>
    <n v="22"/>
    <n v="0"/>
    <n v="42"/>
    <n v="0"/>
    <n v="0"/>
    <n v="0"/>
    <n v="0"/>
    <n v="0"/>
    <n v="0"/>
    <n v="0"/>
    <n v="0"/>
    <n v="0"/>
    <n v="0"/>
    <n v="0"/>
    <n v="0"/>
    <n v="0"/>
    <n v="0"/>
    <n v="0"/>
    <n v="0"/>
    <n v="0"/>
    <n v="0"/>
    <n v="0"/>
    <n v="0"/>
    <n v="0"/>
    <n v="0"/>
    <n v="0"/>
    <n v="0"/>
    <n v="0"/>
    <n v="0"/>
    <n v="0"/>
    <n v="0"/>
    <n v="0"/>
    <n v="0"/>
    <n v="0"/>
    <n v="0"/>
    <n v="0"/>
    <n v="0"/>
    <n v="0"/>
    <n v="0"/>
    <n v="0"/>
    <n v="0"/>
    <n v="0"/>
    <n v="97"/>
  </r>
  <r>
    <x v="1"/>
    <x v="11"/>
    <s v="TI/SI"/>
    <s v="Álisson Costa"/>
    <s v="PO/PE"/>
    <s v="Ivan Sérgio Carneiro"/>
    <s v="DGT"/>
    <s v="TI06818"/>
    <s v="-"/>
    <s v="Aquisição de Produtos OSISoft (PI System)"/>
    <m/>
    <m/>
    <s v="Postergação do desembolso para adequação da curva de investimento."/>
    <n v="0"/>
    <n v="0"/>
    <n v="0"/>
    <n v="0"/>
    <n v="0"/>
    <n v="0"/>
    <n v="0"/>
    <n v="0"/>
    <n v="0"/>
    <n v="420"/>
    <n v="0"/>
    <n v="0"/>
    <n v="420"/>
    <n v="0"/>
    <n v="0"/>
    <n v="0"/>
    <n v="0"/>
    <n v="0"/>
    <n v="0"/>
    <n v="0"/>
    <n v="0"/>
    <n v="0"/>
    <n v="0"/>
    <n v="0"/>
    <n v="0"/>
    <n v="0"/>
    <n v="0"/>
    <n v="0"/>
    <n v="0"/>
    <n v="0"/>
    <n v="0"/>
    <n v="480"/>
    <n v="0"/>
    <n v="0"/>
    <n v="0"/>
    <n v="0"/>
    <n v="0"/>
    <n v="0"/>
    <n v="480"/>
    <n v="0"/>
    <n v="0"/>
    <n v="0"/>
    <n v="0"/>
    <n v="0"/>
    <n v="0"/>
    <n v="0"/>
    <n v="0"/>
    <n v="0"/>
    <n v="0"/>
    <n v="0"/>
    <n v="0"/>
    <n v="0"/>
    <n v="0"/>
    <n v="0"/>
    <n v="0"/>
    <n v="0"/>
    <n v="0"/>
    <n v="0"/>
    <n v="0"/>
    <n v="0"/>
    <n v="0"/>
    <n v="0"/>
    <n v="0"/>
    <n v="0"/>
    <n v="0"/>
    <n v="900"/>
  </r>
  <r>
    <x v="1"/>
    <x v="11"/>
    <s v="TI/SI"/>
    <s v="Álisson Costa"/>
    <s v="PO/MT"/>
    <s v="Alexsandro Teixeira Gomes"/>
    <s v="DGE"/>
    <s v="TI05818"/>
    <s v="TINV.18.G.042.SB"/>
    <s v="Aquisição SIGGA Brizzo"/>
    <s v="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
    <s v="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
    <s v="Revisão do escopo do projeto, considerando necessidade do sistema pela área usuária."/>
    <n v="0"/>
    <n v="0"/>
    <n v="0"/>
    <n v="0"/>
    <n v="0"/>
    <n v="0"/>
    <n v="0"/>
    <n v="0"/>
    <n v="318"/>
    <n v="0"/>
    <n v="0"/>
    <n v="0"/>
    <n v="318"/>
    <n v="0"/>
    <n v="188"/>
    <n v="0"/>
    <n v="0"/>
    <n v="0"/>
    <n v="0"/>
    <n v="0"/>
    <n v="0"/>
    <n v="0"/>
    <n v="0"/>
    <n v="0"/>
    <n v="0"/>
    <n v="188"/>
    <n v="0"/>
    <n v="0"/>
    <n v="0"/>
    <n v="0"/>
    <n v="0"/>
    <n v="0"/>
    <n v="0"/>
    <n v="0"/>
    <n v="0"/>
    <n v="0"/>
    <n v="0"/>
    <n v="0"/>
    <n v="0"/>
    <n v="0"/>
    <n v="0"/>
    <n v="0"/>
    <n v="0"/>
    <n v="0"/>
    <n v="0"/>
    <n v="0"/>
    <n v="0"/>
    <n v="0"/>
    <n v="0"/>
    <n v="0"/>
    <n v="0"/>
    <n v="0"/>
    <n v="0"/>
    <n v="0"/>
    <n v="0"/>
    <n v="0"/>
    <n v="0"/>
    <n v="0"/>
    <n v="0"/>
    <n v="0"/>
    <n v="0"/>
    <n v="0"/>
    <n v="0"/>
    <n v="0"/>
    <n v="0"/>
    <n v="506"/>
  </r>
  <r>
    <x v="1"/>
    <x v="11"/>
    <s v="TI/SI"/>
    <s v="Álisson Costa"/>
    <s v="PO/MG"/>
    <s v="Antônio Carlos Arantes"/>
    <s v="DGT"/>
    <s v="NA"/>
    <s v="-"/>
    <s v="Desenvolvimento de software de diagnóstico e planejamento de investimento de Geração"/>
    <m/>
    <m/>
    <s v="-"/>
    <n v="0"/>
    <n v="0"/>
    <n v="0"/>
    <n v="0"/>
    <n v="0"/>
    <n v="0"/>
    <n v="0"/>
    <n v="0"/>
    <n v="0"/>
    <n v="0"/>
    <n v="0"/>
    <n v="0"/>
    <n v="0"/>
    <n v="0"/>
    <n v="0"/>
    <n v="0"/>
    <n v="0"/>
    <n v="0"/>
    <n v="0"/>
    <n v="0"/>
    <n v="0"/>
    <n v="0"/>
    <n v="0"/>
    <n v="0"/>
    <n v="0"/>
    <n v="0"/>
    <n v="0"/>
    <n v="0"/>
    <n v="0"/>
    <n v="0"/>
    <n v="0"/>
    <n v="100"/>
    <n v="0"/>
    <n v="0"/>
    <n v="0"/>
    <n v="0"/>
    <n v="0"/>
    <n v="0"/>
    <n v="100"/>
    <n v="0"/>
    <n v="0"/>
    <n v="0"/>
    <n v="0"/>
    <n v="0"/>
    <n v="0"/>
    <n v="0"/>
    <n v="0"/>
    <n v="0"/>
    <n v="0"/>
    <n v="0"/>
    <n v="0"/>
    <n v="0"/>
    <n v="0"/>
    <n v="0"/>
    <n v="0"/>
    <n v="0"/>
    <n v="0"/>
    <n v="0"/>
    <n v="0"/>
    <n v="0"/>
    <n v="0"/>
    <n v="0"/>
    <n v="0"/>
    <n v="0"/>
    <n v="0"/>
    <n v="100"/>
  </r>
  <r>
    <x v="1"/>
    <x v="11"/>
    <s v="TI/SI"/>
    <s v="Álisson Costa"/>
    <s v="PO/PE"/>
    <s v="Diogo Martins"/>
    <s v="DGT"/>
    <s v="TI03018"/>
    <s v="TINV.18.G.042.PA"/>
    <s v="Infraestrutura de Comunicação para o Plano de Ações Emergências - PAE em Usinas da Geração Cemig GT"/>
    <s v="Software a ser desenvolvido por empresa de TI e tem como produto um aplicativo para Celular que relacione com os COMPDECs( Defesa Civil dos municípios) e Comunidades do entorno dos empreendimentos( barragens)."/>
    <s v="Além da não conformidade legal, envolve riscos de falha de comunicação para a comunidade e Defesa Civil."/>
    <s v="Revisão de escopo do projeto, considerando ganho obtido na contratação."/>
    <n v="0"/>
    <n v="0"/>
    <n v="0"/>
    <n v="0"/>
    <n v="0"/>
    <n v="0"/>
    <n v="0"/>
    <n v="0"/>
    <n v="16"/>
    <n v="20"/>
    <n v="20"/>
    <n v="59.198999999999998"/>
    <n v="115.199"/>
    <n v="0"/>
    <n v="0"/>
    <n v="0"/>
    <n v="0"/>
    <n v="0"/>
    <n v="0"/>
    <n v="0"/>
    <n v="0"/>
    <n v="0"/>
    <n v="0"/>
    <n v="0"/>
    <n v="0"/>
    <n v="0"/>
    <n v="0"/>
    <n v="0"/>
    <n v="0"/>
    <n v="0"/>
    <n v="0"/>
    <n v="0"/>
    <n v="0"/>
    <n v="0"/>
    <n v="0"/>
    <n v="0"/>
    <n v="0"/>
    <n v="0"/>
    <n v="0"/>
    <n v="0"/>
    <n v="0"/>
    <n v="0"/>
    <n v="0"/>
    <n v="0"/>
    <n v="0"/>
    <n v="0"/>
    <n v="0"/>
    <n v="0"/>
    <n v="0"/>
    <n v="0"/>
    <n v="0"/>
    <n v="0"/>
    <n v="0"/>
    <n v="0"/>
    <n v="0"/>
    <n v="0"/>
    <n v="0"/>
    <n v="0"/>
    <n v="0"/>
    <n v="0"/>
    <n v="0"/>
    <n v="0"/>
    <n v="0"/>
    <n v="0"/>
    <n v="0"/>
    <n v="115.199"/>
  </r>
  <r>
    <x v="1"/>
    <x v="11"/>
    <s v="TI/SI"/>
    <s v="Álisson Costa"/>
    <s v="TI/SI"/>
    <s v="Álisson Costa"/>
    <s v="DGE"/>
    <s v="TI00218"/>
    <s v="TINV.18.G.042.OR"/>
    <s v="Licenciamento de Softwares (Oracle) G"/>
    <s v="Renovação do licenciamento Oracle UDD, que foi celebrado em 2012 e vence em 2015, quando necessita ser renovado."/>
    <s v="Falta de suporte e incompatibilidade do produtos com o sistema operacional nos servidores de produção da Cemig."/>
    <s v="Revisão do escopo do projeto, incorporando ganhos obtidos na negociação do licenciamento."/>
    <n v="0"/>
    <n v="0"/>
    <n v="119.11103057861328"/>
    <n v="0"/>
    <n v="0"/>
    <n v="0"/>
    <n v="0"/>
    <n v="0"/>
    <n v="0"/>
    <n v="0"/>
    <n v="0"/>
    <n v="0"/>
    <n v="0"/>
    <n v="0"/>
    <n v="125"/>
    <n v="0"/>
    <n v="0"/>
    <n v="0"/>
    <n v="0"/>
    <n v="0"/>
    <n v="0"/>
    <n v="0"/>
    <n v="0"/>
    <n v="0"/>
    <n v="0"/>
    <n v="125"/>
    <n v="0"/>
    <n v="180"/>
    <n v="0"/>
    <n v="0"/>
    <n v="0"/>
    <n v="0"/>
    <n v="0"/>
    <n v="0"/>
    <n v="0"/>
    <n v="0"/>
    <n v="0"/>
    <n v="0"/>
    <n v="180"/>
    <n v="0"/>
    <n v="210"/>
    <n v="0"/>
    <n v="0"/>
    <n v="0"/>
    <n v="0"/>
    <n v="0"/>
    <n v="0"/>
    <n v="0"/>
    <n v="0"/>
    <n v="0"/>
    <n v="0"/>
    <n v="210"/>
    <n v="0"/>
    <n v="210"/>
    <n v="0"/>
    <n v="0"/>
    <n v="0"/>
    <n v="0"/>
    <n v="0"/>
    <n v="0"/>
    <n v="0"/>
    <n v="0"/>
    <n v="0"/>
    <n v="0"/>
    <n v="210"/>
    <n v="725"/>
  </r>
  <r>
    <x v="1"/>
    <x v="11"/>
    <s v="TI/SI"/>
    <s v="Álisson Costa"/>
    <s v="TI/SI"/>
    <s v="Álisson Costa"/>
    <s v="DGE"/>
    <s v="NA"/>
    <s v="-"/>
    <s v="Licenciamento HEXAGON G"/>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s v="-"/>
    <n v="0"/>
    <n v="0"/>
    <n v="0"/>
    <n v="0"/>
    <n v="0"/>
    <n v="0"/>
    <n v="0"/>
    <n v="0"/>
    <n v="0"/>
    <n v="0"/>
    <n v="0"/>
    <n v="0"/>
    <n v="0"/>
    <n v="0"/>
    <n v="0"/>
    <n v="0"/>
    <n v="0"/>
    <n v="0"/>
    <n v="0"/>
    <n v="0"/>
    <n v="0"/>
    <n v="0"/>
    <n v="0"/>
    <n v="0"/>
    <n v="0"/>
    <n v="0"/>
    <n v="0"/>
    <n v="335"/>
    <n v="0"/>
    <n v="0"/>
    <n v="0"/>
    <n v="0"/>
    <n v="0"/>
    <n v="0"/>
    <n v="0"/>
    <n v="0"/>
    <n v="0"/>
    <n v="0"/>
    <n v="335"/>
    <n v="0"/>
    <n v="335"/>
    <n v="0"/>
    <n v="0"/>
    <n v="0"/>
    <n v="0"/>
    <n v="0"/>
    <n v="0"/>
    <n v="0"/>
    <n v="0"/>
    <n v="0"/>
    <n v="0"/>
    <n v="335"/>
    <n v="0"/>
    <n v="0"/>
    <n v="0"/>
    <n v="0"/>
    <n v="0"/>
    <n v="0"/>
    <n v="0"/>
    <n v="0"/>
    <n v="0"/>
    <n v="0"/>
    <n v="0"/>
    <n v="0"/>
    <n v="0"/>
    <n v="670"/>
  </r>
  <r>
    <x v="1"/>
    <x v="11"/>
    <s v="TI/SI"/>
    <s v="Álisson Costa"/>
    <s v="PO/MG"/>
    <s v="Antônio Carlos Arantes"/>
    <s v="DGT"/>
    <s v="NA"/>
    <s v="-"/>
    <s v="Novo SIGO (Escopo reduzido)"/>
    <s v="Upgrade SIGO - Sistema de Informação da Operação"/>
    <s v="Falha grave no software que pode acarretar a perda de controle da operação e histórico de intervenções das unidades geradoras da Cemig"/>
    <s v="-"/>
    <n v="0"/>
    <n v="0"/>
    <n v="0"/>
    <n v="0"/>
    <n v="0"/>
    <n v="0"/>
    <n v="0"/>
    <n v="0"/>
    <n v="0"/>
    <n v="0"/>
    <n v="0"/>
    <n v="0"/>
    <n v="0"/>
    <n v="0"/>
    <n v="0"/>
    <n v="0"/>
    <n v="0"/>
    <n v="0"/>
    <n v="0"/>
    <n v="0"/>
    <n v="0"/>
    <n v="0"/>
    <n v="0"/>
    <n v="0"/>
    <n v="0"/>
    <n v="0"/>
    <n v="0"/>
    <n v="0"/>
    <n v="0"/>
    <n v="0"/>
    <n v="0"/>
    <n v="0"/>
    <n v="0"/>
    <n v="0"/>
    <n v="0"/>
    <n v="0"/>
    <n v="0"/>
    <n v="0"/>
    <n v="0"/>
    <n v="0"/>
    <n v="0"/>
    <n v="175"/>
    <n v="0"/>
    <n v="0"/>
    <n v="0"/>
    <n v="0"/>
    <n v="0"/>
    <n v="0"/>
    <n v="0"/>
    <n v="0"/>
    <n v="0"/>
    <n v="175"/>
    <n v="0"/>
    <n v="0"/>
    <n v="0"/>
    <n v="0"/>
    <n v="0"/>
    <n v="0"/>
    <n v="0"/>
    <n v="0"/>
    <n v="0"/>
    <n v="0"/>
    <n v="0"/>
    <n v="0"/>
    <n v="0"/>
    <n v="175"/>
  </r>
  <r>
    <x v="1"/>
    <x v="11"/>
    <s v="TI/SI"/>
    <s v="Álisson Costa"/>
    <s v="PO/MT"/>
    <s v="Adriana de Castro Passos Martins"/>
    <s v="DGE"/>
    <s v="NA"/>
    <s v="-"/>
    <s v="Upgrade do Sistema SMO - Laboratório de Óleos"/>
    <s v="Atualização do sistema de análises físico químicas da Cemig - SMO usado no laboratório de óleos"/>
    <s v="Aumento da obsolescência do sistema "/>
    <s v="-"/>
    <n v="0"/>
    <n v="0"/>
    <n v="0"/>
    <n v="0"/>
    <n v="0"/>
    <n v="0"/>
    <n v="0"/>
    <n v="0"/>
    <n v="0"/>
    <n v="0"/>
    <n v="0"/>
    <n v="0"/>
    <n v="0"/>
    <n v="0"/>
    <n v="0"/>
    <n v="0"/>
    <n v="0"/>
    <n v="0"/>
    <n v="0"/>
    <n v="0"/>
    <n v="0"/>
    <n v="0"/>
    <n v="0"/>
    <n v="0"/>
    <n v="0"/>
    <n v="0"/>
    <n v="0"/>
    <n v="0"/>
    <n v="0"/>
    <n v="0"/>
    <n v="0"/>
    <n v="0"/>
    <n v="0"/>
    <n v="0"/>
    <n v="0"/>
    <n v="0"/>
    <n v="0"/>
    <n v="0"/>
    <n v="0"/>
    <n v="0"/>
    <n v="0"/>
    <n v="103"/>
    <n v="0"/>
    <n v="0"/>
    <n v="0"/>
    <n v="0"/>
    <n v="0"/>
    <n v="0"/>
    <n v="0"/>
    <n v="0"/>
    <n v="0"/>
    <n v="103"/>
    <n v="0"/>
    <n v="0"/>
    <n v="122"/>
    <n v="0"/>
    <n v="0"/>
    <n v="0"/>
    <n v="0"/>
    <n v="0"/>
    <n v="0"/>
    <n v="0"/>
    <n v="0"/>
    <n v="0"/>
    <n v="122"/>
    <n v="225"/>
  </r>
  <r>
    <x v="1"/>
    <x v="11"/>
    <s v="TI/SI"/>
    <s v="Álisson Costa"/>
    <s v="MG/SB"/>
    <s v="Diego Balbi"/>
    <s v="DGE"/>
    <s v="TI02216"/>
    <s v="TINV.16.G.042.IP"/>
    <s v="Upgrade do Software Inspetor"/>
    <s v="Upgrade em software de Sistema de Segurança de Barragens e Manutenção Civil"/>
    <s v="Se o sistema não for atualizado, podemos não ter equipe técnica qualificada para corrigir futuros problemas, devido à arquitetura de software e hardware antiga usada pelo mesmo."/>
    <s v="-"/>
    <n v="0"/>
    <n v="33.225898742675781"/>
    <n v="15.07450008392334"/>
    <n v="0"/>
    <n v="15.07450008392334"/>
    <n v="136.12045288085937"/>
    <n v="0"/>
    <n v="0"/>
    <n v="60"/>
    <n v="50"/>
    <n v="60"/>
    <n v="120.50463999999999"/>
    <n v="290.50463999999999"/>
    <n v="0"/>
    <n v="0"/>
    <n v="0"/>
    <n v="0"/>
    <n v="0"/>
    <n v="0"/>
    <n v="0"/>
    <n v="0"/>
    <n v="0"/>
    <n v="0"/>
    <n v="0"/>
    <n v="0"/>
    <n v="0"/>
    <n v="0"/>
    <n v="0"/>
    <n v="0"/>
    <n v="0"/>
    <n v="0"/>
    <n v="0"/>
    <n v="0"/>
    <n v="0"/>
    <n v="0"/>
    <n v="0"/>
    <n v="0"/>
    <n v="0"/>
    <n v="0"/>
    <n v="0"/>
    <n v="0"/>
    <n v="0"/>
    <n v="0"/>
    <n v="0"/>
    <n v="0"/>
    <n v="0"/>
    <n v="0"/>
    <n v="0"/>
    <n v="0"/>
    <n v="0"/>
    <n v="0"/>
    <n v="0"/>
    <n v="0"/>
    <n v="0"/>
    <n v="0"/>
    <n v="0"/>
    <n v="0"/>
    <n v="0"/>
    <n v="0"/>
    <n v="0"/>
    <n v="0"/>
    <n v="0"/>
    <n v="0"/>
    <n v="0"/>
    <n v="0"/>
    <n v="290.50463999999999"/>
  </r>
  <r>
    <x v="2"/>
    <x v="18"/>
    <s v="TI/SI"/>
    <s v="Álisson Costa"/>
    <s v="TI/SI"/>
    <s v="Álisson Costa"/>
    <s v="DGE"/>
    <s v="TI08618"/>
    <s v="TINV.18.T.042.PM"/>
    <s v="Desenvolvimento de Solução Computacional para o PMT - Plano de Melhoria da Transmissora"/>
    <m/>
    <m/>
    <s v="Demanda incorporada à carteira, considerando remanejamento entre projetos."/>
    <n v="0"/>
    <n v="0"/>
    <n v="0"/>
    <n v="0"/>
    <n v="0"/>
    <n v="0"/>
    <n v="0"/>
    <n v="0"/>
    <m/>
    <n v="0"/>
    <n v="0"/>
    <n v="0"/>
    <n v="0"/>
    <n v="0"/>
    <n v="25"/>
    <n v="25"/>
    <n v="0"/>
    <n v="50"/>
    <n v="0"/>
    <n v="0"/>
    <n v="50"/>
    <n v="0"/>
    <n v="50"/>
    <n v="0"/>
    <n v="0"/>
    <n v="200"/>
    <n v="0"/>
    <n v="0"/>
    <n v="0"/>
    <n v="0"/>
    <n v="0"/>
    <n v="0"/>
    <n v="0"/>
    <n v="0"/>
    <n v="0"/>
    <n v="0"/>
    <n v="0"/>
    <n v="0"/>
    <n v="0"/>
    <n v="0"/>
    <n v="0"/>
    <n v="0"/>
    <n v="0"/>
    <n v="0"/>
    <n v="0"/>
    <n v="0"/>
    <n v="0"/>
    <n v="0"/>
    <n v="0"/>
    <n v="0"/>
    <n v="0"/>
    <n v="0"/>
    <n v="0"/>
    <n v="0"/>
    <n v="0"/>
    <n v="0"/>
    <n v="0"/>
    <n v="0"/>
    <n v="0"/>
    <n v="0"/>
    <n v="0"/>
    <n v="0"/>
    <n v="0"/>
    <n v="0"/>
    <n v="0"/>
    <n v="200"/>
  </r>
  <r>
    <x v="0"/>
    <x v="15"/>
    <s v="TI/SI"/>
    <s v="Roberto Proença"/>
    <s v="TI/SI"/>
    <s v="Roberto Proença"/>
    <s v="DGE"/>
    <s v="TI01816"/>
    <s v="TINV.16.D.045.TB"/>
    <s v="Aquisição de Equipamento Móvel para Inspeção de Rede"/>
    <s v="Aquisição de equipamento móvel (tablets) para inspeção, desenho de projetos e recebimento de obras de rede distribuição em campo."/>
    <s v="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
    <s v="Postergação do desembolso para adequação da curva de investimento."/>
    <n v="0"/>
    <n v="0"/>
    <n v="0"/>
    <n v="0"/>
    <n v="0"/>
    <n v="0"/>
    <n v="0"/>
    <n v="0"/>
    <n v="0"/>
    <n v="0"/>
    <n v="0"/>
    <n v="0"/>
    <n v="0"/>
    <n v="0"/>
    <n v="0"/>
    <n v="280"/>
    <n v="0"/>
    <n v="0"/>
    <n v="0"/>
    <n v="0"/>
    <n v="0"/>
    <n v="0"/>
    <n v="0"/>
    <n v="0"/>
    <n v="0"/>
    <n v="280"/>
    <n v="0"/>
    <n v="0"/>
    <n v="0"/>
    <n v="0"/>
    <n v="0"/>
    <n v="0"/>
    <n v="0"/>
    <n v="0"/>
    <n v="0"/>
    <n v="0"/>
    <n v="0"/>
    <n v="0"/>
    <n v="0"/>
    <n v="0"/>
    <n v="0"/>
    <n v="0"/>
    <n v="0"/>
    <n v="0"/>
    <n v="140"/>
    <n v="0"/>
    <n v="0"/>
    <n v="0"/>
    <n v="0"/>
    <n v="0"/>
    <n v="0"/>
    <n v="140"/>
    <n v="0"/>
    <n v="0"/>
    <n v="0"/>
    <n v="0"/>
    <n v="0"/>
    <n v="0"/>
    <n v="0"/>
    <n v="0"/>
    <n v="0"/>
    <n v="0"/>
    <n v="0"/>
    <n v="0"/>
    <n v="0"/>
    <n v="420"/>
  </r>
  <r>
    <x v="0"/>
    <x v="9"/>
    <s v="TI/SI"/>
    <s v="Álisson Costa"/>
    <s v="TI/SI"/>
    <s v="Álisson Costa"/>
    <s v="DGE"/>
    <s v="TI02817"/>
    <s v="TINV.17.D.042.RT"/>
    <s v="Análise e Desenvolvimento Sistema Retrocálculo"/>
    <s v="Contratação dos serviços de desenvolvimento nos ambientes SAP ECC e SAP CCS."/>
    <s v=" Atrasos nos procedimentos e processos das equipes nas áreas de negócio (engenharia e recursos humanos); Multas pelo não atendimento dos compromissos obrigatórios dentro do prazo esperado pelos agentes governamentais."/>
    <s v="-"/>
    <n v="379.95736694335937"/>
    <n v="220.020355224609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SI"/>
    <s v="Álisson Costa"/>
    <s v="DGE"/>
    <s v="NA"/>
    <s v="-"/>
    <s v="Aquisição da plataforma de geoprocessamento da ESRI na modalidade ELA"/>
    <s v="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
    <s v="Uso de software não adequado para a geração de informaçãoes ao órgão regulador"/>
    <s v="Postergação do desembolso para adequação da curva de investimento."/>
    <n v="0"/>
    <n v="0"/>
    <n v="0"/>
    <n v="0"/>
    <n v="0"/>
    <n v="0"/>
    <n v="0"/>
    <n v="0"/>
    <n v="0"/>
    <n v="0"/>
    <n v="0"/>
    <n v="0"/>
    <n v="0"/>
    <n v="0"/>
    <n v="0"/>
    <n v="0"/>
    <n v="0"/>
    <n v="0"/>
    <n v="214"/>
    <n v="0"/>
    <n v="0"/>
    <n v="0"/>
    <n v="0"/>
    <n v="0"/>
    <n v="0"/>
    <n v="214"/>
    <n v="0"/>
    <n v="0"/>
    <n v="0"/>
    <n v="0"/>
    <n v="0"/>
    <n v="0"/>
    <n v="0"/>
    <n v="0"/>
    <n v="0"/>
    <n v="0"/>
    <n v="0"/>
    <n v="0"/>
    <n v="0"/>
    <n v="0"/>
    <n v="0"/>
    <n v="0"/>
    <n v="0"/>
    <n v="0"/>
    <n v="0"/>
    <n v="0"/>
    <n v="0"/>
    <n v="0"/>
    <n v="0"/>
    <n v="0"/>
    <n v="0"/>
    <n v="0"/>
    <n v="0"/>
    <n v="0"/>
    <n v="0"/>
    <n v="0"/>
    <n v="0"/>
    <n v="0"/>
    <n v="0"/>
    <n v="0"/>
    <n v="0"/>
    <n v="0"/>
    <n v="300"/>
    <n v="0"/>
    <n v="300"/>
    <n v="514"/>
  </r>
  <r>
    <x v="0"/>
    <x v="9"/>
    <s v="TI/SI"/>
    <s v="Álisson Costa"/>
    <s v="TI/SI"/>
    <s v="Álisson Costa"/>
    <s v="DGE"/>
    <s v="NA"/>
    <s v="-"/>
    <s v="Aquisição de Licenças QlikView"/>
    <s v="Aquisição de novas licenças do softare de painéis de informação - QlikView"/>
    <s v="Falta de licenças para atendimento das áreas solicitantes de painéis de informação."/>
    <s v="Revisão do escopo do projeto, com postergação do desembolso conforme cronograma de execução."/>
    <n v="0"/>
    <n v="0"/>
    <n v="0"/>
    <n v="0"/>
    <n v="0"/>
    <n v="0"/>
    <n v="0"/>
    <n v="0"/>
    <n v="0"/>
    <n v="0"/>
    <n v="0"/>
    <n v="0"/>
    <n v="0"/>
    <n v="0"/>
    <n v="0"/>
    <n v="0"/>
    <n v="0"/>
    <n v="0"/>
    <n v="0"/>
    <n v="0"/>
    <n v="0"/>
    <n v="0"/>
    <n v="0"/>
    <n v="0"/>
    <n v="0"/>
    <n v="0"/>
    <n v="0"/>
    <n v="0"/>
    <n v="0"/>
    <n v="0"/>
    <n v="0"/>
    <n v="0"/>
    <n v="200"/>
    <n v="0"/>
    <n v="0"/>
    <n v="0"/>
    <n v="0"/>
    <n v="0"/>
    <n v="200"/>
    <n v="0"/>
    <n v="0"/>
    <n v="0"/>
    <n v="0"/>
    <n v="0"/>
    <n v="0"/>
    <n v="200"/>
    <n v="0"/>
    <n v="0"/>
    <n v="0"/>
    <n v="0"/>
    <n v="0"/>
    <n v="200"/>
    <n v="0"/>
    <n v="0"/>
    <n v="0"/>
    <n v="0"/>
    <n v="0"/>
    <n v="0"/>
    <n v="0"/>
    <n v="0"/>
    <n v="0"/>
    <n v="0"/>
    <n v="0"/>
    <n v="0"/>
    <n v="0"/>
    <n v="400"/>
  </r>
  <r>
    <x v="0"/>
    <x v="9"/>
    <s v="TI/SI"/>
    <s v="Álisson Costa"/>
    <s v="PE/OS"/>
    <s v="Cleber Esteves Sacramento"/>
    <s v="DDC"/>
    <s v="NA"/>
    <s v="-"/>
    <s v="Aquisição do Sistema Cyme"/>
    <s v="O projeto consiste na contratação do fornecimento, manutenção e suporte de aplicativos especializados para cálculos e análise de sistemas de distribuição de energia elétrica a serem disponibilizados em rede."/>
    <s v="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_x000a_Descontinuidade dos Dados históricos de demanda, existentes desde 1984, comprometendo a projeção da distribuição espacial da carga e consequente a otimização dos investimentos._x000a_Não otimização da rede implicando em aumento de Perdas Técnicas, investimentos adicionais, violação de Requisitos Regulatórios como DEC, DIC/FIC/DMIC, DRC/DRP, perda de Flexibilidade Operativa._x000a_A atual quantidade de licenças Cyme é insuficiente para permitir a produção adequada das equipes de Planejamento, Operação e Engenharia, ocasionando descumprimento dos prazos regulatórios._x000a_Continuidade do dispêndio de Hh com o processo de obtenção e validação de dados, já que os casos ajustados ficam disponíveis apenas nas estações de trabalho."/>
    <s v="Postergação do desembolso para adequação da curva de investimento."/>
    <n v="0"/>
    <n v="0"/>
    <n v="0"/>
    <n v="0"/>
    <n v="0"/>
    <n v="0"/>
    <n v="0"/>
    <n v="0"/>
    <n v="0"/>
    <n v="0"/>
    <n v="0"/>
    <n v="0"/>
    <n v="0"/>
    <n v="0"/>
    <n v="0"/>
    <n v="0"/>
    <n v="0"/>
    <n v="0"/>
    <n v="0"/>
    <n v="3261"/>
    <n v="0"/>
    <n v="0"/>
    <n v="0"/>
    <n v="0"/>
    <n v="0"/>
    <n v="3261"/>
    <n v="0"/>
    <n v="0"/>
    <n v="0"/>
    <n v="0"/>
    <n v="0"/>
    <n v="0"/>
    <n v="2655"/>
    <n v="0"/>
    <n v="0"/>
    <n v="0"/>
    <n v="0"/>
    <n v="0"/>
    <n v="2655"/>
    <n v="0"/>
    <n v="0"/>
    <n v="0"/>
    <n v="0"/>
    <n v="0"/>
    <n v="3665"/>
    <n v="0"/>
    <n v="0"/>
    <n v="0"/>
    <n v="0"/>
    <n v="0"/>
    <n v="0"/>
    <n v="3665"/>
    <n v="0"/>
    <n v="0"/>
    <n v="0"/>
    <n v="0"/>
    <n v="0"/>
    <n v="0"/>
    <n v="0"/>
    <n v="0"/>
    <n v="0"/>
    <n v="0"/>
    <n v="0"/>
    <n v="0"/>
    <n v="0"/>
    <n v="9581"/>
  </r>
  <r>
    <x v="0"/>
    <x v="9"/>
    <s v="TI/SI"/>
    <s v="Álisson Costa"/>
    <s v="TI/SI"/>
    <s v="Álisson Costa"/>
    <s v="DGE"/>
    <s v="TI04117"/>
    <s v="TINV.17.D.042.RE"/>
    <s v="Aquisição Solução REINF"/>
    <s v="Aquisição da solução para atendimento à obrigação junto à RFB, relativa a Escrituração Fiscal Digital - REINF"/>
    <s v="Descumprimento de obrigações perante órgão federais."/>
    <s v="Postergação do desembolso para adequação da curva de investimento."/>
    <n v="0"/>
    <n v="0"/>
    <n v="0"/>
    <n v="0"/>
    <n v="0"/>
    <n v="0"/>
    <n v="15.5"/>
    <n v="0"/>
    <n v="0"/>
    <n v="0"/>
    <n v="0"/>
    <n v="0.5"/>
    <n v="0.5"/>
    <n v="0"/>
    <n v="0"/>
    <n v="0"/>
    <n v="0"/>
    <n v="0"/>
    <n v="50"/>
    <n v="0"/>
    <n v="0"/>
    <n v="0"/>
    <n v="0"/>
    <n v="0"/>
    <n v="70"/>
    <n v="120"/>
    <n v="0"/>
    <n v="25"/>
    <n v="25"/>
    <n v="0"/>
    <n v="50"/>
    <n v="50"/>
    <n v="0"/>
    <n v="25"/>
    <n v="0"/>
    <n v="25"/>
    <n v="0"/>
    <n v="40"/>
    <n v="240"/>
    <n v="0"/>
    <n v="0"/>
    <n v="60"/>
    <n v="0"/>
    <n v="0"/>
    <n v="60"/>
    <n v="0"/>
    <n v="60"/>
    <n v="0"/>
    <n v="0"/>
    <n v="0"/>
    <n v="60"/>
    <n v="240"/>
    <n v="0"/>
    <n v="0"/>
    <n v="255"/>
    <n v="0"/>
    <n v="0"/>
    <n v="0"/>
    <n v="0"/>
    <n v="0"/>
    <n v="0"/>
    <n v="0"/>
    <n v="0"/>
    <n v="0"/>
    <n v="255"/>
    <n v="855.5"/>
  </r>
  <r>
    <x v="0"/>
    <x v="9"/>
    <s v="TI/SI"/>
    <s v="Álisson Costa"/>
    <s v="TI/SI"/>
    <s v="Álisson Costa"/>
    <s v="DGE"/>
    <s v="NA"/>
    <s v="-"/>
    <s v="Aquisição Solução SAP Mobile"/>
    <s v="Aquisição de solução SAP para o uso e aprovações em dispositivos móveis"/>
    <s v="Falta de usa solução mais moderna para as aprovações gerenciais relativas ao sistema SAP na Cemig."/>
    <s v="Postergação do desembolso para adequação da curva de investimento."/>
    <n v="0"/>
    <n v="0"/>
    <n v="0"/>
    <n v="0"/>
    <n v="0"/>
    <n v="0"/>
    <n v="0"/>
    <n v="0"/>
    <n v="0"/>
    <n v="0"/>
    <n v="0"/>
    <n v="0"/>
    <n v="0"/>
    <n v="0"/>
    <n v="0"/>
    <n v="0"/>
    <n v="0"/>
    <n v="0"/>
    <n v="0"/>
    <n v="0"/>
    <n v="0"/>
    <n v="0"/>
    <n v="0"/>
    <n v="0"/>
    <n v="0"/>
    <n v="0"/>
    <n v="0"/>
    <n v="0"/>
    <n v="0"/>
    <n v="0"/>
    <n v="0"/>
    <n v="0"/>
    <n v="0"/>
    <n v="0"/>
    <n v="600"/>
    <n v="0"/>
    <n v="0"/>
    <n v="0"/>
    <n v="600"/>
    <n v="0"/>
    <n v="0"/>
    <n v="0"/>
    <n v="0"/>
    <n v="0"/>
    <n v="0"/>
    <n v="0"/>
    <n v="0"/>
    <n v="0"/>
    <n v="1200"/>
    <n v="0"/>
    <n v="0"/>
    <n v="1200"/>
    <n v="0"/>
    <n v="0"/>
    <n v="0"/>
    <n v="0"/>
    <n v="0"/>
    <n v="0"/>
    <n v="0"/>
    <n v="0"/>
    <n v="600"/>
    <n v="0"/>
    <n v="0"/>
    <n v="0"/>
    <n v="600"/>
    <n v="2400"/>
  </r>
  <r>
    <x v="0"/>
    <x v="9"/>
    <s v="TI/SI"/>
    <s v="Álisson Costa"/>
    <s v="TI/SI"/>
    <s v="Álisson Costa"/>
    <s v="DGE"/>
    <s v="TI04718"/>
    <s v="TINV.18.D.042.AG"/>
    <s v="Arquitetura GEO (LayerCast + OpenLayers Cemig)"/>
    <s v="Construção de uma arquitetura para otimização de camadas geográficas com armazenamento e controle de cache."/>
    <s v="Aumento do tempo de abertura dos painéis de informação; Time out nas solicitações para processamento das informações geográficas."/>
    <s v="Demanda incorporada à carteira, considerando remanejamento entre projetos."/>
    <n v="0"/>
    <n v="0"/>
    <n v="0"/>
    <n v="0"/>
    <n v="0"/>
    <n v="0"/>
    <n v="0"/>
    <n v="25.882419586181641"/>
    <n v="23.5"/>
    <n v="23.5"/>
    <n v="23.5"/>
    <n v="44.617580000000004"/>
    <n v="140.99999958618164"/>
    <n v="23.58"/>
    <n v="23.58"/>
    <n v="23.58"/>
    <n v="23.58"/>
    <n v="23.58"/>
    <n v="23.58"/>
    <n v="23.58"/>
    <n v="23.58"/>
    <n v="23.58"/>
    <n v="23.58"/>
    <n v="23.58"/>
    <n v="23.58"/>
    <n v="282.95999999999992"/>
    <n v="23.58"/>
    <n v="23.58"/>
    <n v="23.58"/>
    <n v="23.58"/>
    <n v="23.58"/>
    <n v="23.58"/>
    <n v="23.58"/>
    <n v="23.58"/>
    <n v="23.58"/>
    <n v="23.58"/>
    <n v="23.58"/>
    <n v="23.58"/>
    <n v="282.95999999999992"/>
    <n v="23.5"/>
    <n v="23.5"/>
    <n v="23.5"/>
    <n v="23.5"/>
    <n v="23.5"/>
    <n v="23.5"/>
    <n v="0"/>
    <n v="0"/>
    <n v="0"/>
    <n v="0"/>
    <n v="0"/>
    <n v="0"/>
    <n v="141"/>
    <n v="0"/>
    <n v="0"/>
    <n v="0"/>
    <n v="0"/>
    <n v="0"/>
    <n v="0"/>
    <n v="0"/>
    <n v="0"/>
    <n v="0"/>
    <n v="0"/>
    <n v="0"/>
    <n v="0"/>
    <n v="0"/>
    <n v="847.91999958618146"/>
  </r>
  <r>
    <x v="0"/>
    <x v="9"/>
    <s v="TI/SI"/>
    <s v="Roberto Proença"/>
    <s v="TI/SI"/>
    <s v="Roberto Proença"/>
    <s v="DGE"/>
    <s v="TI02115"/>
    <s v="TINV.15.D.042.AT"/>
    <s v="ATLÂNTIS - Aquisição de uma plataforma GIS (Geographic Information System) para suporte aos processos da Cemig Distribuição, em substituição ao atual sistema GEMINI e aquisição da infraestrutura necessária para suportar a nova solução."/>
    <s v="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
    <s v="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_x000a_perda da melhoria do processo de capitalização e gestão de ativos da Cemig Distribuidora._x000a_"/>
    <s v="Postergação do desembolso em virtude de atraso na implantação/integração com o GDIS 2.0."/>
    <n v="0"/>
    <n v="0"/>
    <n v="160.23846435546875"/>
    <n v="0"/>
    <n v="296.39239501953125"/>
    <n v="353.40447998046875"/>
    <n v="272.65817260742188"/>
    <n v="209.03492736816406"/>
    <n v="300"/>
    <n v="346.59554000000003"/>
    <n v="641.14409000000001"/>
    <n v="1187.34184"/>
    <n v="2684.1163973681641"/>
    <n v="1150"/>
    <n v="1261"/>
    <n v="1200"/>
    <n v="1250"/>
    <n v="1200"/>
    <n v="1250"/>
    <n v="1200"/>
    <n v="0"/>
    <n v="0"/>
    <n v="0"/>
    <n v="0"/>
    <n v="0"/>
    <n v="8511"/>
    <n v="0"/>
    <n v="0"/>
    <n v="0"/>
    <n v="0"/>
    <n v="0"/>
    <n v="0"/>
    <n v="0"/>
    <n v="0"/>
    <n v="0"/>
    <n v="0"/>
    <n v="0"/>
    <n v="0"/>
    <n v="0"/>
    <n v="0"/>
    <n v="0"/>
    <n v="0"/>
    <n v="0"/>
    <n v="0"/>
    <n v="0"/>
    <n v="0"/>
    <n v="0"/>
    <n v="0"/>
    <n v="0"/>
    <n v="0"/>
    <n v="0"/>
    <n v="0"/>
    <n v="0"/>
    <n v="0"/>
    <n v="0"/>
    <n v="0"/>
    <n v="0"/>
    <n v="0"/>
    <n v="0"/>
    <n v="0"/>
    <n v="0"/>
    <n v="0"/>
    <n v="0"/>
    <n v="0"/>
    <n v="0"/>
    <n v="11195.116397368165"/>
  </r>
  <r>
    <x v="0"/>
    <x v="9"/>
    <s v="TI/SI"/>
    <s v="Álisson Costa"/>
    <s v="TI/SI"/>
    <s v="Álisson Costa"/>
    <s v="DGE"/>
    <s v="NA"/>
    <s v="-"/>
    <s v="Atualização da Cemignet/Portal Cemig"/>
    <s v="Atualização do site da Cemig na internet e do site da intranet corporativa (Cemignet 2.0)."/>
    <s v="Imagem da Empresa prejudicada e associada ao antigo e desatualizado."/>
    <s v="Revisão do escopo do projeto, com postergação do desembolso conforme cronograma de execução."/>
    <n v="0"/>
    <n v="0"/>
    <n v="0"/>
    <n v="0"/>
    <n v="0"/>
    <n v="0"/>
    <n v="0"/>
    <n v="0"/>
    <n v="0"/>
    <n v="0"/>
    <n v="0"/>
    <n v="0"/>
    <n v="0"/>
    <n v="0"/>
    <n v="0"/>
    <n v="0"/>
    <n v="0"/>
    <n v="0"/>
    <n v="0"/>
    <n v="0"/>
    <n v="0"/>
    <n v="0"/>
    <n v="50"/>
    <n v="79"/>
    <n v="150"/>
    <n v="279"/>
    <n v="0"/>
    <n v="0"/>
    <n v="20"/>
    <n v="0"/>
    <n v="50"/>
    <n v="0"/>
    <n v="50"/>
    <n v="0"/>
    <n v="50"/>
    <n v="50"/>
    <n v="50"/>
    <n v="50"/>
    <n v="320"/>
    <n v="20"/>
    <n v="20"/>
    <n v="20"/>
    <n v="20"/>
    <n v="20"/>
    <n v="20"/>
    <n v="20"/>
    <n v="20"/>
    <n v="20"/>
    <n v="20"/>
    <n v="20"/>
    <n v="60"/>
    <n v="280"/>
    <n v="25"/>
    <n v="25"/>
    <n v="25"/>
    <n v="25"/>
    <n v="25"/>
    <n v="25"/>
    <n v="25"/>
    <n v="25"/>
    <n v="25"/>
    <n v="25"/>
    <n v="50"/>
    <n v="50"/>
    <n v="350"/>
    <n v="1229"/>
  </r>
  <r>
    <x v="0"/>
    <x v="9"/>
    <s v="TI/SI"/>
    <s v="Álisson Costa"/>
    <s v="TI/SI"/>
    <s v="Álisson Costa"/>
    <s v="DGE"/>
    <s v="TI03117"/>
    <s v="TINV.17.D.042.BC"/>
    <s v="Barramento Comercial (Canais de Atendimento Virtuais e Comunicação Bancária)"/>
    <s v="Desenvolvimento de um barramento de serviços comerciais usando a Arquitetura Orientada a Serviços - SOA"/>
    <s v="Respostas divergentes considerando um mesmo tipo de solicitação; Impacto no atendimento comercial da Cemig, pelo aumento do uso dos canais virtuais; Alto custo para manter interfaces replicadas e despadronizadas."/>
    <s v="Revisão do escopo do projeto, considerando as demandas dos canais de atendimento virtuais e comunicação bancária."/>
    <n v="0"/>
    <n v="0"/>
    <n v="0"/>
    <n v="11.423999786376953"/>
    <n v="0"/>
    <n v="0"/>
    <n v="48.900001525878906"/>
    <n v="0"/>
    <n v="42.576000000000001"/>
    <n v="54"/>
    <n v="0"/>
    <n v="59.1"/>
    <n v="155.67599999999999"/>
    <n v="0"/>
    <n v="0"/>
    <n v="36"/>
    <n v="0"/>
    <n v="0"/>
    <n v="36"/>
    <n v="0"/>
    <n v="0"/>
    <n v="36"/>
    <n v="0"/>
    <n v="0"/>
    <n v="36"/>
    <n v="144"/>
    <n v="0"/>
    <n v="8"/>
    <n v="10"/>
    <n v="10"/>
    <n v="10"/>
    <n v="10"/>
    <n v="10"/>
    <n v="10"/>
    <n v="10"/>
    <n v="10"/>
    <n v="10"/>
    <n v="10"/>
    <n v="108"/>
    <n v="25"/>
    <n v="25"/>
    <n v="10"/>
    <n v="10"/>
    <n v="10"/>
    <n v="10"/>
    <n v="10"/>
    <n v="10"/>
    <n v="10"/>
    <n v="10"/>
    <n v="10"/>
    <n v="10"/>
    <n v="150"/>
    <n v="0"/>
    <n v="0"/>
    <n v="10"/>
    <n v="10"/>
    <n v="10"/>
    <n v="10"/>
    <n v="10"/>
    <n v="10"/>
    <n v="10"/>
    <n v="10"/>
    <n v="10"/>
    <n v="10"/>
    <n v="100"/>
    <n v="657.67599999999993"/>
  </r>
  <r>
    <x v="0"/>
    <x v="9"/>
    <s v="TI/SI"/>
    <s v="Roberto Proença"/>
    <s v="TI/SI"/>
    <s v="Roberto Proença"/>
    <s v="DGE"/>
    <s v="TI03015"/>
    <s v="TINV.15.D.042.BR"/>
    <s v="Barramento de Serviços G-DIS"/>
    <s v="O projeto refere-se à criação de um barramento de serviços para o Sistema G-DIS como SOA - Service Oriented Achitecture, conforme necessidade apontada pelo Programa Conexão - Implantação de sistemas em sinergia com outras empresas do Grupo Cemig."/>
    <s v="Perda de sinergia no compartilhamento de serviços; despadronização de fornecedores e tecnologias; piora no tempo de resposta e no processamento das requisições; perda na distribuição de carga de solicitações em outro ambiente computacional."/>
    <s v="Postergação do desembolso para adequação da curva de investimento."/>
    <n v="0"/>
    <n v="0"/>
    <n v="52.127998352050781"/>
    <n v="0"/>
    <n v="44.687999725341797"/>
    <n v="0"/>
    <n v="50.304000854492188"/>
    <n v="28.511999130249023"/>
    <n v="0"/>
    <n v="16.488"/>
    <n v="0"/>
    <n v="20.695999999999998"/>
    <n v="65.695999130249021"/>
    <n v="50"/>
    <n v="50"/>
    <n v="50"/>
    <n v="50"/>
    <n v="87"/>
    <n v="0"/>
    <n v="150"/>
    <n v="100"/>
    <n v="0"/>
    <n v="0"/>
    <n v="0"/>
    <n v="0"/>
    <n v="537"/>
    <n v="0"/>
    <n v="0"/>
    <n v="0"/>
    <n v="0"/>
    <n v="0"/>
    <n v="0"/>
    <n v="0"/>
    <n v="0"/>
    <n v="0"/>
    <n v="0"/>
    <n v="0"/>
    <n v="0"/>
    <n v="0"/>
    <n v="0"/>
    <n v="0"/>
    <n v="0"/>
    <n v="0"/>
    <n v="0"/>
    <n v="0"/>
    <n v="0"/>
    <n v="0"/>
    <n v="0"/>
    <n v="0"/>
    <n v="0"/>
    <n v="0"/>
    <n v="0"/>
    <n v="0"/>
    <n v="0"/>
    <n v="0"/>
    <n v="0"/>
    <n v="0"/>
    <n v="0"/>
    <n v="0"/>
    <n v="0"/>
    <n v="0"/>
    <n v="0"/>
    <n v="0"/>
    <n v="0"/>
    <n v="0"/>
    <n v="602.69599913024899"/>
  </r>
  <r>
    <x v="0"/>
    <x v="9"/>
    <s v="TI/SI"/>
    <s v="Álisson Costa"/>
    <s v="TI/SI"/>
    <s v="Álisson Costa"/>
    <s v="DGE"/>
    <s v="NA"/>
    <s v="-"/>
    <s v="Barramentos de Integração de Sistemas"/>
    <s v="Construção de barramentos de serviço para a integração e padronização de acessos às informações corporativas mais consumidas, usando o conceito SOA - Arquitetura Orientada a Serviços"/>
    <s v="Multiplicação de interfaces e duplicidade ou desencontro de informações"/>
    <s v="-"/>
    <n v="0"/>
    <n v="0"/>
    <n v="0"/>
    <n v="0"/>
    <n v="0"/>
    <n v="0"/>
    <n v="0"/>
    <n v="0"/>
    <n v="0"/>
    <n v="0"/>
    <n v="0"/>
    <n v="0"/>
    <n v="0"/>
    <n v="0"/>
    <n v="0"/>
    <n v="0"/>
    <n v="0"/>
    <n v="0"/>
    <n v="0"/>
    <n v="0"/>
    <n v="0"/>
    <n v="0"/>
    <n v="0"/>
    <n v="0"/>
    <n v="0"/>
    <n v="0"/>
    <n v="0"/>
    <n v="0"/>
    <n v="50"/>
    <n v="0"/>
    <n v="0"/>
    <n v="0"/>
    <n v="50"/>
    <n v="0"/>
    <n v="0"/>
    <n v="0"/>
    <n v="100"/>
    <n v="0"/>
    <n v="200"/>
    <n v="0"/>
    <n v="0"/>
    <n v="100"/>
    <n v="0"/>
    <n v="0"/>
    <n v="0"/>
    <n v="200"/>
    <n v="0"/>
    <n v="0"/>
    <n v="0"/>
    <n v="0"/>
    <n v="0"/>
    <n v="300"/>
    <n v="0"/>
    <n v="0"/>
    <n v="25"/>
    <n v="0"/>
    <n v="0"/>
    <n v="50"/>
    <n v="0"/>
    <n v="25"/>
    <n v="25"/>
    <n v="0"/>
    <n v="25"/>
    <n v="150"/>
    <n v="300"/>
    <n v="800"/>
  </r>
  <r>
    <x v="0"/>
    <x v="9"/>
    <s v="TI/SI"/>
    <s v="Álisson Costa"/>
    <s v="TI/SI"/>
    <s v="Álisson Costa"/>
    <s v="DGE"/>
    <s v="NA"/>
    <s v="-"/>
    <s v="Canais de Atendimento Cemig - AGV/AGB/AGA"/>
    <s v="Desenvolvimento web de novos serviços comerciais nos canais de atendimento oficiais da Cemig"/>
    <s v="Falta de canais de atendimento disponíveis, aumento de clientes nas agências de atendimento presencial da Cemig."/>
    <s v="Revisão do escopo do projeto, com postergação do desembolso conforme cronograma de execução."/>
    <n v="0"/>
    <n v="0"/>
    <n v="0"/>
    <n v="0"/>
    <n v="0"/>
    <n v="0"/>
    <n v="0"/>
    <n v="0"/>
    <n v="0"/>
    <n v="0"/>
    <n v="0"/>
    <n v="0"/>
    <n v="0"/>
    <n v="0"/>
    <n v="0"/>
    <n v="0"/>
    <n v="0"/>
    <n v="0"/>
    <n v="0"/>
    <n v="0"/>
    <n v="0"/>
    <n v="0"/>
    <n v="0"/>
    <n v="0"/>
    <n v="0"/>
    <n v="0"/>
    <n v="0"/>
    <n v="20"/>
    <n v="0"/>
    <n v="20"/>
    <n v="20"/>
    <n v="20"/>
    <n v="0"/>
    <n v="20"/>
    <n v="20"/>
    <n v="25"/>
    <n v="40"/>
    <n v="40"/>
    <n v="225"/>
    <n v="20"/>
    <n v="20"/>
    <n v="20"/>
    <n v="40"/>
    <n v="20"/>
    <n v="40"/>
    <n v="20"/>
    <n v="40"/>
    <n v="20"/>
    <n v="40"/>
    <n v="40"/>
    <n v="60"/>
    <n v="380"/>
    <n v="20"/>
    <n v="20"/>
    <n v="20"/>
    <n v="50"/>
    <n v="20"/>
    <n v="80"/>
    <n v="20"/>
    <n v="20"/>
    <n v="20"/>
    <n v="30"/>
    <n v="50"/>
    <n v="60"/>
    <n v="410"/>
    <n v="1015"/>
  </r>
  <r>
    <x v="0"/>
    <x v="9"/>
    <s v="TI/SI"/>
    <s v="Álisson Costa"/>
    <s v="TI/SI"/>
    <s v="Álisson Costa"/>
    <s v="DGE"/>
    <s v="TI00517"/>
    <s v="TINV.17.D.042.FR"/>
    <s v="Construção de Framework de Desenvolvimento"/>
    <s v="Elaborar e Construir um Framework de Desenvolvimento de Sistemas"/>
    <s v="Variedade de modelos e estruturas para os novos sistemas"/>
    <s v="-"/>
    <n v="0"/>
    <n v="20.24778938293457"/>
    <n v="18.123899459838867"/>
    <n v="26.203470230102539"/>
    <n v="0"/>
    <n v="38.438701629638672"/>
    <n v="0"/>
    <n v="0"/>
    <n v="18.737609999999997"/>
    <n v="0"/>
    <n v="0"/>
    <n v="0"/>
    <n v="18.737609999999997"/>
    <n v="0"/>
    <n v="0"/>
    <n v="0"/>
    <n v="0"/>
    <n v="0"/>
    <n v="0"/>
    <n v="0"/>
    <n v="0"/>
    <n v="0"/>
    <n v="0"/>
    <n v="0"/>
    <n v="0"/>
    <n v="0"/>
    <n v="0"/>
    <n v="0"/>
    <n v="0"/>
    <n v="0"/>
    <n v="0"/>
    <n v="0"/>
    <n v="0"/>
    <n v="0"/>
    <n v="0"/>
    <n v="0"/>
    <n v="0"/>
    <n v="0"/>
    <n v="0"/>
    <n v="0"/>
    <n v="0"/>
    <n v="0"/>
    <n v="0"/>
    <n v="0"/>
    <n v="0"/>
    <n v="0"/>
    <n v="0"/>
    <n v="0"/>
    <n v="0"/>
    <n v="0"/>
    <n v="0"/>
    <n v="0"/>
    <n v="0"/>
    <n v="0"/>
    <n v="0"/>
    <n v="0"/>
    <n v="0"/>
    <n v="0"/>
    <n v="0"/>
    <n v="0"/>
    <n v="0"/>
    <n v="0"/>
    <n v="0"/>
    <n v="0"/>
    <n v="0"/>
    <n v="18.737609999999997"/>
  </r>
  <r>
    <x v="0"/>
    <x v="9"/>
    <s v="TI/SI"/>
    <s v="Roberto Proença"/>
    <s v="TI/SI"/>
    <s v="Roberto Proença"/>
    <s v="DGE"/>
    <s v="NA"/>
    <s v="-"/>
    <s v="Crescimento do Hardware G-DIS"/>
    <s v="Aquisição de novos servidores  visando adequar a infraestrutura a especificação dos projetos G-DIS 2.0 e Atlantis; Permitir o crescimento vegetativo do sistema; Atendimento ao órgão regulador permitindo melhorias no batimento físico-contábil dos ativos da Cemig Distribuição."/>
    <s v="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
    <s v="-"/>
    <n v="0"/>
    <n v="0"/>
    <n v="0"/>
    <n v="0"/>
    <n v="0"/>
    <n v="0"/>
    <n v="0"/>
    <n v="0"/>
    <n v="0"/>
    <n v="0"/>
    <n v="0"/>
    <n v="0"/>
    <n v="0"/>
    <n v="0"/>
    <n v="0"/>
    <n v="0"/>
    <n v="0"/>
    <n v="0"/>
    <n v="0"/>
    <n v="0"/>
    <n v="0"/>
    <n v="0"/>
    <n v="0"/>
    <n v="0"/>
    <n v="0"/>
    <n v="0"/>
    <n v="0"/>
    <n v="0"/>
    <n v="0"/>
    <n v="0"/>
    <n v="0"/>
    <n v="0"/>
    <n v="0"/>
    <n v="0"/>
    <n v="0"/>
    <n v="0"/>
    <n v="0"/>
    <n v="0"/>
    <n v="0"/>
    <n v="0"/>
    <n v="0"/>
    <n v="0"/>
    <n v="0"/>
    <n v="3000"/>
    <n v="0"/>
    <n v="0"/>
    <n v="0"/>
    <n v="0"/>
    <n v="0"/>
    <n v="0"/>
    <n v="0"/>
    <n v="3000"/>
    <n v="0"/>
    <n v="0"/>
    <n v="0"/>
    <n v="0"/>
    <n v="0"/>
    <n v="0"/>
    <n v="0"/>
    <n v="0"/>
    <n v="0"/>
    <n v="0"/>
    <n v="0"/>
    <n v="0"/>
    <n v="0"/>
    <n v="3000"/>
  </r>
  <r>
    <x v="0"/>
    <x v="9"/>
    <s v="TI/SI"/>
    <s v="Álisson Costa"/>
    <s v="TI/SI"/>
    <s v="Álisson Costa"/>
    <s v="DGE"/>
    <s v="TI00416"/>
    <s v="TINV.15.D.042.PT"/>
    <s v="Desenvolvimento de Melhorias do Sistema Part-APR"/>
    <s v="Faturamento Residual Ciclo 2013-2019"/>
    <s v="-"/>
    <s v="-"/>
    <n v="0"/>
    <n v="0"/>
    <n v="10.5026502609252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 PS e MS"/>
    <s v="Leandro Corrêa de Castro - PS/ES"/>
    <s v="DGE"/>
    <s v="TI08418"/>
    <s v="TINV.18.D.042.QS"/>
    <s v="Desenvolvimento de painéis na plataforma de BI Qlik Sense "/>
    <s v="Desenvolvimento de um sistema que faça o controle das cláusulas editalícias e contratuais, permitindo ao usuário montar os editais e contratos de forma automatizada e padronizada."/>
    <s v="Morosidade na confecção de editais e contratos, falta de padronização e controle das cláusulas utilizadas."/>
    <s v="Revisão do escopo do projeto, com postergação do desembolso conforme cronograma de execução."/>
    <n v="0"/>
    <n v="0"/>
    <n v="0"/>
    <n v="0"/>
    <n v="0"/>
    <n v="0"/>
    <n v="0"/>
    <n v="0"/>
    <n v="12"/>
    <n v="12"/>
    <n v="12"/>
    <n v="14"/>
    <n v="50"/>
    <n v="10"/>
    <n v="10"/>
    <n v="10"/>
    <n v="10"/>
    <n v="10"/>
    <n v="10"/>
    <n v="10"/>
    <n v="10"/>
    <n v="10"/>
    <n v="10"/>
    <n v="10"/>
    <n v="10"/>
    <n v="120"/>
    <n v="8"/>
    <n v="9"/>
    <n v="8"/>
    <n v="9"/>
    <n v="8"/>
    <n v="9"/>
    <n v="8"/>
    <n v="9"/>
    <n v="8"/>
    <n v="8"/>
    <n v="8"/>
    <n v="8"/>
    <n v="100"/>
    <n v="0"/>
    <n v="0"/>
    <n v="0"/>
    <n v="0"/>
    <n v="0"/>
    <n v="0"/>
    <n v="0"/>
    <n v="0"/>
    <n v="0"/>
    <n v="0"/>
    <n v="0"/>
    <n v="0"/>
    <n v="0"/>
    <n v="0"/>
    <n v="0"/>
    <n v="0"/>
    <n v="0"/>
    <n v="0"/>
    <n v="0"/>
    <n v="0"/>
    <n v="0"/>
    <n v="0"/>
    <n v="0"/>
    <n v="0"/>
    <n v="0"/>
    <n v="0"/>
    <n v="270"/>
  </r>
  <r>
    <x v="0"/>
    <x v="9"/>
    <s v="TI/SI"/>
    <s v="Álisson Costa"/>
    <s v="TI/SI"/>
    <s v="Álisson Costa"/>
    <s v="DGE"/>
    <s v="NA"/>
    <s v="-"/>
    <s v="Desenvolvimento de Sistemas Corporativos em BPMS"/>
    <s v="Criação de soluções baseadas nos fluxos criados pela notação de modelagem de processo de negócios - BPM"/>
    <s v="Falta de otimização e evolução para os processos empresariais"/>
    <s v="Revisão do escopo do projeto, com postergação do desembolso conforme cronograma de execução."/>
    <n v="0"/>
    <n v="0"/>
    <n v="0"/>
    <n v="0"/>
    <n v="0"/>
    <n v="0"/>
    <n v="0"/>
    <n v="0"/>
    <n v="0"/>
    <n v="0"/>
    <n v="0"/>
    <n v="0"/>
    <n v="0"/>
    <n v="0"/>
    <n v="0"/>
    <n v="0"/>
    <n v="0"/>
    <n v="10"/>
    <n v="20"/>
    <n v="20"/>
    <n v="20"/>
    <n v="20"/>
    <n v="20"/>
    <n v="20"/>
    <n v="20"/>
    <n v="150"/>
    <n v="0"/>
    <n v="0"/>
    <n v="0"/>
    <n v="0"/>
    <n v="0"/>
    <n v="20"/>
    <n v="35"/>
    <n v="40"/>
    <n v="40"/>
    <n v="40"/>
    <n v="40"/>
    <n v="100"/>
    <n v="315"/>
    <n v="0"/>
    <n v="0"/>
    <n v="0"/>
    <n v="50"/>
    <n v="50"/>
    <n v="80"/>
    <n v="40"/>
    <n v="40"/>
    <n v="40"/>
    <n v="80"/>
    <n v="40"/>
    <n v="40"/>
    <n v="460"/>
    <n v="0"/>
    <n v="0"/>
    <n v="0"/>
    <n v="50"/>
    <n v="40"/>
    <n v="80"/>
    <n v="40"/>
    <n v="80"/>
    <n v="40"/>
    <n v="40"/>
    <n v="50"/>
    <n v="40"/>
    <n v="460"/>
    <n v="1385"/>
  </r>
  <r>
    <x v="0"/>
    <x v="9"/>
    <s v="TI/SI"/>
    <s v="Álisson Costa"/>
    <s v="TI/SI"/>
    <s v="Álisson Costa"/>
    <s v="DGE"/>
    <s v="TI00216"/>
    <s v="TINV.15.D.042.NE"/>
    <s v="Desenvolvimento do Módulo Gestão da Inadimplência"/>
    <s v="Faturamento Residual Ciclo 2013-2017"/>
    <s v="-"/>
    <s v="-"/>
    <n v="0"/>
    <n v="0"/>
    <n v="14.0107402801513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SI"/>
    <s v="Álisson Costa"/>
    <s v="DGE"/>
    <s v="TI00316"/>
    <s v="TINV.15.D.042.NC"/>
    <s v="Desenvolvimento do Módulo Negociação da Inadimplência"/>
    <s v="Faturamento Residual Ciclo 2013-2020"/>
    <s v="-"/>
    <s v="-"/>
    <n v="0"/>
    <n v="0"/>
    <n v="9.58708000183105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SI"/>
    <s v="Álisson Costa"/>
    <s v="DGE"/>
    <s v="TI03617"/>
    <s v="TINV.17.D.042.RP"/>
    <s v="Desenvolvimento do Sistema de Recuperação de Perdas Comerciais"/>
    <s v="Construção de um sistema para a prevenção e recuperação de perdas comerciais."/>
    <s v="Crescimento das perdas comerciais que impactam a receita; Diminuição da arrecadação."/>
    <s v="-"/>
    <n v="0"/>
    <n v="0"/>
    <n v="0"/>
    <n v="0"/>
    <n v="0"/>
    <n v="35.544418334960938"/>
    <n v="36.857521057128906"/>
    <n v="38.273300170898437"/>
    <n v="30"/>
    <n v="30"/>
    <n v="31.8"/>
    <n v="44.724759999999996"/>
    <n v="174.79806017089845"/>
    <n v="0"/>
    <n v="0"/>
    <n v="92.7"/>
    <n v="0"/>
    <n v="0"/>
    <n v="92.7"/>
    <n v="0"/>
    <n v="0"/>
    <n v="0"/>
    <n v="0"/>
    <n v="0"/>
    <n v="0"/>
    <n v="185.4"/>
    <n v="0"/>
    <n v="0"/>
    <n v="0"/>
    <n v="0"/>
    <n v="0"/>
    <n v="0"/>
    <n v="0"/>
    <n v="0"/>
    <n v="0"/>
    <n v="0"/>
    <n v="0"/>
    <n v="0"/>
    <n v="0"/>
    <n v="0"/>
    <n v="0"/>
    <n v="0"/>
    <n v="0"/>
    <n v="0"/>
    <n v="0"/>
    <n v="0"/>
    <n v="0"/>
    <n v="0"/>
    <n v="0"/>
    <n v="0"/>
    <n v="0"/>
    <n v="0"/>
    <n v="0"/>
    <n v="0"/>
    <n v="0"/>
    <n v="0"/>
    <n v="0"/>
    <n v="0"/>
    <n v="0"/>
    <n v="0"/>
    <n v="0"/>
    <n v="0"/>
    <n v="0"/>
    <n v="0"/>
    <n v="0"/>
    <n v="360.19806017089843"/>
  </r>
  <r>
    <x v="0"/>
    <x v="9"/>
    <s v="TI/SI"/>
    <s v="Álisson Costa"/>
    <s v="TI/SI"/>
    <s v="Álisson Costa"/>
    <s v="DGE"/>
    <s v="TI00417"/>
    <s v="TINV.17.D.042.PI"/>
    <s v="Desenvolvimento do sistema PIC-Portal da Imagem Cemig"/>
    <s v="Prover o desenvolvimento do sistema PIC - Portal da Imagem Cemig"/>
    <s v="Gastos sem controle nos anúncios e comunicados da Empresa"/>
    <s v="-"/>
    <n v="0"/>
    <n v="28.96575927734375"/>
    <n v="21.72599983215332"/>
    <n v="1.874250054359436"/>
    <n v="0"/>
    <n v="0"/>
    <n v="48.8078498840332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SI"/>
    <s v="Álisson Costa"/>
    <s v="DGE"/>
    <s v="TI02217"/>
    <s v="TINV.17.D.042.GX"/>
    <s v="Desenvolvimento GEDEX"/>
    <s v="Desenvolvimento da solução GEDEX"/>
    <s v="Indisponibilidade das soluções tecnológicas para todos os usuários; Atrasos nos procedimentos e processos das equipes nas áreas de negócio; Ociosidade dos usuários que ficam aguardando a liberação das licenças em uso (fila de espera)."/>
    <s v="Antecipação do desembolso, conforme necessidade de atualização do sistema."/>
    <n v="0"/>
    <n v="0"/>
    <n v="0"/>
    <n v="0"/>
    <n v="0"/>
    <n v="0"/>
    <n v="67.199996948242187"/>
    <n v="0"/>
    <n v="0"/>
    <n v="30"/>
    <n v="0"/>
    <n v="22.8"/>
    <n v="52.8"/>
    <n v="0"/>
    <n v="15"/>
    <m/>
    <n v="45"/>
    <n v="0"/>
    <n v="0"/>
    <n v="0"/>
    <n v="0"/>
    <n v="0"/>
    <n v="0"/>
    <n v="0"/>
    <n v="0"/>
    <n v="60"/>
    <n v="0"/>
    <n v="0"/>
    <n v="0"/>
    <n v="0"/>
    <n v="0"/>
    <n v="0"/>
    <n v="0"/>
    <n v="0"/>
    <n v="0"/>
    <n v="0"/>
    <n v="0"/>
    <n v="0"/>
    <n v="0"/>
    <n v="0"/>
    <n v="0"/>
    <n v="0"/>
    <n v="0"/>
    <n v="0"/>
    <n v="0"/>
    <n v="0"/>
    <n v="0"/>
    <n v="0"/>
    <n v="0"/>
    <n v="0"/>
    <n v="0"/>
    <n v="0"/>
    <n v="0"/>
    <n v="0"/>
    <n v="0"/>
    <n v="0"/>
    <n v="0"/>
    <n v="0"/>
    <n v="0"/>
    <n v="0"/>
    <n v="0"/>
    <n v="0"/>
    <n v="0"/>
    <n v="0"/>
    <n v="0"/>
    <n v="112.8"/>
  </r>
  <r>
    <x v="0"/>
    <x v="9"/>
    <s v="TI/SI"/>
    <s v="Álisson Costa"/>
    <s v="TI/SI"/>
    <s v="Álisson Costa"/>
    <s v="DGE"/>
    <s v="TI08818"/>
    <s v="TINV.18.D.042.PA"/>
    <s v="Desenvolvimento Portal da Automação da Operação"/>
    <m/>
    <m/>
    <m/>
    <n v="0"/>
    <n v="0"/>
    <n v="0"/>
    <n v="0"/>
    <n v="0"/>
    <n v="0"/>
    <n v="0"/>
    <n v="0"/>
    <n v="0"/>
    <n v="0"/>
    <n v="0"/>
    <n v="24"/>
    <n v="24"/>
    <m/>
    <n v="20"/>
    <m/>
    <n v="20"/>
    <m/>
    <n v="20"/>
    <m/>
    <n v="20"/>
    <m/>
    <n v="20"/>
    <m/>
    <n v="30"/>
    <n v="130"/>
    <n v="25"/>
    <m/>
    <n v="25"/>
    <m/>
    <n v="25"/>
    <m/>
    <n v="25"/>
    <m/>
    <n v="23"/>
    <m/>
    <m/>
    <m/>
    <n v="123"/>
    <m/>
    <m/>
    <m/>
    <m/>
    <m/>
    <m/>
    <m/>
    <m/>
    <m/>
    <m/>
    <m/>
    <m/>
    <n v="0"/>
    <m/>
    <m/>
    <m/>
    <m/>
    <m/>
    <m/>
    <m/>
    <m/>
    <m/>
    <m/>
    <m/>
    <m/>
    <n v="0"/>
    <n v="277"/>
  </r>
  <r>
    <x v="0"/>
    <x v="9"/>
    <s v="TI/SI"/>
    <s v="Álisson Costa"/>
    <s v="TI/SI"/>
    <s v="Álisson Costa"/>
    <s v="DGE"/>
    <s v="TI03517"/>
    <s v="TINV.17.D.042.CF"/>
    <s v="Evolução do Sistema de Gestão - Cemig Fácil"/>
    <s v=" Implementação de melhorias no sistema Cemig Fácil."/>
    <s v="Ocorrência de falhas na operação e na gestão do sistema; Impacto no fluxo de arrecadação da empresa."/>
    <s v="-"/>
    <n v="0"/>
    <n v="0"/>
    <n v="0"/>
    <n v="0"/>
    <n v="0"/>
    <n v="0"/>
    <n v="0"/>
    <n v="0"/>
    <n v="0"/>
    <n v="0"/>
    <n v="0"/>
    <n v="0"/>
    <n v="0"/>
    <n v="0"/>
    <n v="20"/>
    <n v="23"/>
    <n v="30"/>
    <n v="20"/>
    <n v="20"/>
    <n v="20"/>
    <n v="20"/>
    <n v="20"/>
    <n v="20"/>
    <n v="28"/>
    <n v="27"/>
    <n v="248"/>
    <n v="0"/>
    <n v="0"/>
    <n v="0"/>
    <n v="0"/>
    <n v="0"/>
    <n v="0"/>
    <n v="0"/>
    <n v="0"/>
    <n v="0"/>
    <n v="0"/>
    <n v="0"/>
    <n v="0"/>
    <n v="0"/>
    <n v="0"/>
    <n v="0"/>
    <n v="0"/>
    <n v="0"/>
    <n v="0"/>
    <n v="0"/>
    <n v="0"/>
    <n v="0"/>
    <n v="0"/>
    <n v="0"/>
    <n v="0"/>
    <n v="0"/>
    <n v="0"/>
    <n v="0"/>
    <n v="0"/>
    <n v="0"/>
    <n v="0"/>
    <n v="0"/>
    <n v="0"/>
    <n v="0"/>
    <n v="0"/>
    <n v="0"/>
    <n v="0"/>
    <n v="0"/>
    <n v="0"/>
    <n v="0"/>
    <n v="248"/>
  </r>
  <r>
    <x v="0"/>
    <x v="9"/>
    <s v="TI/SI"/>
    <s v="Álisson Costa"/>
    <s v="GR/PC"/>
    <s v="Sant Clair"/>
    <s v="DGE"/>
    <s v="TI08218"/>
    <s v="TINV.18.D.042.MC"/>
    <s v="Evolução do Sistema MECE - Centro de Medição"/>
    <m/>
    <m/>
    <m/>
    <n v="0"/>
    <n v="0"/>
    <n v="0"/>
    <n v="0"/>
    <n v="0"/>
    <n v="0"/>
    <n v="0"/>
    <n v="0"/>
    <n v="0"/>
    <n v="0"/>
    <n v="50"/>
    <n v="65"/>
    <n v="115"/>
    <n v="0"/>
    <n v="25"/>
    <n v="0"/>
    <n v="25"/>
    <n v="50"/>
    <n v="0"/>
    <n v="0"/>
    <n v="25"/>
    <n v="25"/>
    <n v="25"/>
    <n v="25"/>
    <n v="29"/>
    <n v="229"/>
    <n v="50"/>
    <n v="65"/>
    <n v="0"/>
    <n v="0"/>
    <n v="0"/>
    <n v="0"/>
    <n v="0"/>
    <n v="0"/>
    <n v="0"/>
    <n v="0"/>
    <n v="0"/>
    <n v="0"/>
    <n v="115"/>
    <m/>
    <m/>
    <m/>
    <m/>
    <m/>
    <m/>
    <m/>
    <m/>
    <m/>
    <m/>
    <m/>
    <m/>
    <n v="0"/>
    <m/>
    <m/>
    <m/>
    <m/>
    <m/>
    <m/>
    <m/>
    <m/>
    <m/>
    <m/>
    <m/>
    <m/>
    <n v="0"/>
    <n v="459"/>
  </r>
  <r>
    <x v="0"/>
    <x v="9"/>
    <s v="TI/SI"/>
    <s v="Roberto Proença"/>
    <s v="TI/SI"/>
    <s v="Roberto Proença"/>
    <s v="DGE"/>
    <s v="NA"/>
    <s v="-"/>
    <s v="Evolução e Sustentação JAVA - Magik"/>
    <s v="Desenvolvimento de funcionalidades inerentes aos processos da DDC dentro do sistema Atlantis"/>
    <s v="Inconformidade do sistema com o processo da distribuição"/>
    <s v="-"/>
    <n v="0"/>
    <n v="0"/>
    <n v="0"/>
    <n v="0"/>
    <n v="0"/>
    <n v="0"/>
    <n v="0"/>
    <n v="0"/>
    <n v="0"/>
    <n v="0"/>
    <n v="0"/>
    <n v="0"/>
    <n v="0"/>
    <n v="0"/>
    <n v="0"/>
    <n v="0"/>
    <n v="0"/>
    <n v="0"/>
    <n v="0"/>
    <n v="50"/>
    <n v="100"/>
    <n v="100"/>
    <n v="100"/>
    <n v="100"/>
    <n v="150"/>
    <n v="600"/>
    <n v="0"/>
    <n v="0"/>
    <n v="50"/>
    <n v="100"/>
    <n v="200"/>
    <n v="100"/>
    <n v="100"/>
    <n v="200"/>
    <n v="100"/>
    <n v="100"/>
    <n v="100"/>
    <n v="150"/>
    <n v="1200"/>
    <n v="0"/>
    <n v="0"/>
    <n v="0"/>
    <n v="200"/>
    <n v="100"/>
    <n v="120"/>
    <n v="120"/>
    <n v="120"/>
    <n v="120"/>
    <n v="120"/>
    <n v="120"/>
    <n v="180"/>
    <n v="1200"/>
    <n v="0"/>
    <n v="0"/>
    <n v="0"/>
    <n v="0"/>
    <n v="100"/>
    <n v="120"/>
    <n v="120"/>
    <n v="120"/>
    <n v="120"/>
    <n v="120"/>
    <n v="120"/>
    <n v="180"/>
    <n v="1000"/>
    <n v="4000"/>
  </r>
  <r>
    <x v="0"/>
    <x v="9"/>
    <s v="TI/SI"/>
    <s v="Álisson Costa"/>
    <s v="TI/SI"/>
    <s v="Álisson Costa"/>
    <s v="DGE"/>
    <s v="TI00914"/>
    <s v="TINV.14.D.042.ES"/>
    <s v="Evolução e Sustentação SAP TI00914"/>
    <s v="Faturamento Residual Ciclo 2013-2018"/>
    <s v="-"/>
    <s v="-"/>
    <n v="0"/>
    <n v="0"/>
    <n v="0.70899999141693115"/>
    <n v="1.52587890625E-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9"/>
    <s v="TI/SI"/>
    <s v="Álisson Costa"/>
    <s v="TI/SI"/>
    <s v="Álisson Costa"/>
    <s v="DGE"/>
    <s v="TI03217"/>
    <s v="TINV.17.D.042.ES"/>
    <s v="Evolução e Sustentação SAP TI03217"/>
    <s v="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
    <s v="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
    <s v="Revisão do escopo do projeto, conforme demandas de sustentação e evolução dos ambientes CCS, CRM, BW, BPC, BO e ECC (ERP)."/>
    <n v="0"/>
    <n v="0"/>
    <n v="0"/>
    <n v="0"/>
    <n v="0"/>
    <n v="0"/>
    <n v="0"/>
    <n v="341.49017333984375"/>
    <n v="600"/>
    <n v="558.50983999999994"/>
    <n v="0"/>
    <n v="0"/>
    <n v="1500.0000133398437"/>
    <n v="0"/>
    <n v="0"/>
    <n v="0"/>
    <n v="0"/>
    <n v="0"/>
    <n v="0"/>
    <n v="500"/>
    <n v="500"/>
    <n v="500"/>
    <n v="500"/>
    <n v="500"/>
    <n v="500"/>
    <n v="3000"/>
    <n v="0"/>
    <n v="0"/>
    <n v="0"/>
    <n v="0"/>
    <n v="0"/>
    <n v="0"/>
    <n v="500"/>
    <n v="500"/>
    <n v="500"/>
    <n v="500"/>
    <n v="500"/>
    <n v="500"/>
    <n v="3000"/>
    <n v="0"/>
    <n v="0"/>
    <n v="0"/>
    <n v="0"/>
    <n v="0"/>
    <n v="500"/>
    <n v="500"/>
    <n v="500"/>
    <n v="500"/>
    <n v="500"/>
    <n v="500"/>
    <n v="600"/>
    <n v="3600"/>
    <n v="0"/>
    <n v="0"/>
    <n v="0"/>
    <n v="0"/>
    <n v="0"/>
    <n v="500"/>
    <n v="500"/>
    <n v="500"/>
    <n v="500"/>
    <n v="500"/>
    <n v="500"/>
    <n v="600"/>
    <n v="3600"/>
    <n v="14700.000013339844"/>
  </r>
  <r>
    <x v="0"/>
    <x v="9"/>
    <s v="TI/SI"/>
    <s v="Álisson Costa"/>
    <s v="TI/SI"/>
    <s v="Álisson Costa"/>
    <s v="DGE"/>
    <s v="TI06218"/>
    <s v="TINV.18.D.042.PC"/>
    <s v="Evolução Portal Cemig (Sharepoint)"/>
    <s v="Reconstrução do Portal Cemig na internet"/>
    <s v="Diminuição do acesso ao site da empresa na internet; Time out nas solicitações para processamento das informações."/>
    <s v="Demanda incorporada à carteira, considerando remanejamento entre projetos."/>
    <n v="0"/>
    <n v="0"/>
    <n v="0"/>
    <n v="0"/>
    <n v="0"/>
    <n v="0"/>
    <n v="0"/>
    <n v="0"/>
    <n v="0"/>
    <n v="0"/>
    <n v="0"/>
    <n v="0"/>
    <n v="0"/>
    <n v="23.965199999999999"/>
    <n v="23.965199999999999"/>
    <n v="23.965199999999999"/>
    <n v="23.965199999999999"/>
    <n v="23.965199999999999"/>
    <n v="23.965199999999999"/>
    <n v="23.965199999999999"/>
    <n v="23.965199999999999"/>
    <n v="23.965199999999999"/>
    <n v="23.965199999999999"/>
    <n v="23.965199999999999"/>
    <n v="27.3888"/>
    <n v="291.00600000000003"/>
    <n v="29.956499999999998"/>
    <n v="29.956499999999998"/>
    <n v="29.956499999999998"/>
    <n v="29.956499999999998"/>
    <n v="29.956499999999998"/>
    <n v="29.956499999999998"/>
    <n v="0"/>
    <n v="0"/>
    <n v="0"/>
    <n v="0"/>
    <n v="0"/>
    <n v="0"/>
    <n v="179.739"/>
    <n v="0"/>
    <n v="0"/>
    <n v="0"/>
    <n v="0"/>
    <n v="0"/>
    <n v="0"/>
    <n v="0"/>
    <n v="0"/>
    <n v="0"/>
    <n v="0"/>
    <n v="0"/>
    <n v="0"/>
    <n v="0"/>
    <n v="0"/>
    <n v="0"/>
    <n v="0"/>
    <n v="0"/>
    <n v="0"/>
    <n v="0"/>
    <n v="0"/>
    <n v="0"/>
    <n v="0"/>
    <n v="0"/>
    <n v="0"/>
    <n v="0"/>
    <n v="0"/>
    <n v="470.745"/>
  </r>
  <r>
    <x v="0"/>
    <x v="9"/>
    <s v="TI/SI"/>
    <s v="Álisson Costa"/>
    <s v="TI/SI"/>
    <s v="Álisson Costa"/>
    <s v="DGE"/>
    <s v="TI06318"/>
    <s v=" TINV.18.D.042.SG"/>
    <s v="Evolução SGCP - Sistema de Gestão e Controle de Patrocínio"/>
    <s v="Desenvolvimento de novas funcionalidades no sistema SGCP; Adequação do processo de gestão dos patrocínios na empresa."/>
    <s v="Obsolescência da solução de gestão de patrocínios da empresa; Ocorrência de erros que podem gerar inconformidades; Falta de compatibilidade do sistema com os processos vigentes na empresa."/>
    <s v="Demanda incorporada à carteira, considerando remanejamento entre projetos."/>
    <n v="0"/>
    <n v="0"/>
    <n v="0"/>
    <n v="0"/>
    <n v="0"/>
    <n v="0"/>
    <n v="0"/>
    <n v="0"/>
    <n v="0"/>
    <n v="8.56"/>
    <n v="8.56"/>
    <n v="8.56"/>
    <n v="25.68"/>
    <n v="8.5589999999999993"/>
    <n v="0"/>
    <n v="8.5589999999999993"/>
    <n v="8.5589999999999993"/>
    <n v="8.5589999999999993"/>
    <n v="0"/>
    <n v="8.5589999999999993"/>
    <n v="8.5589999999999993"/>
    <n v="8.5589999999999993"/>
    <n v="0"/>
    <n v="8.5589999999999993"/>
    <n v="8.5589999999999993"/>
    <n v="77.030999999999992"/>
    <n v="8.56"/>
    <n v="8.56"/>
    <n v="8.56"/>
    <n v="8.56"/>
    <n v="0"/>
    <n v="0"/>
    <n v="0"/>
    <n v="0"/>
    <n v="0"/>
    <n v="0"/>
    <n v="0"/>
    <n v="0"/>
    <n v="34.24"/>
    <n v="0"/>
    <n v="0"/>
    <n v="0"/>
    <n v="0"/>
    <n v="0"/>
    <n v="0"/>
    <n v="0"/>
    <n v="0"/>
    <n v="0"/>
    <n v="0"/>
    <n v="0"/>
    <n v="0"/>
    <n v="0"/>
    <m/>
    <m/>
    <m/>
    <m/>
    <m/>
    <m/>
    <m/>
    <m/>
    <m/>
    <m/>
    <m/>
    <m/>
    <n v="0"/>
    <n v="136.95099999999999"/>
  </r>
  <r>
    <x v="0"/>
    <x v="9"/>
    <s v="TI/SI"/>
    <s v="Álisson Costa"/>
    <s v="TI/SI"/>
    <s v="Álisson Costa"/>
    <s v="DGE"/>
    <s v="TI00617"/>
    <s v="TINV.17.D.042.AG"/>
    <s v="Expansão e Sustentação da AGV"/>
    <s v="Aumentar os serviços disponíveis na Agência Virtual da Cemig"/>
    <s v="Migração dos consumidores para canais de atendimento de maior custo para a Cemig D"/>
    <s v="Revisão do escopo do projeto, conforme demandas do Plano de Resultados."/>
    <n v="0"/>
    <n v="67.5806884765625"/>
    <n v="0"/>
    <n v="30.3466796875"/>
    <n v="61.502719879150391"/>
    <n v="24.368999481201172"/>
    <n v="20.617439270019531"/>
    <n v="70.801338195800781"/>
    <n v="52.07"/>
    <n v="32.200000000000003"/>
    <n v="53.510840000000002"/>
    <n v="25.198660000000004"/>
    <n v="233.78083819580075"/>
    <n v="15"/>
    <n v="20"/>
    <n v="15"/>
    <n v="12"/>
    <n v="15"/>
    <n v="15"/>
    <n v="30"/>
    <n v="30"/>
    <n v="20"/>
    <n v="20"/>
    <n v="25"/>
    <n v="40"/>
    <n v="257"/>
    <n v="25"/>
    <n v="25"/>
    <n v="20"/>
    <n v="40"/>
    <n v="25"/>
    <n v="25"/>
    <n v="27"/>
    <n v="10"/>
    <n v="10"/>
    <n v="10"/>
    <n v="20"/>
    <n v="20"/>
    <n v="257"/>
    <n v="75"/>
    <n v="75"/>
    <n v="10"/>
    <n v="10"/>
    <n v="10"/>
    <n v="10"/>
    <n v="10"/>
    <n v="10"/>
    <n v="10"/>
    <n v="10"/>
    <n v="10"/>
    <n v="10"/>
    <n v="250"/>
    <n v="0"/>
    <n v="0"/>
    <n v="20"/>
    <n v="0"/>
    <n v="0"/>
    <n v="20"/>
    <n v="0"/>
    <n v="0"/>
    <n v="20"/>
    <n v="0"/>
    <n v="0"/>
    <n v="40"/>
    <n v="100"/>
    <n v="1097.7808381958007"/>
  </r>
  <r>
    <x v="0"/>
    <x v="9"/>
    <s v="TI/SI"/>
    <s v="Álisson Costa"/>
    <s v="TI/SI"/>
    <s v="Álisson Costa"/>
    <s v="DGE"/>
    <s v="TI06418"/>
    <s v="TINV.18.D.042.SS"/>
    <s v="Front End - Saúde e Segurança do Trabalho (EH&amp;S)"/>
    <s v="Desenvolvimento de um Front Ende para o Portal Médico; Acesso a laudos e informações médicas por meio da internet."/>
    <s v="Utilização de papel no envio das informações; Maior tempo para a divulgação das informações aos interessados; Extravios e acesso indevido às informações pessoais."/>
    <s v="Demanda incorporada à carteira, considerando remanejamento entre projetos."/>
    <n v="0"/>
    <n v="0"/>
    <n v="0"/>
    <n v="0"/>
    <n v="0"/>
    <n v="0"/>
    <n v="0"/>
    <n v="0"/>
    <n v="17.117999999999999"/>
    <n v="17.117999999999999"/>
    <n v="17.117999999999999"/>
    <n v="17.117999999999999"/>
    <n v="68.471999999999994"/>
    <n v="17.117999999999999"/>
    <n v="17.117999999999999"/>
    <n v="17.117999999999999"/>
    <n v="4.2794999999999996"/>
    <n v="4.2794999999999996"/>
    <n v="4.2794999999999996"/>
    <n v="4.2794999999999996"/>
    <n v="4.2794999999999996"/>
    <n v="4.2794999999999996"/>
    <n v="4.2794999999999996"/>
    <n v="4.2794999999999996"/>
    <n v="4.2794999999999996"/>
    <n v="89.869499999999988"/>
    <n v="4.2794999999999996"/>
    <n v="4.2794999999999996"/>
    <n v="4.2794999999999996"/>
    <n v="0"/>
    <n v="0"/>
    <n v="0"/>
    <n v="0"/>
    <n v="0"/>
    <n v="0"/>
    <n v="0"/>
    <n v="0"/>
    <n v="0"/>
    <n v="12.8385"/>
    <n v="0"/>
    <n v="0"/>
    <n v="0"/>
    <n v="0"/>
    <n v="0"/>
    <n v="0"/>
    <n v="0"/>
    <n v="0"/>
    <n v="0"/>
    <n v="0"/>
    <n v="0"/>
    <n v="0"/>
    <n v="0"/>
    <n v="0"/>
    <n v="0"/>
    <n v="0"/>
    <n v="0"/>
    <n v="0"/>
    <n v="0"/>
    <n v="0"/>
    <n v="0"/>
    <n v="0"/>
    <n v="0"/>
    <n v="0"/>
    <n v="0"/>
    <n v="0"/>
    <n v="171.17999999999998"/>
  </r>
  <r>
    <x v="0"/>
    <x v="9"/>
    <s v="TI/SI"/>
    <s v="Roberto Proença"/>
    <s v="TI/SI"/>
    <s v="Roberto Proença"/>
    <s v="DGE"/>
    <s v="3211/12"/>
    <s v="TINV.12.D.042.GS"/>
    <s v="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s v="-"/>
    <n v="0"/>
    <n v="0"/>
    <n v="0"/>
    <n v="16.69773006439209"/>
    <n v="0"/>
    <n v="30.116769790649414"/>
    <n v="0"/>
    <n v="0"/>
    <n v="0"/>
    <n v="0"/>
    <n v="0"/>
    <n v="5.0538199999999982"/>
    <n v="5.0538199999999982"/>
    <n v="0"/>
    <n v="0"/>
    <n v="0"/>
    <n v="0"/>
    <n v="0"/>
    <n v="0"/>
    <n v="0"/>
    <n v="0"/>
    <n v="0"/>
    <n v="0"/>
    <n v="0"/>
    <n v="0"/>
    <n v="0"/>
    <n v="0"/>
    <n v="0"/>
    <n v="0"/>
    <n v="0"/>
    <n v="0"/>
    <n v="0"/>
    <n v="0"/>
    <n v="0"/>
    <n v="0"/>
    <n v="0"/>
    <n v="0"/>
    <n v="0"/>
    <n v="0"/>
    <n v="0"/>
    <n v="0"/>
    <n v="0"/>
    <n v="0"/>
    <n v="0"/>
    <n v="0"/>
    <n v="0"/>
    <n v="0"/>
    <n v="0"/>
    <n v="0"/>
    <n v="0"/>
    <n v="0"/>
    <n v="0"/>
    <m/>
    <m/>
    <m/>
    <m/>
    <m/>
    <m/>
    <m/>
    <m/>
    <m/>
    <m/>
    <m/>
    <m/>
    <n v="0"/>
    <n v="5.0538199999999982"/>
  </r>
  <r>
    <x v="0"/>
    <x v="9"/>
    <s v="TI/SI"/>
    <s v="Álisson Costa"/>
    <s v="AD/AD"/>
    <s v="Flavio Henrique M. Vieira"/>
    <s v="DDC"/>
    <s v="NA"/>
    <s v="-"/>
    <s v="Integração CIM - COD para falta de energia"/>
    <s v=" A integração do CIM com GDIS visa o registro e a criação notas para o restabelecimento da falta de energia na unidade consumidora"/>
    <s v="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
    <s v="-"/>
    <n v="0"/>
    <n v="0"/>
    <n v="0"/>
    <n v="0"/>
    <n v="0"/>
    <n v="0"/>
    <n v="0"/>
    <n v="0"/>
    <n v="0"/>
    <n v="0"/>
    <n v="0"/>
    <n v="0"/>
    <n v="0"/>
    <n v="0"/>
    <n v="0"/>
    <n v="0"/>
    <n v="0"/>
    <n v="0"/>
    <n v="0"/>
    <n v="0"/>
    <n v="0"/>
    <n v="0"/>
    <n v="0"/>
    <n v="0"/>
    <n v="0"/>
    <n v="0"/>
    <n v="0"/>
    <n v="0"/>
    <n v="0"/>
    <n v="0"/>
    <n v="0"/>
    <n v="0"/>
    <n v="0"/>
    <n v="0"/>
    <n v="0"/>
    <n v="0"/>
    <n v="0"/>
    <n v="0"/>
    <n v="0"/>
    <n v="0"/>
    <n v="0"/>
    <n v="0"/>
    <n v="50"/>
    <n v="0"/>
    <n v="100"/>
    <n v="0"/>
    <n v="0"/>
    <n v="100"/>
    <n v="0"/>
    <n v="0"/>
    <n v="200"/>
    <n v="450"/>
    <n v="50"/>
    <n v="50"/>
    <n v="50"/>
    <n v="100"/>
    <n v="100"/>
    <n v="100"/>
    <n v="0"/>
    <n v="0"/>
    <n v="0"/>
    <n v="0"/>
    <n v="0"/>
    <n v="0"/>
    <n v="450"/>
    <n v="900"/>
  </r>
  <r>
    <x v="0"/>
    <x v="9"/>
    <s v="TI/SI"/>
    <s v="Álisson Costa"/>
    <s v="AD/AD"/>
    <s v="Flavio Henrique M. Vieira"/>
    <s v="DDC"/>
    <s v="NA"/>
    <s v="-"/>
    <s v="Integração em ambiente de produção do sistema Landis+GYr do projeto  Cidades do Futuro (P&amp;D 423) visando disponibilizar funções de leitura e corte/religa automatizados "/>
    <s v="Existe necessidade de investimento para desenvolvimento de integrações com o sistema MECE e SAP/CCS para   automatização da leitura dos medidores e de corte/religa"/>
    <s v="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
    <s v="Postergação do desembolso para adequação da curva de investimento."/>
    <n v="0"/>
    <n v="0"/>
    <n v="0"/>
    <n v="0"/>
    <n v="0"/>
    <n v="0"/>
    <n v="0"/>
    <n v="0"/>
    <n v="0"/>
    <n v="0"/>
    <n v="0"/>
    <n v="0"/>
    <n v="0"/>
    <n v="0"/>
    <n v="0"/>
    <n v="0"/>
    <n v="190"/>
    <n v="0"/>
    <n v="190"/>
    <n v="0"/>
    <n v="0"/>
    <n v="0"/>
    <n v="0"/>
    <n v="0"/>
    <n v="0"/>
    <n v="380"/>
    <n v="0"/>
    <n v="0"/>
    <n v="0"/>
    <n v="0"/>
    <n v="0"/>
    <n v="0"/>
    <n v="0"/>
    <n v="0"/>
    <n v="0"/>
    <n v="0"/>
    <n v="0"/>
    <n v="0"/>
    <n v="0"/>
    <n v="0"/>
    <n v="0"/>
    <n v="0"/>
    <n v="0"/>
    <n v="0"/>
    <n v="0"/>
    <n v="0"/>
    <n v="0"/>
    <n v="0"/>
    <n v="0"/>
    <n v="0"/>
    <n v="0"/>
    <n v="0"/>
    <n v="0"/>
    <n v="0"/>
    <n v="0"/>
    <n v="0"/>
    <n v="0"/>
    <n v="0"/>
    <n v="0"/>
    <n v="0"/>
    <n v="0"/>
    <n v="0"/>
    <n v="0"/>
    <n v="0"/>
    <n v="0"/>
    <n v="380"/>
  </r>
  <r>
    <x v="0"/>
    <x v="9"/>
    <s v="TI/SI"/>
    <s v="Álisson Costa"/>
    <s v="AD/AD"/>
    <s v="Amantino Alves da Costa"/>
    <s v="DGE"/>
    <s v="NA"/>
    <m/>
    <s v="Licenciamento ASPEN"/>
    <m/>
    <m/>
    <m/>
    <n v="0"/>
    <n v="0"/>
    <n v="0"/>
    <n v="0"/>
    <n v="0"/>
    <n v="0"/>
    <n v="0"/>
    <n v="0"/>
    <n v="0"/>
    <n v="0"/>
    <n v="0"/>
    <n v="120"/>
    <n v="120"/>
    <n v="0"/>
    <n v="0"/>
    <n v="0"/>
    <n v="0"/>
    <n v="0"/>
    <n v="0"/>
    <n v="0"/>
    <n v="0"/>
    <n v="0"/>
    <n v="0"/>
    <n v="0"/>
    <n v="0"/>
    <n v="0"/>
    <n v="0"/>
    <n v="0"/>
    <n v="0"/>
    <n v="0"/>
    <n v="0"/>
    <n v="0"/>
    <n v="0"/>
    <n v="0"/>
    <n v="0"/>
    <n v="0"/>
    <n v="0"/>
    <n v="0"/>
    <n v="0"/>
    <m/>
    <m/>
    <m/>
    <m/>
    <m/>
    <m/>
    <m/>
    <m/>
    <m/>
    <m/>
    <m/>
    <m/>
    <n v="0"/>
    <m/>
    <m/>
    <m/>
    <m/>
    <m/>
    <m/>
    <m/>
    <m/>
    <m/>
    <m/>
    <m/>
    <m/>
    <n v="0"/>
    <n v="120"/>
  </r>
  <r>
    <x v="0"/>
    <x v="9"/>
    <s v="TI/SI"/>
    <s v="Álisson Costa"/>
    <s v="TI/SI"/>
    <s v="Álisson Costa"/>
    <s v="DGE"/>
    <s v="TI05218"/>
    <s v="TINV.18.D.042.BE"/>
    <s v="Licenciamento BENTLEY"/>
    <s v="Atualização da plataforma de software BENTLEY, ferramentas para elaboração de projetos em desenho auxiliado por computador - CAD"/>
    <s v="Limitação da quantidade de licenças para os usuários na Cemig; Falta de suporte para o uso dos produtos e a resolução de problemas; Obsolescência dos produtos usados pela Empresa."/>
    <s v="Revisão do escopo do projeto, incorporando ganhos obtidos na negociação do licenciamento."/>
    <n v="0"/>
    <n v="0"/>
    <n v="0"/>
    <n v="0"/>
    <n v="0"/>
    <n v="0"/>
    <n v="0"/>
    <n v="0"/>
    <n v="420.45"/>
    <n v="0"/>
    <n v="0"/>
    <n v="0"/>
    <n v="420.45"/>
    <n v="0"/>
    <n v="0"/>
    <n v="0"/>
    <n v="0"/>
    <n v="0"/>
    <n v="0"/>
    <n v="0"/>
    <n v="0"/>
    <n v="0"/>
    <n v="0"/>
    <n v="0"/>
    <n v="0"/>
    <n v="0"/>
    <n v="0"/>
    <n v="0"/>
    <n v="0"/>
    <n v="0"/>
    <n v="0"/>
    <n v="0"/>
    <n v="0"/>
    <n v="0"/>
    <n v="0"/>
    <n v="517"/>
    <n v="0"/>
    <n v="0"/>
    <n v="517"/>
    <n v="0"/>
    <n v="0"/>
    <n v="0"/>
    <n v="0"/>
    <n v="0"/>
    <n v="0"/>
    <n v="0"/>
    <n v="0"/>
    <n v="0"/>
    <n v="0"/>
    <n v="0"/>
    <n v="0"/>
    <n v="0"/>
    <n v="0"/>
    <n v="0"/>
    <n v="0"/>
    <n v="0"/>
    <n v="0"/>
    <n v="0"/>
    <n v="0"/>
    <n v="0"/>
    <n v="0"/>
    <n v="0"/>
    <n v="500"/>
    <n v="0"/>
    <n v="500"/>
    <n v="1437.45"/>
  </r>
  <r>
    <x v="0"/>
    <x v="9"/>
    <s v="TI/SI"/>
    <s v="Álisson Costa"/>
    <s v="TI/SI"/>
    <s v="Álisson Costa"/>
    <s v="DGE"/>
    <s v="TI00118"/>
    <s v="TINV.18.D.042.OR"/>
    <s v="Licenciamento de Softwares (Oracle) D"/>
    <s v="O projeto decorre da atualização de versão e licenciamento da plataforma de software de gerenciamento de banco de dados da ORACLE."/>
    <s v="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
    <s v="Revisão do escopo do projeto, incorporando ganhos obtidos na negociação do licenciamento."/>
    <n v="0"/>
    <n v="0"/>
    <n v="479.32675170898437"/>
    <n v="0"/>
    <n v="0"/>
    <n v="0"/>
    <n v="0"/>
    <n v="0"/>
    <n v="0"/>
    <n v="0"/>
    <n v="0"/>
    <n v="0"/>
    <n v="0"/>
    <n v="0"/>
    <n v="603"/>
    <n v="0"/>
    <n v="0"/>
    <n v="0"/>
    <n v="0"/>
    <n v="0"/>
    <n v="0"/>
    <n v="0"/>
    <n v="0"/>
    <n v="0"/>
    <n v="0"/>
    <n v="603"/>
    <n v="0"/>
    <n v="779"/>
    <n v="0"/>
    <n v="0"/>
    <n v="0"/>
    <n v="0"/>
    <n v="0"/>
    <n v="0"/>
    <n v="0"/>
    <n v="0"/>
    <n v="0"/>
    <n v="0"/>
    <n v="779"/>
    <n v="0"/>
    <n v="800"/>
    <n v="0"/>
    <n v="0"/>
    <n v="0"/>
    <n v="0"/>
    <n v="0"/>
    <n v="0"/>
    <n v="0"/>
    <n v="0"/>
    <n v="0"/>
    <n v="0"/>
    <n v="800"/>
    <n v="0"/>
    <n v="800"/>
    <n v="0"/>
    <n v="0"/>
    <n v="0"/>
    <n v="0"/>
    <n v="0"/>
    <n v="0"/>
    <n v="0"/>
    <n v="0"/>
    <n v="0"/>
    <n v="0"/>
    <n v="800"/>
    <n v="2982"/>
  </r>
  <r>
    <x v="0"/>
    <x v="9"/>
    <s v="TI/SI"/>
    <s v="Álisson Costa"/>
    <s v="TI/SI"/>
    <s v="Álisson Costa"/>
    <s v="DGE"/>
    <s v="NA"/>
    <s v="-"/>
    <s v="Licenciamento HEXAGON D"/>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s v="Revisão do escopo do projeto."/>
    <n v="0"/>
    <n v="0"/>
    <n v="0"/>
    <n v="0"/>
    <n v="0"/>
    <n v="0"/>
    <n v="0"/>
    <n v="0"/>
    <n v="0"/>
    <n v="0"/>
    <n v="0"/>
    <n v="0"/>
    <n v="0"/>
    <n v="0"/>
    <n v="0"/>
    <n v="0"/>
    <n v="0"/>
    <n v="0"/>
    <n v="0"/>
    <n v="0"/>
    <n v="0"/>
    <n v="0"/>
    <n v="0"/>
    <n v="0"/>
    <n v="0"/>
    <n v="0"/>
    <n v="0"/>
    <n v="2200"/>
    <n v="0"/>
    <n v="0"/>
    <n v="0"/>
    <n v="0"/>
    <n v="0"/>
    <n v="0"/>
    <n v="0"/>
    <n v="0"/>
    <n v="0"/>
    <n v="0"/>
    <n v="2200"/>
    <n v="0"/>
    <n v="0"/>
    <n v="0"/>
    <n v="0"/>
    <n v="0"/>
    <n v="0"/>
    <n v="0"/>
    <n v="0"/>
    <n v="0"/>
    <n v="0"/>
    <n v="0"/>
    <n v="0"/>
    <n v="0"/>
    <n v="0"/>
    <n v="0"/>
    <n v="0"/>
    <n v="0"/>
    <n v="0"/>
    <n v="0"/>
    <n v="0"/>
    <n v="0"/>
    <n v="0"/>
    <n v="0"/>
    <n v="0"/>
    <n v="0"/>
    <n v="0"/>
    <n v="2200"/>
  </r>
  <r>
    <x v="0"/>
    <x v="9"/>
    <s v="TI/SI"/>
    <s v="Álisson Costa"/>
    <s v="TI/SI"/>
    <s v="Álisson Costa"/>
    <s v="DGE"/>
    <s v="TI02418"/>
    <s v="TINV.18.D.042.SA"/>
    <s v="Licenciamento SAS"/>
    <s v="Atualização da plataforma de software do instituto SAS em uso da empresa, para atendimento aos requisitos regulatórios."/>
    <s v="Defasagem tecnológica perante o software usado no setor de energia para atendimento regulatório."/>
    <s v="Revisão do escopo do projeto, incorporando ganhos obtidos na negociação do licenciamento."/>
    <n v="0"/>
    <n v="0"/>
    <n v="0"/>
    <n v="0"/>
    <n v="693.4403076171875"/>
    <n v="0"/>
    <n v="0"/>
    <n v="0"/>
    <n v="0"/>
    <n v="0"/>
    <n v="0"/>
    <n v="0"/>
    <n v="0"/>
    <n v="0"/>
    <n v="0"/>
    <n v="0"/>
    <n v="0"/>
    <n v="0"/>
    <n v="0"/>
    <n v="0"/>
    <n v="0"/>
    <n v="0"/>
    <n v="0"/>
    <n v="0"/>
    <n v="0"/>
    <n v="0"/>
    <n v="0"/>
    <n v="0"/>
    <n v="0"/>
    <n v="0"/>
    <n v="750"/>
    <n v="0"/>
    <n v="0"/>
    <n v="0"/>
    <n v="0"/>
    <n v="0"/>
    <n v="0"/>
    <n v="0"/>
    <n v="750"/>
    <n v="0"/>
    <n v="0"/>
    <n v="0"/>
    <n v="0"/>
    <n v="750"/>
    <n v="0"/>
    <n v="0"/>
    <n v="0"/>
    <n v="0"/>
    <n v="0"/>
    <n v="0"/>
    <n v="0"/>
    <n v="750"/>
    <n v="0"/>
    <n v="0"/>
    <n v="0"/>
    <n v="0"/>
    <n v="0"/>
    <n v="0"/>
    <n v="0"/>
    <n v="0"/>
    <n v="1500"/>
    <n v="0"/>
    <n v="0"/>
    <n v="0"/>
    <n v="1500"/>
    <n v="3000"/>
  </r>
  <r>
    <x v="0"/>
    <x v="9"/>
    <s v="TI/SI"/>
    <s v="Álisson Costa"/>
    <s v="TI/SI"/>
    <s v="Álisson Costa"/>
    <s v="DGE"/>
    <s v="NA"/>
    <s v="-"/>
    <s v="Migração para NFE de Entrada"/>
    <s v="Adequação do SAP para emissão de NFE de Entrada"/>
    <s v="Falha nas retenções de impostos e tarifas."/>
    <s v="Postergação do desembolso para adequação da curva de investimento."/>
    <n v="0"/>
    <n v="0"/>
    <n v="0"/>
    <n v="0"/>
    <n v="0"/>
    <n v="0"/>
    <n v="0"/>
    <n v="0"/>
    <n v="0"/>
    <n v="0"/>
    <n v="0"/>
    <n v="0"/>
    <n v="0"/>
    <n v="0"/>
    <n v="0"/>
    <n v="0"/>
    <n v="0"/>
    <n v="0"/>
    <n v="0"/>
    <n v="0"/>
    <n v="0"/>
    <n v="0"/>
    <n v="0"/>
    <n v="0"/>
    <n v="0"/>
    <n v="0"/>
    <n v="0"/>
    <n v="0"/>
    <n v="0"/>
    <n v="0"/>
    <n v="0"/>
    <n v="0"/>
    <n v="0"/>
    <n v="0"/>
    <n v="0"/>
    <n v="50"/>
    <n v="50"/>
    <n v="50"/>
    <n v="150"/>
    <n v="50"/>
    <n v="50"/>
    <n v="50"/>
    <n v="0"/>
    <n v="0"/>
    <n v="0"/>
    <n v="0"/>
    <n v="0"/>
    <n v="0"/>
    <n v="0"/>
    <n v="0"/>
    <n v="0"/>
    <n v="150"/>
    <n v="0"/>
    <n v="0"/>
    <n v="0"/>
    <n v="0"/>
    <n v="0"/>
    <n v="0"/>
    <n v="0"/>
    <n v="0"/>
    <n v="0"/>
    <n v="0"/>
    <n v="0"/>
    <n v="0"/>
    <n v="0"/>
    <n v="300"/>
  </r>
  <r>
    <x v="0"/>
    <x v="9"/>
    <s v="TI/SI"/>
    <s v="Álisson Costa"/>
    <s v="TI/SI"/>
    <s v="Álisson Costa"/>
    <s v="DGE"/>
    <s v="NA"/>
    <s v="-"/>
    <s v="Migração para TAXBRA"/>
    <s v="Migração do modelo de tarifas usado na Cemig para o modelo TAXBRA"/>
    <s v="Continuidade de uso de um modelo de tarifas inadequado na Companhia."/>
    <s v="Postergação do desembolso para adequação da curva de investimento."/>
    <n v="0"/>
    <n v="0"/>
    <n v="0"/>
    <n v="0"/>
    <n v="0"/>
    <n v="0"/>
    <n v="0"/>
    <n v="0"/>
    <n v="0"/>
    <n v="0"/>
    <n v="0"/>
    <n v="0"/>
    <n v="0"/>
    <n v="0"/>
    <n v="0"/>
    <n v="0"/>
    <n v="0"/>
    <n v="0"/>
    <n v="0"/>
    <n v="0"/>
    <n v="0"/>
    <n v="0"/>
    <n v="0"/>
    <n v="0"/>
    <n v="0"/>
    <n v="0"/>
    <n v="0"/>
    <n v="0"/>
    <n v="0"/>
    <n v="0"/>
    <n v="0"/>
    <n v="0"/>
    <n v="0"/>
    <n v="0"/>
    <n v="0"/>
    <n v="50"/>
    <n v="50"/>
    <n v="50"/>
    <n v="150"/>
    <n v="50"/>
    <n v="50"/>
    <n v="50"/>
    <n v="0"/>
    <n v="0"/>
    <n v="0"/>
    <n v="0"/>
    <n v="0"/>
    <n v="0"/>
    <n v="0"/>
    <n v="0"/>
    <n v="0"/>
    <n v="150"/>
    <n v="0"/>
    <n v="0"/>
    <n v="0"/>
    <n v="0"/>
    <n v="0"/>
    <n v="0"/>
    <n v="0"/>
    <n v="0"/>
    <n v="0"/>
    <n v="0"/>
    <n v="0"/>
    <n v="0"/>
    <n v="0"/>
    <n v="300"/>
  </r>
  <r>
    <x v="0"/>
    <x v="9"/>
    <s v="TI/SI"/>
    <s v="Álisson Costa"/>
    <s v="TI/SI"/>
    <s v="Álisson Costa"/>
    <s v="DGE"/>
    <s v="NA"/>
    <s v="-"/>
    <s v="Migração Ponto Negativo para Positivo (SAP HR)"/>
    <m/>
    <m/>
    <s v="Postergação do desembolso para adequação da curva de investimento."/>
    <n v="0"/>
    <n v="0"/>
    <n v="0"/>
    <n v="0"/>
    <n v="0"/>
    <n v="0"/>
    <n v="0"/>
    <n v="0"/>
    <n v="0"/>
    <n v="0"/>
    <n v="0"/>
    <n v="0"/>
    <n v="0"/>
    <n v="0"/>
    <n v="0"/>
    <n v="0"/>
    <n v="0"/>
    <n v="0"/>
    <n v="0"/>
    <n v="0"/>
    <n v="0"/>
    <n v="0"/>
    <n v="0"/>
    <n v="0"/>
    <n v="0"/>
    <n v="0"/>
    <n v="0"/>
    <n v="0"/>
    <n v="150"/>
    <n v="0"/>
    <n v="0"/>
    <n v="0"/>
    <n v="0"/>
    <n v="0"/>
    <n v="0"/>
    <n v="0"/>
    <n v="0"/>
    <n v="0"/>
    <n v="150"/>
    <n v="0"/>
    <n v="0"/>
    <n v="150"/>
    <n v="0"/>
    <n v="0"/>
    <n v="0"/>
    <n v="0"/>
    <n v="0"/>
    <n v="0"/>
    <n v="0"/>
    <n v="0"/>
    <n v="0"/>
    <n v="150"/>
    <n v="0"/>
    <n v="0"/>
    <n v="0"/>
    <n v="0"/>
    <n v="0"/>
    <n v="0"/>
    <n v="0"/>
    <n v="0"/>
    <n v="0"/>
    <n v="0"/>
    <n v="0"/>
    <n v="0"/>
    <n v="0"/>
    <n v="300"/>
  </r>
  <r>
    <x v="0"/>
    <x v="9"/>
    <s v="TI/SI"/>
    <s v="Roberto Proença"/>
    <s v="TI/SI"/>
    <s v="Roberto Proença"/>
    <s v="DGE"/>
    <s v="NA"/>
    <s v="-"/>
    <s v="Mobilidade - Aquisição de Equipamento Móvel para Projeto e Recebimento de Obras"/>
    <s v="Aquisição de equipamento móvel (tablets) para desenho de projetos e recebimento de obras de rede distribuição em campo."/>
    <s v="Perda de oportunidade de ganho de produtividade no processo de elaboração e execução de projetos de expansão da rede de distribuição; Perda de oportunidade de visibilidade e controle de obras e previsibilidade de realização."/>
    <s v="-"/>
    <n v="0"/>
    <n v="0"/>
    <n v="0"/>
    <n v="0"/>
    <n v="0"/>
    <n v="0"/>
    <n v="0"/>
    <n v="0"/>
    <n v="0"/>
    <n v="0"/>
    <n v="0"/>
    <n v="0"/>
    <n v="0"/>
    <n v="0"/>
    <n v="0"/>
    <n v="0"/>
    <n v="0"/>
    <n v="0"/>
    <n v="525"/>
    <n v="0"/>
    <n v="0"/>
    <n v="0"/>
    <n v="0"/>
    <n v="0"/>
    <n v="0"/>
    <n v="525"/>
    <n v="0"/>
    <n v="525"/>
    <n v="0"/>
    <n v="0"/>
    <n v="0"/>
    <n v="0"/>
    <n v="0"/>
    <n v="0"/>
    <n v="0"/>
    <n v="0"/>
    <n v="0"/>
    <n v="0"/>
    <n v="525"/>
    <n v="0"/>
    <n v="0"/>
    <n v="0"/>
    <n v="0"/>
    <n v="0"/>
    <n v="0"/>
    <n v="0"/>
    <n v="0"/>
    <n v="0"/>
    <n v="0"/>
    <n v="0"/>
    <n v="0"/>
    <n v="0"/>
    <n v="0"/>
    <n v="0"/>
    <n v="0"/>
    <n v="0"/>
    <n v="0"/>
    <n v="0"/>
    <n v="0"/>
    <n v="0"/>
    <n v="0"/>
    <n v="0"/>
    <n v="0"/>
    <n v="0"/>
    <n v="0"/>
    <n v="1050"/>
  </r>
  <r>
    <x v="0"/>
    <x v="9"/>
    <s v="TI/SI"/>
    <s v="Roberto Proença"/>
    <s v="TI/SI"/>
    <s v="Roberto Proença"/>
    <s v="DGE"/>
    <s v="TI08518"/>
    <s v="TINV.18.D.042.MO"/>
    <s v="Mobilidade - Sistema para Projeto, Execução e Recebimento de Obras com Equipamento Móvel em Campo"/>
    <s v="Construção de sistema para dispositivo móvel integrado ao Atlantis/GDIS para projeto de rede em campo e recebimento de obras."/>
    <s v="Perda de oportunidade de ganho de produtividade no processo de elaboração e execução de projetos de expansão da rede de distribuição; Perda de oportunidade de visibilidade e controle de obras e previsibilidade de realização."/>
    <s v="Antecipação do desembolso de 2020 para atendimento da integração Atlântis."/>
    <n v="0"/>
    <n v="0"/>
    <n v="0"/>
    <n v="0"/>
    <n v="0"/>
    <n v="0"/>
    <n v="0"/>
    <n v="0"/>
    <n v="0"/>
    <n v="0"/>
    <n v="0"/>
    <n v="200"/>
    <n v="200"/>
    <n v="100"/>
    <n v="100"/>
    <n v="100"/>
    <n v="100"/>
    <n v="100"/>
    <n v="100"/>
    <n v="100"/>
    <n v="100"/>
    <n v="100"/>
    <n v="100"/>
    <n v="100"/>
    <n v="100"/>
    <n v="1200"/>
    <n v="100"/>
    <n v="100"/>
    <n v="100"/>
    <n v="100"/>
    <n v="100"/>
    <n v="100"/>
    <n v="0"/>
    <n v="0"/>
    <n v="0"/>
    <n v="0"/>
    <n v="0"/>
    <n v="0"/>
    <n v="600"/>
    <n v="0"/>
    <n v="0"/>
    <n v="0"/>
    <n v="0"/>
    <n v="0"/>
    <n v="0"/>
    <n v="0"/>
    <n v="0"/>
    <n v="0"/>
    <n v="0"/>
    <n v="0"/>
    <n v="0"/>
    <n v="0"/>
    <n v="0"/>
    <n v="0"/>
    <n v="0"/>
    <n v="0"/>
    <n v="0"/>
    <n v="0"/>
    <n v="0"/>
    <n v="0"/>
    <n v="0"/>
    <n v="0"/>
    <n v="0"/>
    <n v="0"/>
    <n v="0"/>
    <n v="2000"/>
  </r>
  <r>
    <x v="0"/>
    <x v="9"/>
    <s v="TI/SI"/>
    <s v="Roberto Proença"/>
    <s v="TI/SI"/>
    <s v="Roberto Proença"/>
    <s v="DGE"/>
    <s v="TI01016"/>
    <s v="TINV.16.D.042.SC"/>
    <s v="Modernização do Sistema de Aquisição de Dados e Monitoramento do COD e aquisição de EMS "/>
    <s v="Aquisição e implantação de Sistema de Aquisição de Dados e Monitoramento com funcionalidades de EMS, OTS dentre outras definidas na Especificação Técnica, e aquisição de Sistema de Controle Backup, a ser implementado como serviço de Colocation."/>
    <s v="-"/>
    <s v="Postergação do desembolso em virtude de atraso na implantação/integração com o GDIS 2.0."/>
    <n v="0"/>
    <n v="33.591888427734375"/>
    <n v="32.432331085205078"/>
    <n v="0"/>
    <n v="60.459541320800781"/>
    <n v="30.349920272827148"/>
    <n v="43.076400756835938"/>
    <n v="0"/>
    <n v="108.92359999999999"/>
    <n v="87"/>
    <n v="1545.6500799999999"/>
    <n v="152"/>
    <n v="1893.57368"/>
    <n v="151"/>
    <n v="151"/>
    <n v="151"/>
    <n v="151"/>
    <n v="151"/>
    <n v="151"/>
    <n v="151"/>
    <n v="151"/>
    <n v="151"/>
    <n v="151"/>
    <n v="151"/>
    <n v="51"/>
    <n v="1712"/>
    <n v="0"/>
    <n v="0"/>
    <n v="0"/>
    <n v="0"/>
    <n v="0"/>
    <n v="0"/>
    <n v="0"/>
    <n v="0"/>
    <n v="0"/>
    <n v="0"/>
    <n v="0"/>
    <n v="0"/>
    <n v="0"/>
    <n v="0"/>
    <n v="0"/>
    <n v="0"/>
    <n v="0"/>
    <n v="0"/>
    <n v="0"/>
    <n v="0"/>
    <n v="0"/>
    <n v="0"/>
    <n v="0"/>
    <n v="0"/>
    <n v="0"/>
    <n v="0"/>
    <n v="0"/>
    <n v="0"/>
    <n v="0"/>
    <n v="0"/>
    <n v="0"/>
    <n v="0"/>
    <n v="0"/>
    <n v="0"/>
    <n v="0"/>
    <n v="0"/>
    <n v="0"/>
    <n v="0"/>
    <n v="0"/>
    <n v="3605.57368"/>
  </r>
  <r>
    <x v="0"/>
    <x v="9"/>
    <s v="TI/SI"/>
    <s v="Álisson Costa"/>
    <s v="TI/SI"/>
    <s v="Álisson Costa"/>
    <s v="DGE"/>
    <s v="TI03317"/>
    <s v="TINV.17.D.042.DR"/>
    <s v="Novo Sistema de Controle de Documentos Regulatórios"/>
    <s v="Substituição do sistema Condor - Controle de Documentos Regulatórios."/>
    <s v="Ocorrência de falhas na operação e na gestão do sistema; Impacto no processo de envio e recepção de documentos."/>
    <s v="-"/>
    <n v="0"/>
    <n v="0"/>
    <n v="44.575801849365234"/>
    <n v="0"/>
    <n v="63.943870544433594"/>
    <n v="0"/>
    <n v="0"/>
    <n v="0"/>
    <n v="26"/>
    <n v="0"/>
    <n v="39"/>
    <n v="0"/>
    <n v="65"/>
    <n v="14"/>
    <n v="0"/>
    <n v="20"/>
    <n v="15"/>
    <n v="15"/>
    <n v="30"/>
    <n v="30"/>
    <n v="20"/>
    <n v="20"/>
    <n v="20"/>
    <n v="20"/>
    <n v="24"/>
    <n v="228"/>
    <n v="0"/>
    <n v="0"/>
    <n v="0"/>
    <n v="0"/>
    <n v="0"/>
    <n v="0"/>
    <n v="0"/>
    <n v="0"/>
    <n v="0"/>
    <n v="0"/>
    <n v="0"/>
    <n v="0"/>
    <n v="0"/>
    <n v="0"/>
    <n v="0"/>
    <n v="0"/>
    <n v="0"/>
    <n v="0"/>
    <n v="0"/>
    <n v="0"/>
    <n v="0"/>
    <n v="0"/>
    <n v="0"/>
    <n v="0"/>
    <n v="0"/>
    <n v="0"/>
    <n v="0"/>
    <n v="0"/>
    <n v="0"/>
    <n v="0"/>
    <n v="0"/>
    <n v="0"/>
    <n v="0"/>
    <n v="0"/>
    <n v="0"/>
    <n v="0"/>
    <n v="0"/>
    <n v="0"/>
    <n v="0"/>
    <n v="293"/>
  </r>
  <r>
    <x v="0"/>
    <x v="9"/>
    <s v="TI/SI"/>
    <s v="Álisson Costa"/>
    <s v="TI/SI"/>
    <s v="Álisson Costa"/>
    <s v="DGE"/>
    <s v="TI02318"/>
    <s v="TINV.18.D.042.GP"/>
    <s v="Portal Geográfico Cemig - GeoPortal"/>
    <s v="Construção de um portal unificado com diversas feições geográficas de interesse corporativo da Cemig; Utilização de uma IDE geográfica e padronização das funcionalidades espaciais; Concentração dos produtos de geoprocessamento para maior visibilidade dos usuários."/>
    <s v="Dispersão das aplicações de geoprocessamento dentro da Cemignet, dificultando a localização e o acesso às funcionalidades; Falta de um padrão visual e de interface com os usuários; Aumento no custo tanto para a construção individualizada, como para as futuras manutenções."/>
    <s v="Revisão do escopo do projeto, considerando as demandas de geoprocessamento."/>
    <n v="0"/>
    <n v="0"/>
    <n v="0"/>
    <n v="0"/>
    <n v="0"/>
    <n v="0"/>
    <n v="0"/>
    <n v="0"/>
    <n v="0"/>
    <n v="35"/>
    <n v="35"/>
    <n v="72"/>
    <n v="142"/>
    <n v="0"/>
    <n v="50"/>
    <n v="25"/>
    <n v="25"/>
    <n v="25"/>
    <n v="25"/>
    <n v="0"/>
    <n v="50"/>
    <n v="50"/>
    <n v="39"/>
    <n v="50"/>
    <n v="50"/>
    <n v="389"/>
    <n v="0"/>
    <n v="50"/>
    <n v="25"/>
    <n v="25"/>
    <n v="25"/>
    <n v="25"/>
    <n v="0"/>
    <n v="50"/>
    <n v="50"/>
    <n v="39"/>
    <n v="50"/>
    <n v="50"/>
    <n v="389"/>
    <n v="50"/>
    <n v="50"/>
    <n v="50"/>
    <n v="50"/>
    <n v="47"/>
    <n v="0"/>
    <n v="0"/>
    <n v="0"/>
    <n v="0"/>
    <n v="0"/>
    <n v="0"/>
    <n v="0"/>
    <n v="247"/>
    <n v="50"/>
    <n v="50"/>
    <n v="100"/>
    <n v="150"/>
    <n v="53"/>
    <n v="0"/>
    <n v="0"/>
    <n v="0"/>
    <n v="0"/>
    <n v="0"/>
    <n v="0"/>
    <n v="0"/>
    <n v="403"/>
    <n v="1570"/>
  </r>
  <r>
    <x v="0"/>
    <x v="9"/>
    <s v="TI/SI"/>
    <s v="Álisson Costa"/>
    <s v="TI/SI"/>
    <s v="Álisson Costa"/>
    <s v="DGE"/>
    <s v="TI01317"/>
    <s v="TINV.17.D.042.PG"/>
    <s v="Portal Geográfico de Meteorologia"/>
    <s v="Construção do portal com feição geográfica para visão dos eventos meteorológicos no sistema elétrico."/>
    <s v="Falta de funcionalidades para gestão; Ausência de informações importantes para a tomada de decisão."/>
    <s v="-"/>
    <n v="28.523290634155273"/>
    <n v="30.116769790649414"/>
    <n v="25.895620346069336"/>
    <n v="30.116769790649414"/>
    <n v="27.196220397949219"/>
    <n v="0"/>
    <n v="28.888050079345703"/>
    <n v="28.648960113525391"/>
    <n v="17.75104"/>
    <n v="0"/>
    <n v="0"/>
    <n v="0"/>
    <n v="46.400000113525394"/>
    <n v="0"/>
    <n v="0"/>
    <n v="0"/>
    <n v="0"/>
    <n v="0"/>
    <n v="0"/>
    <n v="0"/>
    <n v="0"/>
    <n v="0"/>
    <n v="0"/>
    <n v="0"/>
    <n v="0"/>
    <n v="0"/>
    <n v="0"/>
    <n v="0"/>
    <n v="0"/>
    <n v="0"/>
    <n v="0"/>
    <n v="0"/>
    <n v="0"/>
    <n v="0"/>
    <n v="0"/>
    <n v="0"/>
    <n v="0"/>
    <n v="0"/>
    <n v="0"/>
    <n v="0"/>
    <n v="0"/>
    <n v="0"/>
    <n v="0"/>
    <n v="0"/>
    <n v="0"/>
    <n v="0"/>
    <n v="0"/>
    <n v="0"/>
    <n v="0"/>
    <n v="0"/>
    <n v="0"/>
    <n v="0"/>
    <n v="0"/>
    <n v="0"/>
    <n v="0"/>
    <n v="0"/>
    <n v="0"/>
    <n v="0"/>
    <n v="0"/>
    <n v="0"/>
    <n v="0"/>
    <n v="0"/>
    <n v="0"/>
    <n v="0"/>
    <n v="0"/>
    <n v="46.400000113525394"/>
  </r>
  <r>
    <x v="0"/>
    <x v="9"/>
    <s v="TI/SI"/>
    <s v="Roberto Proença"/>
    <s v="CD/GI"/>
    <s v="Luiz Augusto Costa"/>
    <s v="DDC"/>
    <s v="TI05718"/>
    <s v="TINV.18.D.042.CI"/>
    <s v="Projeto Compartilhamento de Infraestrutura (antigo Projeto Uso Mútuo)"/>
    <s v="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
    <s v="Risco regulatório por não atendimento da resolução (RC004/2014); Perda de oportunidade de melhoria da base cadastral de compartilhamento de infraestrutura; Possível perda de receita devido falta de ferramentas para gestão do compartilhamento de infraestrutura."/>
    <s v="Revisão do escopo do projeto, com postergação do desembolso conforme cronograma de execução."/>
    <n v="0"/>
    <n v="0"/>
    <n v="0"/>
    <n v="0"/>
    <n v="0"/>
    <n v="0"/>
    <n v="0"/>
    <n v="0"/>
    <n v="0"/>
    <n v="0"/>
    <n v="60"/>
    <n v="60"/>
    <n v="120"/>
    <n v="60"/>
    <n v="60"/>
    <n v="60"/>
    <n v="60"/>
    <n v="0"/>
    <n v="0"/>
    <n v="0"/>
    <n v="0"/>
    <n v="0"/>
    <n v="0"/>
    <n v="0"/>
    <n v="0"/>
    <n v="240"/>
    <n v="0"/>
    <n v="0"/>
    <n v="0"/>
    <n v="0"/>
    <n v="0"/>
    <n v="0"/>
    <n v="0"/>
    <n v="0"/>
    <n v="0"/>
    <n v="0"/>
    <n v="0"/>
    <n v="0"/>
    <n v="0"/>
    <n v="0"/>
    <n v="0"/>
    <n v="0"/>
    <n v="0"/>
    <n v="0"/>
    <n v="0"/>
    <n v="0"/>
    <n v="0"/>
    <n v="0"/>
    <n v="0"/>
    <n v="0"/>
    <n v="0"/>
    <n v="0"/>
    <n v="0"/>
    <n v="0"/>
    <n v="0"/>
    <n v="0"/>
    <n v="0"/>
    <n v="0"/>
    <n v="0"/>
    <n v="0"/>
    <n v="0"/>
    <n v="0"/>
    <n v="0"/>
    <n v="0"/>
    <n v="0"/>
    <n v="360"/>
  </r>
  <r>
    <x v="0"/>
    <x v="9"/>
    <s v="TI/SI"/>
    <s v="Álisson Costa"/>
    <s v="RH/AP"/>
    <s v="Álisson Costa"/>
    <s v="DGE"/>
    <s v="TI01813"/>
    <s v="TINV.14.D.042.SO"/>
    <s v="Projeto Implantação do e-Social"/>
    <s v="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
    <s v="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
    <s v="Revisão do escopo do projeto, com postergação do desembolso conforme cronograma de execução."/>
    <n v="0"/>
    <n v="0"/>
    <n v="23.278350830078125"/>
    <n v="49.684680938720703"/>
    <n v="60.752300262451172"/>
    <n v="131.96923828125"/>
    <n v="39.521049499511719"/>
    <n v="130.40693664550781"/>
    <n v="72"/>
    <n v="44"/>
    <n v="79.072019999999995"/>
    <n v="0"/>
    <n v="325.47895664550782"/>
    <n v="37"/>
    <n v="2"/>
    <n v="15"/>
    <n v="0"/>
    <n v="0"/>
    <n v="0"/>
    <n v="0"/>
    <n v="0"/>
    <n v="0"/>
    <n v="0"/>
    <n v="0"/>
    <n v="0"/>
    <n v="54"/>
    <n v="0"/>
    <n v="0"/>
    <n v="0"/>
    <n v="0"/>
    <n v="0"/>
    <n v="0"/>
    <n v="0"/>
    <n v="0"/>
    <n v="0"/>
    <n v="0"/>
    <n v="0"/>
    <n v="0"/>
    <n v="0"/>
    <n v="0"/>
    <n v="0"/>
    <n v="0"/>
    <n v="0"/>
    <n v="0"/>
    <n v="0"/>
    <n v="0"/>
    <n v="0"/>
    <n v="0"/>
    <n v="0"/>
    <n v="0"/>
    <n v="0"/>
    <n v="0"/>
    <n v="0"/>
    <n v="0"/>
    <n v="0"/>
    <n v="0"/>
    <n v="0"/>
    <n v="0"/>
    <n v="0"/>
    <n v="0"/>
    <n v="0"/>
    <n v="0"/>
    <n v="0"/>
    <n v="0"/>
    <n v="0"/>
    <n v="379.47895664550782"/>
  </r>
  <r>
    <x v="0"/>
    <x v="9"/>
    <s v="TI/SI"/>
    <s v="Álisson Costa"/>
    <s v="TI/SI"/>
    <s v="Álisson Costa"/>
    <s v="DGE"/>
    <s v="NA"/>
    <s v="-"/>
    <s v="Prospecção Tecnológica, Desenvolvimento, Sustentação e Documentação de Sistemas de Engenharia que atendem os processos da empresa Cemig D"/>
    <s v="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
    <s v="Impacto em diversas iniciativas, paralisando as adequações de processo, desenvolvimento de novos sistemas ou módulos, implementação de automações, entre outros, impedindo a evolução das ferramentas e operações de rotina das áreas da Cemig D."/>
    <s v="Postergação do desembolso para adequação da curva de investimento."/>
    <n v="0"/>
    <n v="0"/>
    <n v="0"/>
    <n v="0"/>
    <n v="0"/>
    <n v="0"/>
    <n v="0"/>
    <n v="0"/>
    <n v="0"/>
    <n v="0"/>
    <n v="0"/>
    <n v="0"/>
    <n v="0"/>
    <n v="0"/>
    <n v="0"/>
    <n v="0"/>
    <n v="0"/>
    <n v="0"/>
    <n v="0"/>
    <n v="0"/>
    <n v="0"/>
    <n v="0"/>
    <n v="0"/>
    <n v="0"/>
    <n v="0"/>
    <n v="0"/>
    <n v="0"/>
    <n v="0"/>
    <n v="0"/>
    <n v="30"/>
    <n v="20"/>
    <n v="20"/>
    <n v="20"/>
    <n v="20"/>
    <n v="20"/>
    <n v="20"/>
    <n v="20"/>
    <n v="30"/>
    <n v="200"/>
    <n v="20"/>
    <n v="20"/>
    <n v="20"/>
    <n v="20"/>
    <n v="20"/>
    <n v="20"/>
    <n v="20"/>
    <n v="20"/>
    <n v="20"/>
    <n v="20"/>
    <n v="20"/>
    <n v="180"/>
    <n v="400"/>
    <n v="20"/>
    <n v="20"/>
    <n v="20"/>
    <n v="20"/>
    <n v="20"/>
    <n v="20"/>
    <n v="20"/>
    <n v="20"/>
    <n v="20"/>
    <n v="20"/>
    <n v="70"/>
    <n v="180"/>
    <n v="450"/>
    <n v="1050"/>
  </r>
  <r>
    <x v="0"/>
    <x v="9"/>
    <s v="TI/SI"/>
    <s v="Álisson Costa"/>
    <s v="TI/SI"/>
    <s v="Álisson Costa"/>
    <s v="DGE"/>
    <s v=" NA"/>
    <s v="-"/>
    <s v="Reimplantação do HR (Back to Standard)"/>
    <m/>
    <m/>
    <s v="Postergação do desembolso para adequação da curva de investimento."/>
    <n v="0"/>
    <n v="0"/>
    <n v="0"/>
    <n v="0"/>
    <n v="0"/>
    <n v="0"/>
    <n v="0"/>
    <n v="0"/>
    <n v="0"/>
    <n v="0"/>
    <n v="0"/>
    <n v="0"/>
    <n v="0"/>
    <n v="0"/>
    <n v="0"/>
    <n v="0"/>
    <n v="0"/>
    <n v="0"/>
    <n v="0"/>
    <n v="0"/>
    <n v="0"/>
    <n v="0"/>
    <n v="0"/>
    <n v="0"/>
    <n v="0"/>
    <n v="0"/>
    <n v="0"/>
    <n v="0"/>
    <n v="150"/>
    <n v="0"/>
    <n v="0"/>
    <n v="0"/>
    <n v="0"/>
    <n v="0"/>
    <n v="0"/>
    <n v="0"/>
    <n v="0"/>
    <n v="0"/>
    <n v="150"/>
    <n v="0"/>
    <n v="0"/>
    <n v="150"/>
    <n v="0"/>
    <n v="0"/>
    <n v="0"/>
    <n v="0"/>
    <n v="0"/>
    <n v="0"/>
    <n v="0"/>
    <n v="0"/>
    <n v="0"/>
    <n v="150"/>
    <n v="0"/>
    <n v="0"/>
    <n v="0"/>
    <n v="0"/>
    <n v="0"/>
    <n v="0"/>
    <n v="0"/>
    <n v="0"/>
    <n v="0"/>
    <n v="0"/>
    <n v="0"/>
    <n v="0"/>
    <n v="0"/>
    <n v="300"/>
  </r>
  <r>
    <x v="0"/>
    <x v="9"/>
    <s v="TI/SI"/>
    <s v="Álisson Costa"/>
    <s v="TI/SI"/>
    <s v="Álisson Costa"/>
    <s v="DGE"/>
    <s v="NA"/>
    <s v="-"/>
    <s v="Revisão simplificada do SGO"/>
    <s v="Este projeto atende a demanda para a revisão do Sistema de Gestão de Obras – SGO, que requer melhorias evolutivas desde sua implantação."/>
    <s v="Dificuldade para a gestão das obras e empreendimentos da Distribuidora; em ausência de uma revisão na modelagem de dados do sistema atual; e em baixa performance da customização, com geração de relatórios de análise inadequados. "/>
    <s v="Postergação do desembolso para adequação da curva de investimento."/>
    <n v="0"/>
    <n v="0"/>
    <n v="0"/>
    <n v="0"/>
    <n v="0"/>
    <n v="0"/>
    <n v="0"/>
    <n v="0"/>
    <n v="0"/>
    <n v="0"/>
    <n v="0"/>
    <n v="0"/>
    <n v="0"/>
    <n v="0"/>
    <n v="0"/>
    <n v="0"/>
    <n v="0"/>
    <n v="0"/>
    <n v="0"/>
    <n v="0"/>
    <n v="0"/>
    <n v="0"/>
    <n v="0"/>
    <n v="0"/>
    <n v="0"/>
    <n v="0"/>
    <n v="0"/>
    <n v="0"/>
    <n v="0"/>
    <n v="0"/>
    <n v="0"/>
    <n v="0"/>
    <n v="0"/>
    <n v="50"/>
    <n v="0"/>
    <n v="0"/>
    <n v="50"/>
    <n v="150"/>
    <n v="250"/>
    <n v="0"/>
    <n v="0"/>
    <n v="0"/>
    <n v="0"/>
    <n v="0"/>
    <n v="0"/>
    <n v="0"/>
    <n v="50"/>
    <n v="0"/>
    <n v="0"/>
    <n v="50"/>
    <n v="150"/>
    <n v="250"/>
    <n v="0"/>
    <n v="0"/>
    <n v="0"/>
    <n v="0"/>
    <n v="0"/>
    <n v="0"/>
    <n v="0"/>
    <n v="0"/>
    <n v="0"/>
    <n v="0"/>
    <n v="0"/>
    <n v="0"/>
    <n v="0"/>
    <n v="500"/>
  </r>
  <r>
    <x v="0"/>
    <x v="9"/>
    <s v="TI/SI"/>
    <s v="Álisson Costa"/>
    <s v="AD/AD"/>
    <s v="Paulo Cesar Soares"/>
    <s v="DDC"/>
    <s v="NA"/>
    <s v="-"/>
    <s v="SADNET"/>
    <s v="Aquisição e implantação de Sistema de coleta, tratamento de registros oscilográficos e localização de faltas em subestações, linhas e redes de distribuição"/>
    <s v="Não redução do custos de Opex com serviço de campo para  análise e localização de faltas e ocorrências no SEP. Degradação dos indicadores de qualidade, dentre eles o DEC"/>
    <s v="Postergação do desembolso para adequação da curva de investimento."/>
    <n v="0"/>
    <n v="0"/>
    <n v="0"/>
    <n v="0"/>
    <n v="0"/>
    <n v="0"/>
    <n v="0"/>
    <n v="0"/>
    <n v="0"/>
    <n v="0"/>
    <n v="0"/>
    <n v="0"/>
    <n v="0"/>
    <n v="0"/>
    <n v="0"/>
    <n v="0"/>
    <n v="200"/>
    <n v="0"/>
    <n v="150"/>
    <n v="0"/>
    <n v="0"/>
    <n v="0"/>
    <n v="0"/>
    <n v="0"/>
    <n v="0"/>
    <n v="350"/>
    <n v="0"/>
    <n v="0"/>
    <n v="0"/>
    <n v="0"/>
    <n v="0"/>
    <n v="0"/>
    <n v="0"/>
    <n v="0"/>
    <n v="0"/>
    <n v="0"/>
    <n v="0"/>
    <n v="0"/>
    <n v="0"/>
    <n v="0"/>
    <n v="0"/>
    <n v="0"/>
    <n v="0"/>
    <n v="0"/>
    <n v="0"/>
    <n v="0"/>
    <n v="0"/>
    <n v="0"/>
    <n v="0"/>
    <n v="0"/>
    <n v="0"/>
    <n v="0"/>
    <n v="0"/>
    <n v="0"/>
    <n v="0"/>
    <n v="0"/>
    <n v="0"/>
    <n v="0"/>
    <n v="0"/>
    <n v="0"/>
    <n v="0"/>
    <n v="0"/>
    <n v="0"/>
    <n v="0"/>
    <n v="0"/>
    <n v="350"/>
  </r>
  <r>
    <x v="0"/>
    <x v="9"/>
    <s v="TI/SI"/>
    <s v="Álisson Costa"/>
    <s v="TI/SI"/>
    <s v="Álisson Costa"/>
    <s v="DGE"/>
    <s v="NA"/>
    <s v="-"/>
    <s v="Sistema de Controle de Jornada"/>
    <m/>
    <m/>
    <s v="Revisão do escopo do projeto, com postergação do desembolso conforme cronograma de execução."/>
    <n v="0"/>
    <n v="0"/>
    <n v="0"/>
    <n v="0"/>
    <n v="0"/>
    <n v="0"/>
    <n v="0"/>
    <n v="0"/>
    <n v="0"/>
    <n v="0"/>
    <n v="0"/>
    <n v="0"/>
    <n v="0"/>
    <n v="0"/>
    <n v="0"/>
    <n v="0"/>
    <n v="0"/>
    <n v="0"/>
    <n v="0"/>
    <n v="0"/>
    <n v="0"/>
    <n v="0"/>
    <n v="0"/>
    <n v="20"/>
    <n v="21"/>
    <n v="41"/>
    <n v="0"/>
    <n v="100"/>
    <n v="0"/>
    <n v="200"/>
    <n v="0"/>
    <n v="100"/>
    <n v="0"/>
    <n v="0"/>
    <n v="51"/>
    <n v="0"/>
    <n v="0"/>
    <n v="100"/>
    <n v="551"/>
    <n v="0"/>
    <n v="0"/>
    <n v="35"/>
    <n v="25"/>
    <n v="25"/>
    <n v="100"/>
    <n v="50"/>
    <n v="50"/>
    <n v="50"/>
    <n v="50"/>
    <n v="50"/>
    <n v="100"/>
    <n v="535"/>
    <n v="100"/>
    <n v="100"/>
    <n v="100"/>
    <n v="200"/>
    <n v="91"/>
    <n v="0"/>
    <n v="0"/>
    <n v="0"/>
    <n v="0"/>
    <n v="0"/>
    <n v="0"/>
    <n v="0"/>
    <n v="591"/>
    <n v="1718"/>
  </r>
  <r>
    <x v="0"/>
    <x v="9"/>
    <s v="TI/SI"/>
    <s v="Álisson Costa"/>
    <s v="GR/PC"/>
    <s v="Ronaldo Oliveira"/>
    <s v="DDC"/>
    <s v="NA"/>
    <s v="-"/>
    <s v="Sistema de Controle e Suporte"/>
    <s v="Desenvolvimento de software para atividades voltadas para Contratos de Suporte."/>
    <s v="Acompanhamento manual das atividades, aumentando o risco de remuneração indevida por produtividade."/>
    <s v="-"/>
    <n v="0"/>
    <n v="0"/>
    <n v="0"/>
    <n v="0"/>
    <n v="0"/>
    <n v="0"/>
    <n v="0"/>
    <n v="0"/>
    <n v="0"/>
    <n v="0"/>
    <n v="0"/>
    <n v="0"/>
    <n v="0"/>
    <n v="0"/>
    <n v="0"/>
    <n v="25"/>
    <n v="50"/>
    <n v="50"/>
    <n v="50"/>
    <n v="25"/>
    <n v="0"/>
    <n v="0"/>
    <n v="0"/>
    <n v="0"/>
    <n v="0"/>
    <n v="200"/>
    <n v="0"/>
    <n v="0"/>
    <n v="0"/>
    <n v="0"/>
    <n v="0"/>
    <n v="0"/>
    <n v="0"/>
    <n v="0"/>
    <n v="0"/>
    <n v="0"/>
    <n v="0"/>
    <n v="0"/>
    <n v="0"/>
    <n v="0"/>
    <n v="0"/>
    <n v="0"/>
    <n v="0"/>
    <n v="0"/>
    <n v="0"/>
    <n v="0"/>
    <n v="0"/>
    <n v="0"/>
    <n v="0"/>
    <n v="0"/>
    <n v="0"/>
    <n v="0"/>
    <n v="0"/>
    <n v="0"/>
    <n v="0"/>
    <n v="0"/>
    <n v="0"/>
    <n v="0"/>
    <n v="0"/>
    <n v="0"/>
    <n v="0"/>
    <n v="0"/>
    <n v="0"/>
    <n v="0"/>
    <n v="0"/>
    <n v="200"/>
  </r>
  <r>
    <x v="0"/>
    <x v="9"/>
    <s v="TI/SI"/>
    <s v="Roberto Proença"/>
    <s v="TI/SI"/>
    <s v="Roberto Proença"/>
    <s v="DGE"/>
    <s v="TI02516"/>
    <s v="TINV.16.D.042.GA"/>
    <s v="Sistema de Gestão de Árvores - GDIS AR"/>
    <s v="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
    <s v="Não efetuar gestão e priorização de podas e limpezas de faixa de maneira eficiente incorrendo em riscos de utilização de orçamento disponível de forma empírica e pouco eficaz."/>
    <s v="-"/>
    <n v="0"/>
    <n v="0"/>
    <n v="0"/>
    <n v="0"/>
    <n v="0"/>
    <n v="0"/>
    <n v="0"/>
    <n v="0"/>
    <n v="0"/>
    <n v="0"/>
    <n v="0"/>
    <n v="149"/>
    <n v="149"/>
    <n v="60"/>
    <n v="60"/>
    <n v="60"/>
    <n v="60"/>
    <n v="60"/>
    <n v="0"/>
    <n v="0"/>
    <n v="0"/>
    <n v="0"/>
    <n v="0"/>
    <n v="0"/>
    <n v="0"/>
    <n v="300"/>
    <n v="0"/>
    <n v="0"/>
    <n v="0"/>
    <n v="0"/>
    <n v="0"/>
    <n v="0"/>
    <n v="0"/>
    <n v="0"/>
    <n v="0"/>
    <n v="0"/>
    <n v="0"/>
    <n v="0"/>
    <n v="0"/>
    <n v="0"/>
    <n v="0"/>
    <n v="0"/>
    <n v="0"/>
    <n v="0"/>
    <n v="0"/>
    <n v="0"/>
    <n v="0"/>
    <n v="0"/>
    <n v="0"/>
    <n v="0"/>
    <n v="0"/>
    <n v="0"/>
    <n v="0"/>
    <n v="0"/>
    <n v="0"/>
    <n v="0"/>
    <n v="0"/>
    <n v="0"/>
    <n v="0"/>
    <n v="0"/>
    <n v="0"/>
    <n v="0"/>
    <n v="0"/>
    <n v="0"/>
    <n v="0"/>
    <n v="449"/>
  </r>
  <r>
    <x v="0"/>
    <x v="9"/>
    <s v="TI/SI"/>
    <s v="Álisson Costa"/>
    <s v="TI/SI"/>
    <s v="Álisson Costa"/>
    <s v="DGE"/>
    <s v="NA"/>
    <s v="-"/>
    <s v="Sistema de Gestão de Leituras - SGL"/>
    <s v="Construção do módulo SGL-WEB"/>
    <m/>
    <s v="Postergação do desembolso para adequação da curva de investimento."/>
    <n v="0"/>
    <n v="0"/>
    <n v="0"/>
    <n v="0"/>
    <n v="0"/>
    <n v="0"/>
    <n v="0"/>
    <n v="0"/>
    <n v="0"/>
    <n v="0"/>
    <n v="0"/>
    <n v="0"/>
    <n v="0"/>
    <n v="0"/>
    <n v="0"/>
    <n v="0"/>
    <n v="0"/>
    <n v="0"/>
    <n v="0"/>
    <n v="0"/>
    <n v="0"/>
    <n v="0"/>
    <n v="0"/>
    <n v="0"/>
    <n v="0"/>
    <n v="0"/>
    <n v="0"/>
    <n v="0"/>
    <n v="20"/>
    <n v="0"/>
    <n v="0"/>
    <n v="20"/>
    <n v="0"/>
    <n v="30"/>
    <n v="0"/>
    <n v="30"/>
    <n v="30"/>
    <n v="50"/>
    <n v="180"/>
    <n v="0"/>
    <n v="0"/>
    <n v="20"/>
    <n v="0"/>
    <n v="0"/>
    <n v="20"/>
    <n v="0"/>
    <n v="30"/>
    <n v="0"/>
    <n v="30"/>
    <n v="25"/>
    <n v="50"/>
    <n v="175"/>
    <n v="0"/>
    <n v="0"/>
    <n v="20"/>
    <n v="30"/>
    <n v="0"/>
    <n v="20"/>
    <n v="0"/>
    <n v="30"/>
    <n v="0"/>
    <n v="0"/>
    <n v="25"/>
    <n v="50"/>
    <n v="175"/>
    <n v="530"/>
  </r>
  <r>
    <x v="0"/>
    <x v="9"/>
    <s v="TI/SI"/>
    <s v="Álisson Costa"/>
    <s v="AD/AD"/>
    <s v="Paulo Cesar Soares"/>
    <s v="DDC"/>
    <s v="NA"/>
    <s v="-"/>
    <s v="Sistema de gestão e monitoramento  da integração de comunicação do sistema SCADA"/>
    <s v="Aquisição de sistema de gestão e monitoramento  da integração de comunicação do sistema SCADA"/>
    <s v=" Elevação da indisponibilidade do telecontrole das SEs com forte impacto na operação do sistema elétrico e  degradação dos indicadores de qualidade, dentre eles o DEC. "/>
    <s v="Postergação do desembolso para adequação da curva de investimento."/>
    <n v="0"/>
    <n v="0"/>
    <n v="0"/>
    <n v="0"/>
    <n v="0"/>
    <n v="0"/>
    <n v="0"/>
    <n v="0"/>
    <n v="0"/>
    <n v="0"/>
    <n v="0"/>
    <n v="0"/>
    <n v="0"/>
    <n v="0"/>
    <n v="0"/>
    <n v="0"/>
    <n v="0"/>
    <n v="0"/>
    <n v="300"/>
    <n v="0"/>
    <n v="0"/>
    <n v="0"/>
    <n v="0"/>
    <n v="0"/>
    <n v="200"/>
    <n v="500"/>
    <n v="0"/>
    <n v="0"/>
    <n v="0"/>
    <n v="0"/>
    <n v="0"/>
    <n v="0"/>
    <n v="0"/>
    <n v="0"/>
    <n v="0"/>
    <n v="0"/>
    <n v="0"/>
    <n v="0"/>
    <n v="0"/>
    <n v="0"/>
    <n v="0"/>
    <n v="0"/>
    <n v="0"/>
    <n v="0"/>
    <n v="0"/>
    <n v="0"/>
    <n v="0"/>
    <n v="0"/>
    <n v="0"/>
    <n v="0"/>
    <n v="0"/>
    <n v="0"/>
    <n v="0"/>
    <n v="0"/>
    <n v="0"/>
    <n v="0"/>
    <n v="0"/>
    <n v="0"/>
    <n v="0"/>
    <n v="0"/>
    <n v="0"/>
    <n v="0"/>
    <n v="0"/>
    <n v="0"/>
    <n v="0"/>
    <n v="500"/>
  </r>
  <r>
    <x v="0"/>
    <x v="9"/>
    <s v="TI/SI"/>
    <s v="Roberto Proença"/>
    <s v="TI/SI"/>
    <s v="Roberto Proença"/>
    <s v="DGE"/>
    <s v="TI02416"/>
    <s v="TINV.16.D.042.SI"/>
    <s v="Sistema de Inteligência de Negócios de Distribuição "/>
    <s v="Criação de  ferramentas analíticas para disponibilização de informações gerenciais e estrategicas as áreas de Negocio da Distribuição"/>
    <s v="Incapacidade de análise de dados estratégicos da distribuição reduzindo as informações para decisões importantes para os ganhos de negócio da empresa."/>
    <s v="Revisão do escopo do projeto, com postergação do desembolso conforme cronograma de execução."/>
    <n v="0"/>
    <n v="22.68235969543457"/>
    <n v="0"/>
    <n v="19.350000381469727"/>
    <n v="27.477239608764648"/>
    <n v="0"/>
    <n v="0"/>
    <n v="4.1387500762939453"/>
    <n v="0"/>
    <n v="0"/>
    <n v="0"/>
    <n v="45.861249999999998"/>
    <n v="50.000000076293944"/>
    <n v="0"/>
    <n v="0"/>
    <n v="100"/>
    <n v="0"/>
    <n v="0"/>
    <n v="100"/>
    <n v="0"/>
    <n v="0"/>
    <n v="0"/>
    <n v="130"/>
    <n v="0"/>
    <n v="350"/>
    <n v="680"/>
    <n v="50"/>
    <n v="50"/>
    <n v="0"/>
    <n v="0"/>
    <n v="0"/>
    <n v="0"/>
    <n v="0"/>
    <n v="0"/>
    <n v="0"/>
    <n v="0"/>
    <n v="0"/>
    <n v="0"/>
    <n v="100"/>
    <n v="0"/>
    <n v="0"/>
    <n v="0"/>
    <n v="0"/>
    <n v="0"/>
    <n v="0"/>
    <n v="0"/>
    <n v="0"/>
    <n v="0"/>
    <n v="0"/>
    <n v="0"/>
    <n v="0"/>
    <n v="0"/>
    <n v="0"/>
    <n v="0"/>
    <n v="0"/>
    <n v="0"/>
    <n v="0"/>
    <n v="0"/>
    <n v="0"/>
    <n v="0"/>
    <n v="0"/>
    <n v="0"/>
    <n v="0"/>
    <n v="0"/>
    <n v="0"/>
    <n v="830.00000007629399"/>
  </r>
  <r>
    <x v="0"/>
    <x v="9"/>
    <s v="TI/SI"/>
    <s v="Álisson Costa"/>
    <s v="AD/AD"/>
    <s v="Paulo Cesar Soares"/>
    <s v="DDC"/>
    <s v="NA"/>
    <s v="-"/>
    <s v="Sistema de selfhealing descentralizado"/>
    <s v="Aquisição e implantação de sistema de selfhealing descentralizado para 800 equipamentos telecontrolados da rede de Média Tensão "/>
    <s v="Não redução do custos de Opex com serviço de campo nas ocorrências no SEP. Não será capturado melhoria dos indicadores de qualidade, dentre eles o DEC"/>
    <s v="-"/>
    <n v="0"/>
    <n v="0"/>
    <n v="0"/>
    <n v="0"/>
    <n v="0"/>
    <n v="0"/>
    <n v="0"/>
    <n v="0"/>
    <n v="0"/>
    <n v="0"/>
    <n v="0"/>
    <n v="0"/>
    <n v="0"/>
    <n v="50"/>
    <n v="50"/>
    <n v="100"/>
    <n v="100"/>
    <n v="150"/>
    <n v="300"/>
    <n v="300"/>
    <n v="300"/>
    <n v="300"/>
    <n v="350"/>
    <n v="350"/>
    <n v="150"/>
    <n v="2500"/>
    <n v="100"/>
    <n v="100"/>
    <n v="200"/>
    <n v="100"/>
    <n v="200"/>
    <n v="200"/>
    <n v="100"/>
    <n v="200"/>
    <n v="200"/>
    <n v="200"/>
    <n v="200"/>
    <n v="200"/>
    <n v="2000"/>
    <n v="0"/>
    <n v="0"/>
    <n v="0"/>
    <n v="0"/>
    <n v="0"/>
    <n v="0"/>
    <n v="0"/>
    <n v="0"/>
    <n v="0"/>
    <n v="0"/>
    <n v="0"/>
    <n v="0"/>
    <n v="0"/>
    <n v="0"/>
    <n v="0"/>
    <n v="0"/>
    <n v="0"/>
    <n v="0"/>
    <n v="0"/>
    <n v="0"/>
    <n v="0"/>
    <n v="0"/>
    <n v="0"/>
    <n v="0"/>
    <n v="0"/>
    <n v="0"/>
    <n v="4500"/>
  </r>
  <r>
    <x v="0"/>
    <x v="9"/>
    <s v="TI/SI"/>
    <s v="Álisson Costa"/>
    <s v="AD/AD"/>
    <s v="Amantino Alves da Costa"/>
    <s v="DDC"/>
    <s v="TI07518"/>
    <s v="TINV.18.D.042.NI"/>
    <s v="Sistema Nix"/>
    <s v="Aquisição e implantação de sistema Solução Inteligente para Estudos de Proteção de Sistemas de Distribuição de Energia Elétrica"/>
    <s v="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
    <s v="-"/>
    <n v="0"/>
    <n v="0"/>
    <n v="0"/>
    <n v="0"/>
    <n v="0"/>
    <n v="0"/>
    <n v="0"/>
    <n v="0"/>
    <n v="0"/>
    <n v="0"/>
    <n v="485"/>
    <n v="0"/>
    <n v="485"/>
    <n v="0"/>
    <n v="0"/>
    <n v="0"/>
    <n v="0"/>
    <n v="0"/>
    <n v="0"/>
    <n v="0"/>
    <n v="0"/>
    <n v="0"/>
    <n v="0"/>
    <n v="0"/>
    <n v="0"/>
    <n v="0"/>
    <n v="0"/>
    <n v="0"/>
    <n v="0"/>
    <n v="0"/>
    <n v="0"/>
    <n v="0"/>
    <n v="0"/>
    <n v="0"/>
    <n v="0"/>
    <n v="0"/>
    <n v="0"/>
    <n v="0"/>
    <n v="0"/>
    <n v="0"/>
    <n v="0"/>
    <n v="0"/>
    <n v="0"/>
    <n v="0"/>
    <n v="0"/>
    <n v="0"/>
    <n v="0"/>
    <n v="0"/>
    <n v="0"/>
    <n v="0"/>
    <n v="0"/>
    <n v="0"/>
    <n v="0"/>
    <n v="0"/>
    <n v="0"/>
    <n v="0"/>
    <n v="0"/>
    <n v="0"/>
    <n v="0"/>
    <n v="0"/>
    <n v="0"/>
    <n v="0"/>
    <n v="0"/>
    <n v="0"/>
    <n v="0"/>
    <n v="485"/>
  </r>
  <r>
    <x v="0"/>
    <x v="9"/>
    <s v="TI/SI"/>
    <s v="Álisson Costa"/>
    <s v="TI/SI"/>
    <s v="Álisson Costa"/>
    <s v="DGE"/>
    <s v="TI03417"/>
    <s v="TINV.17.D.042.SS"/>
    <s v="Sistema SAM"/>
    <s v="Construção e desenvolvimento do sistema SAM no ambiente SAP ECC."/>
    <s v="Atrasos nos procedimentos e processos das equipes nas áreas de negócio (engenharia); Multas pelo não atendimento dos compromissos obrigatórios dentro do prazo esperado pelos agentes governamentais."/>
    <s v="-"/>
    <n v="0"/>
    <n v="0"/>
    <n v="813.67767333984375"/>
    <n v="0"/>
    <n v="0"/>
    <n v="0"/>
    <n v="0"/>
    <n v="86.322227478027344"/>
    <n v="0"/>
    <n v="0"/>
    <n v="0"/>
    <n v="0"/>
    <n v="86.322227478027344"/>
    <n v="0"/>
    <n v="0"/>
    <n v="0"/>
    <n v="0"/>
    <n v="0"/>
    <n v="0"/>
    <n v="0"/>
    <n v="0"/>
    <n v="0"/>
    <n v="0"/>
    <n v="0"/>
    <n v="0"/>
    <n v="0"/>
    <n v="0"/>
    <n v="0"/>
    <n v="0"/>
    <n v="0"/>
    <n v="0"/>
    <n v="0"/>
    <n v="0"/>
    <n v="0"/>
    <n v="0"/>
    <n v="0"/>
    <n v="0"/>
    <n v="0"/>
    <n v="0"/>
    <n v="0"/>
    <n v="0"/>
    <n v="0"/>
    <n v="0"/>
    <n v="0"/>
    <n v="0"/>
    <n v="0"/>
    <n v="0"/>
    <n v="0"/>
    <n v="0"/>
    <n v="0"/>
    <n v="0"/>
    <n v="0"/>
    <n v="0"/>
    <n v="0"/>
    <n v="0"/>
    <n v="0"/>
    <n v="0"/>
    <n v="0"/>
    <n v="0"/>
    <n v="0"/>
    <n v="0"/>
    <n v="0"/>
    <n v="0"/>
    <n v="0"/>
    <n v="0"/>
    <n v="86.322227478027344"/>
  </r>
  <r>
    <x v="0"/>
    <x v="9"/>
    <s v="TI/SI"/>
    <s v="Álisson Costa"/>
    <s v="TI/SI"/>
    <s v="Álisson Costa"/>
    <s v="DGE"/>
    <s v="NA"/>
    <s v="-"/>
    <s v="Sistemas Especialistas - GEO e GED"/>
    <s v="O projeto refere-se à prospecção, ao desenvolvimento e à implantação de soluções baseadas nas tecnologias GED, Geoprocessamento e BPM."/>
    <s v="Incapacidade de atendimento de solicitações das áreas de negócio da Cemig, relativas aos sistemas."/>
    <s v="Revisão do escopo do projeto, com postergação do desembolso conforme cronograma de execução."/>
    <n v="0"/>
    <n v="0"/>
    <n v="0"/>
    <n v="0"/>
    <n v="0"/>
    <n v="0"/>
    <n v="0"/>
    <n v="0"/>
    <n v="0"/>
    <n v="0"/>
    <n v="0"/>
    <n v="0"/>
    <n v="0"/>
    <n v="0"/>
    <n v="0"/>
    <n v="0"/>
    <n v="0"/>
    <n v="0"/>
    <n v="0"/>
    <n v="0"/>
    <n v="0"/>
    <n v="0"/>
    <n v="0"/>
    <n v="0"/>
    <n v="0"/>
    <n v="0"/>
    <n v="0"/>
    <n v="40"/>
    <n v="0"/>
    <n v="40"/>
    <n v="20"/>
    <n v="40"/>
    <n v="0"/>
    <n v="20"/>
    <n v="20"/>
    <n v="40"/>
    <n v="40"/>
    <n v="40"/>
    <n v="300"/>
    <n v="0"/>
    <n v="0"/>
    <n v="0"/>
    <n v="35"/>
    <n v="35"/>
    <n v="70"/>
    <n v="30"/>
    <n v="30"/>
    <n v="40"/>
    <n v="60"/>
    <n v="60"/>
    <n v="80"/>
    <n v="440"/>
    <n v="35"/>
    <n v="35"/>
    <n v="35"/>
    <n v="35"/>
    <n v="20"/>
    <n v="30"/>
    <n v="30"/>
    <n v="30"/>
    <n v="40"/>
    <n v="50"/>
    <n v="50"/>
    <n v="50"/>
    <n v="440"/>
    <n v="1180"/>
  </r>
  <r>
    <x v="0"/>
    <x v="9"/>
    <s v="TI/SI"/>
    <s v="Álisson Costa"/>
    <s v="TI/SI"/>
    <s v="Álisson Costa"/>
    <s v="DGE"/>
    <s v="NA"/>
    <s v="-"/>
    <s v="Sistemas WEB e SharePoint"/>
    <s v="O projeto atende à necessidade de evolução e desenvolvimento de softwares disponibilizados no ambiente da Intranet da Cemig."/>
    <s v="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
    <s v="Postergação do desembolso para adequação da curva de investimento."/>
    <n v="0"/>
    <n v="0"/>
    <n v="0"/>
    <n v="0"/>
    <n v="0"/>
    <n v="0"/>
    <n v="0"/>
    <n v="0"/>
    <n v="0"/>
    <n v="0"/>
    <n v="50"/>
    <n v="114"/>
    <n v="164"/>
    <n v="0"/>
    <n v="0"/>
    <n v="0"/>
    <n v="0"/>
    <n v="50"/>
    <n v="50"/>
    <n v="30"/>
    <n v="30"/>
    <n v="50"/>
    <n v="76"/>
    <n v="50"/>
    <n v="84"/>
    <n v="420"/>
    <n v="50"/>
    <n v="50"/>
    <n v="50"/>
    <n v="50"/>
    <n v="100"/>
    <n v="100"/>
    <n v="88"/>
    <n v="100"/>
    <n v="100"/>
    <n v="0"/>
    <n v="0"/>
    <n v="0"/>
    <n v="688"/>
    <n v="50"/>
    <n v="50"/>
    <n v="50"/>
    <n v="50"/>
    <n v="100"/>
    <n v="100"/>
    <n v="50"/>
    <n v="100"/>
    <n v="100"/>
    <n v="100"/>
    <n v="100"/>
    <n v="100"/>
    <n v="950"/>
    <n v="0"/>
    <n v="50"/>
    <n v="0"/>
    <n v="100"/>
    <n v="100"/>
    <n v="100"/>
    <n v="50"/>
    <n v="100"/>
    <n v="100"/>
    <n v="100"/>
    <n v="100"/>
    <n v="100"/>
    <n v="900"/>
    <n v="3122"/>
  </r>
  <r>
    <x v="0"/>
    <x v="9"/>
    <s v="TI/SI"/>
    <s v="Álisson Costa"/>
    <s v="TI, PS e MS"/>
    <s v="Leandro Corrêa de Castro - PS/ES"/>
    <s v="DGE"/>
    <s v="NA"/>
    <s v="-"/>
    <s v="Software: Banco de Preço e Inteligência em Compras"/>
    <s v="Imprementar a Assinatura Digital para o processo de Suprimentos"/>
    <s v="Continuar com os processos de contratação morosos, com assinatura física de documentos, impressão e altos custos com os Correios."/>
    <s v="Revisão do escopo do projeto, com postergação do desembolso conforme cronograma de execução."/>
    <n v="0"/>
    <n v="0"/>
    <n v="0"/>
    <n v="0"/>
    <n v="0"/>
    <n v="0"/>
    <n v="0"/>
    <n v="0"/>
    <n v="0"/>
    <n v="0"/>
    <n v="40"/>
    <n v="40"/>
    <n v="80"/>
    <n v="0"/>
    <n v="0"/>
    <n v="30"/>
    <n v="0"/>
    <n v="15"/>
    <n v="30"/>
    <n v="0"/>
    <n v="15"/>
    <n v="30"/>
    <n v="0"/>
    <n v="0"/>
    <n v="30"/>
    <n v="150"/>
    <n v="0"/>
    <n v="25"/>
    <n v="0"/>
    <n v="25"/>
    <n v="0"/>
    <n v="50"/>
    <n v="0"/>
    <n v="0"/>
    <n v="25"/>
    <n v="0"/>
    <n v="0"/>
    <n v="25"/>
    <n v="150"/>
    <n v="0"/>
    <n v="0"/>
    <n v="0"/>
    <n v="0"/>
    <n v="0"/>
    <n v="0"/>
    <n v="0"/>
    <n v="0"/>
    <n v="0"/>
    <n v="0"/>
    <n v="0"/>
    <n v="0"/>
    <n v="0"/>
    <n v="0"/>
    <n v="0"/>
    <n v="0"/>
    <n v="0"/>
    <n v="0"/>
    <n v="0"/>
    <n v="0"/>
    <n v="0"/>
    <n v="0"/>
    <n v="0"/>
    <n v="0"/>
    <n v="0"/>
    <n v="0"/>
    <n v="380"/>
  </r>
  <r>
    <x v="0"/>
    <x v="9"/>
    <s v="TI/SI"/>
    <s v="Álisson Costa"/>
    <s v="TI, PS e MS"/>
    <s v="Leandro Corrêa de Castro - PS/ES"/>
    <s v="DGE"/>
    <s v="TI08318"/>
    <s v="TINV.18.D.042.CH"/>
    <s v="Software: Chatbot de atendimento do cadastro de fornecedores"/>
    <m/>
    <m/>
    <s v="Demanda incorporada à carteira, considerando remanejamento entre projetos."/>
    <n v="0"/>
    <n v="0"/>
    <n v="0"/>
    <n v="0"/>
    <n v="0"/>
    <n v="0"/>
    <n v="0"/>
    <n v="0"/>
    <n v="0"/>
    <n v="15"/>
    <n v="15"/>
    <n v="20"/>
    <n v="50"/>
    <n v="0"/>
    <n v="0"/>
    <n v="10"/>
    <n v="0"/>
    <n v="5"/>
    <n v="0"/>
    <n v="5"/>
    <n v="0"/>
    <n v="0"/>
    <n v="0"/>
    <n v="0"/>
    <n v="0"/>
    <n v="20"/>
    <n v="10"/>
    <n v="0"/>
    <n v="5"/>
    <n v="0"/>
    <n v="5"/>
    <n v="0"/>
    <n v="0"/>
    <n v="0"/>
    <n v="0"/>
    <n v="0"/>
    <n v="0"/>
    <n v="0"/>
    <n v="20"/>
    <n v="0"/>
    <n v="0"/>
    <n v="0"/>
    <n v="0"/>
    <n v="0"/>
    <n v="0"/>
    <n v="0"/>
    <n v="0"/>
    <n v="0"/>
    <n v="0"/>
    <n v="0"/>
    <n v="0"/>
    <n v="0"/>
    <m/>
    <m/>
    <m/>
    <m/>
    <m/>
    <m/>
    <m/>
    <m/>
    <m/>
    <m/>
    <m/>
    <m/>
    <n v="0"/>
    <n v="90"/>
  </r>
  <r>
    <x v="0"/>
    <x v="9"/>
    <s v="TI/SI"/>
    <s v="Álisson Costa"/>
    <s v="TI, PS e MS"/>
    <s v="Leandro Corrêa de Castro - PS/ES"/>
    <s v="DGE"/>
    <s v="NA"/>
    <m/>
    <s v="Software: Gestão de Suprimentos - ARIBA"/>
    <m/>
    <m/>
    <m/>
    <n v="0"/>
    <n v="0"/>
    <n v="0"/>
    <n v="0"/>
    <n v="0"/>
    <n v="0"/>
    <n v="0"/>
    <n v="0"/>
    <n v="0"/>
    <n v="0"/>
    <n v="0"/>
    <n v="100"/>
    <n v="100"/>
    <n v="0"/>
    <n v="0"/>
    <n v="50"/>
    <n v="0"/>
    <n v="0"/>
    <n v="75"/>
    <n v="0"/>
    <n v="0"/>
    <n v="75"/>
    <n v="0"/>
    <n v="0"/>
    <n v="0"/>
    <n v="200"/>
    <n v="0"/>
    <n v="50"/>
    <n v="0"/>
    <n v="50"/>
    <n v="0"/>
    <n v="50"/>
    <n v="0"/>
    <n v="50"/>
    <n v="0"/>
    <n v="0"/>
    <n v="0"/>
    <n v="0"/>
    <n v="200"/>
    <n v="0"/>
    <n v="0"/>
    <n v="0"/>
    <n v="0"/>
    <n v="0"/>
    <n v="0"/>
    <n v="0"/>
    <n v="0"/>
    <n v="0"/>
    <n v="0"/>
    <n v="0"/>
    <n v="0"/>
    <n v="0"/>
    <n v="0"/>
    <n v="0"/>
    <n v="0"/>
    <n v="0"/>
    <n v="0"/>
    <n v="0"/>
    <n v="0"/>
    <n v="0"/>
    <n v="0"/>
    <n v="0"/>
    <n v="0"/>
    <n v="0"/>
    <n v="0"/>
    <n v="500"/>
  </r>
  <r>
    <x v="0"/>
    <x v="9"/>
    <s v="TI/SI"/>
    <s v="Roberto Proença"/>
    <s v="TI/SI"/>
    <s v="Roberto Proença"/>
    <s v="DGE"/>
    <s v="TI01715"/>
    <s v="TINV.15.D.042.GS"/>
    <s v="Sustentação e Evolução 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s v="Revisão do cronograma de desembolso, considerando demandas do GDIS 2.0."/>
    <n v="0"/>
    <n v="812"/>
    <n v="893.10622763633728"/>
    <n v="1155.0905532836914"/>
    <n v="629.17781639099121"/>
    <n v="649.06454944610596"/>
    <n v="677.58664894104004"/>
    <n v="276.67914390563965"/>
    <n v="750"/>
    <n v="750"/>
    <n v="750"/>
    <n v="1007.66967"/>
    <n v="3534.3488139056399"/>
    <n v="450"/>
    <n v="450"/>
    <n v="500"/>
    <n v="450"/>
    <n v="450"/>
    <n v="500"/>
    <n v="450"/>
    <n v="500"/>
    <n v="450"/>
    <n v="500"/>
    <n v="500"/>
    <n v="781"/>
    <n v="5981"/>
    <n v="450"/>
    <n v="450"/>
    <n v="500"/>
    <n v="450"/>
    <n v="450"/>
    <n v="500"/>
    <n v="450"/>
    <n v="500"/>
    <n v="450"/>
    <n v="500"/>
    <n v="500"/>
    <n v="781"/>
    <n v="5981"/>
    <n v="547.5"/>
    <n v="547.5"/>
    <n v="547.5"/>
    <n v="547.5"/>
    <n v="547.5"/>
    <n v="547.5"/>
    <n v="547.5"/>
    <n v="547.5"/>
    <n v="547.5"/>
    <n v="547.5"/>
    <n v="547.5"/>
    <n v="547"/>
    <n v="6569.5"/>
    <n v="547.5"/>
    <n v="547.5"/>
    <n v="547.5"/>
    <n v="547.5"/>
    <n v="547.5"/>
    <n v="547.5"/>
    <n v="547.5"/>
    <n v="547.5"/>
    <n v="547.5"/>
    <n v="547.5"/>
    <n v="547.5"/>
    <n v="547"/>
    <n v="6569.5"/>
    <n v="28635.348813905639"/>
  </r>
  <r>
    <x v="0"/>
    <x v="9"/>
    <s v="TI/SI"/>
    <s v="Álisson Costa"/>
    <s v="TI/SI"/>
    <s v="Álisson Costa"/>
    <s v="DGE"/>
    <s v="TI02515"/>
    <s v="TINV.15.D.042.PE"/>
    <s v="Sustentação e Evolução PEC"/>
    <s v="A finalidade do projeto diz respeito ao desenvolvimento de novas funcionalidades no Portal Eletrônico de Compras – PEC, além de promover a incorporação dos módulos legados GALO e PGP ao novo portal. "/>
    <s v="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
    <s v="Postergação do desembolso para adequação da curva de investimento."/>
    <n v="0"/>
    <n v="0"/>
    <n v="0"/>
    <n v="0"/>
    <n v="41.252120971679688"/>
    <n v="0"/>
    <n v="2.8885800838470459"/>
    <n v="0"/>
    <n v="27.111419999999999"/>
    <n v="40"/>
    <n v="40"/>
    <n v="41"/>
    <n v="148.11142000000001"/>
    <n v="15"/>
    <n v="15"/>
    <n v="25"/>
    <n v="25"/>
    <n v="20"/>
    <n v="30"/>
    <n v="25"/>
    <n v="75"/>
    <n v="75"/>
    <n v="85"/>
    <n v="85"/>
    <n v="118"/>
    <n v="593"/>
    <n v="15"/>
    <n v="15"/>
    <n v="15"/>
    <n v="28"/>
    <n v="20"/>
    <n v="30"/>
    <n v="25"/>
    <n v="25"/>
    <n v="125"/>
    <n v="125"/>
    <n v="91"/>
    <n v="120"/>
    <n v="634"/>
    <n v="15"/>
    <n v="15"/>
    <n v="15"/>
    <n v="15"/>
    <n v="20"/>
    <n v="30"/>
    <n v="25"/>
    <n v="25"/>
    <n v="25"/>
    <n v="25"/>
    <n v="20"/>
    <n v="20"/>
    <n v="250"/>
    <n v="0"/>
    <n v="0"/>
    <n v="30"/>
    <n v="0"/>
    <n v="20"/>
    <n v="30"/>
    <n v="0"/>
    <n v="50"/>
    <n v="0"/>
    <n v="25"/>
    <n v="25"/>
    <n v="20"/>
    <n v="200"/>
    <n v="1825.11142"/>
  </r>
  <r>
    <x v="0"/>
    <x v="9"/>
    <s v="TI/SI"/>
    <s v="Álisson Costa"/>
    <s v="TI/SI"/>
    <s v="Álisson Costa"/>
    <s v="DGE"/>
    <s v="NA"/>
    <s v="-"/>
    <s v="Upgrade do ION ENTERPRISE"/>
    <s v="Atualização de versão do sistema de gestão de medição de fronteira."/>
    <m/>
    <s v="Antecipação do desembolso, conforme necessidade do sistema pela área usuária."/>
    <n v="0"/>
    <n v="0"/>
    <n v="0"/>
    <n v="0"/>
    <n v="0"/>
    <n v="0"/>
    <n v="0"/>
    <n v="0"/>
    <n v="0"/>
    <n v="0"/>
    <n v="0"/>
    <n v="0"/>
    <n v="0"/>
    <n v="516"/>
    <n v="0"/>
    <n v="0"/>
    <n v="0"/>
    <n v="0"/>
    <n v="0"/>
    <n v="0"/>
    <n v="0"/>
    <n v="0"/>
    <n v="0"/>
    <n v="0"/>
    <n v="0"/>
    <n v="516"/>
    <n v="0"/>
    <n v="0"/>
    <n v="0"/>
    <n v="0"/>
    <n v="0"/>
    <n v="0"/>
    <n v="0"/>
    <n v="0"/>
    <n v="0"/>
    <n v="0"/>
    <n v="0"/>
    <n v="0"/>
    <n v="0"/>
    <n v="0"/>
    <n v="0"/>
    <n v="0"/>
    <n v="0"/>
    <n v="0"/>
    <n v="0"/>
    <n v="0"/>
    <n v="0"/>
    <n v="0"/>
    <n v="0"/>
    <n v="0"/>
    <n v="0"/>
    <n v="0"/>
    <n v="0"/>
    <n v="0"/>
    <n v="0"/>
    <n v="0"/>
    <n v="0"/>
    <n v="0"/>
    <n v="0"/>
    <n v="0"/>
    <n v="0"/>
    <n v="0"/>
    <n v="0"/>
    <n v="0"/>
    <n v="0"/>
    <n v="516"/>
  </r>
  <r>
    <x v="0"/>
    <x v="9"/>
    <s v="TI/SI"/>
    <s v="Álisson Costa"/>
    <s v="TI/SI"/>
    <s v="Álisson Costa"/>
    <s v="DGE"/>
    <s v="NA"/>
    <s v="-"/>
    <s v="Upgrade do SAP GRC Access Control"/>
    <s v="Atualização da versão do software de gerenciamento de acessos da SAP - Access Control"/>
    <s v="Falha de controles SOX"/>
    <s v="-"/>
    <n v="0"/>
    <n v="0"/>
    <n v="0"/>
    <n v="0"/>
    <n v="0"/>
    <n v="0"/>
    <n v="0"/>
    <n v="0"/>
    <n v="0"/>
    <n v="0"/>
    <n v="0"/>
    <n v="0"/>
    <n v="0"/>
    <n v="0"/>
    <n v="0"/>
    <n v="0"/>
    <n v="0"/>
    <n v="0"/>
    <n v="0"/>
    <n v="0"/>
    <n v="0"/>
    <n v="0"/>
    <n v="0"/>
    <n v="0"/>
    <n v="150"/>
    <n v="150"/>
    <n v="0"/>
    <n v="75"/>
    <n v="75"/>
    <n v="0"/>
    <n v="0"/>
    <n v="0"/>
    <n v="0"/>
    <n v="0"/>
    <n v="0"/>
    <n v="0"/>
    <n v="0"/>
    <n v="0"/>
    <n v="150"/>
    <n v="0"/>
    <n v="0"/>
    <n v="0"/>
    <n v="0"/>
    <n v="0"/>
    <n v="0"/>
    <n v="0"/>
    <n v="0"/>
    <n v="0"/>
    <n v="0"/>
    <n v="0"/>
    <n v="0"/>
    <n v="0"/>
    <n v="0"/>
    <n v="0"/>
    <n v="0"/>
    <n v="0"/>
    <n v="0"/>
    <n v="0"/>
    <n v="0"/>
    <n v="0"/>
    <n v="0"/>
    <n v="0"/>
    <n v="0"/>
    <n v="0"/>
    <n v="0"/>
    <n v="300"/>
  </r>
  <r>
    <x v="0"/>
    <x v="9"/>
    <s v="TI/SI"/>
    <s v="Álisson Costa"/>
    <s v="SC"/>
    <s v="Ormindo Filho"/>
    <s v="DGE"/>
    <s v="NA"/>
    <s v="-"/>
    <s v="Upgrade do Sistema FROTA"/>
    <s v="Atualização tecnológica do sistema de gestão de Frota da Cemig, que está em uso desde 2004, muito obsoleto e defasado em relação ao processo de negócio. "/>
    <s v="Paralisação das funcionalidades do sistema, em função do longo tempo de sua existência."/>
    <s v="Revisão do escopo do projeto, conforme requisitos de desenvolvimento do Sistema FROTA."/>
    <n v="0"/>
    <n v="0"/>
    <n v="0"/>
    <n v="0"/>
    <n v="0"/>
    <n v="0"/>
    <n v="0"/>
    <n v="0"/>
    <n v="0"/>
    <n v="0"/>
    <n v="0"/>
    <n v="0"/>
    <n v="0"/>
    <n v="0"/>
    <n v="0"/>
    <n v="0"/>
    <n v="0"/>
    <n v="0"/>
    <n v="0"/>
    <n v="0"/>
    <n v="0"/>
    <n v="100"/>
    <n v="0"/>
    <n v="0"/>
    <n v="150"/>
    <n v="250"/>
    <n v="0"/>
    <n v="0"/>
    <n v="0"/>
    <n v="100"/>
    <n v="0"/>
    <n v="50"/>
    <n v="0"/>
    <n v="100"/>
    <n v="0"/>
    <n v="0"/>
    <n v="0"/>
    <n v="100"/>
    <n v="350"/>
    <n v="0"/>
    <n v="0"/>
    <n v="0"/>
    <n v="50"/>
    <n v="0"/>
    <n v="50"/>
    <n v="0"/>
    <n v="50"/>
    <n v="50"/>
    <n v="40"/>
    <n v="0"/>
    <n v="0"/>
    <n v="240"/>
    <n v="0"/>
    <n v="0"/>
    <n v="0"/>
    <n v="0"/>
    <n v="0"/>
    <n v="0"/>
    <n v="0"/>
    <n v="0"/>
    <n v="0"/>
    <n v="0"/>
    <n v="0"/>
    <n v="0"/>
    <n v="0"/>
    <n v="840"/>
  </r>
  <r>
    <x v="0"/>
    <x v="9"/>
    <s v="TI/SI"/>
    <s v="Álisson Costa"/>
    <s v="TI/SI"/>
    <s v="Álisson Costa"/>
    <s v="DGE"/>
    <s v="NA"/>
    <s v="-"/>
    <s v="Upgrade SAP GRC Risk Management"/>
    <s v="Atualização da versão do software de gerenciamento de riscos da SAP - Risk Management"/>
    <s v="Falha de controles SOX"/>
    <s v="Postergação do desembolso para adequação da curva de investimento."/>
    <n v="0"/>
    <n v="0"/>
    <n v="0"/>
    <n v="0"/>
    <n v="0"/>
    <n v="0"/>
    <n v="0"/>
    <n v="0"/>
    <n v="0"/>
    <n v="0"/>
    <n v="0"/>
    <n v="0"/>
    <n v="0"/>
    <n v="0"/>
    <n v="0"/>
    <n v="0"/>
    <n v="0"/>
    <n v="0"/>
    <n v="0"/>
    <n v="0"/>
    <n v="0"/>
    <n v="0"/>
    <n v="0"/>
    <n v="0"/>
    <n v="0"/>
    <n v="0"/>
    <n v="0"/>
    <n v="0"/>
    <n v="0"/>
    <n v="0"/>
    <n v="0"/>
    <n v="0"/>
    <n v="300"/>
    <n v="0"/>
    <n v="0"/>
    <n v="0"/>
    <n v="0"/>
    <n v="0"/>
    <n v="300"/>
    <n v="0"/>
    <n v="0"/>
    <n v="0"/>
    <n v="0"/>
    <n v="0"/>
    <n v="0"/>
    <n v="0"/>
    <n v="0"/>
    <n v="0"/>
    <n v="0"/>
    <n v="0"/>
    <n v="0"/>
    <n v="0"/>
    <n v="0"/>
    <n v="0"/>
    <n v="0"/>
    <n v="0"/>
    <n v="0"/>
    <n v="0"/>
    <n v="0"/>
    <n v="0"/>
    <n v="0"/>
    <n v="0"/>
    <n v="0"/>
    <n v="0"/>
    <n v="0"/>
    <n v="300"/>
  </r>
  <r>
    <x v="3"/>
    <x v="17"/>
    <s v="TI/SI"/>
    <s v="Álisson Costa"/>
    <s v="TI/SI"/>
    <s v="Álisson Costa"/>
    <s v="DGE"/>
    <s v="TI01114"/>
    <s v="TINV.14.H.042.SJ"/>
    <s v="SISJUR - Novo Sistema Jurídico"/>
    <s v="Construção do novo sistema jurídico, em curso desde 2013."/>
    <s v="Obsolescência do sistema antigo; falta de interface com os sistemas legados;"/>
    <s v="Revisão do escopo do projeto, conforme demanda da área usuária."/>
    <n v="-660.04498291015625"/>
    <n v="0"/>
    <n v="667.6500244140625"/>
    <n v="0"/>
    <n v="0"/>
    <n v="0"/>
    <n v="-4.1484832763671875E-5"/>
    <n v="0"/>
    <n v="212.39499998092671"/>
    <n v="0"/>
    <n v="0"/>
    <m/>
    <n v="212.39499998092671"/>
    <n v="0"/>
    <n v="0"/>
    <n v="0"/>
    <n v="0"/>
    <n v="0"/>
    <n v="0"/>
    <n v="0"/>
    <n v="0"/>
    <n v="0"/>
    <n v="0"/>
    <n v="0"/>
    <n v="0"/>
    <n v="0"/>
    <n v="0"/>
    <n v="0"/>
    <n v="0"/>
    <n v="0"/>
    <n v="0"/>
    <n v="0"/>
    <n v="0"/>
    <n v="0"/>
    <n v="0"/>
    <n v="0"/>
    <n v="0"/>
    <n v="0"/>
    <n v="0"/>
    <n v="0"/>
    <n v="0"/>
    <n v="0"/>
    <n v="0"/>
    <n v="0"/>
    <n v="0"/>
    <n v="0"/>
    <n v="0"/>
    <n v="0"/>
    <n v="0"/>
    <n v="0"/>
    <n v="0"/>
    <n v="0"/>
    <n v="0"/>
    <n v="0"/>
    <n v="0"/>
    <n v="0"/>
    <n v="0"/>
    <n v="0"/>
    <n v="0"/>
    <n v="0"/>
    <n v="0"/>
    <n v="0"/>
    <n v="0"/>
    <n v="0"/>
    <n v="0"/>
    <n v="212.39499998092671"/>
  </r>
  <r>
    <x v="1"/>
    <x v="19"/>
    <s v="TI/TC"/>
    <s v="Francisco Elson"/>
    <s v="TI/TC"/>
    <s v="Francisco Elson"/>
    <s v="DGE"/>
    <s v="TI08018"/>
    <m/>
    <s v="Bancos de Baterias da Geradora"/>
    <m/>
    <m/>
    <m/>
    <n v="0"/>
    <n v="0"/>
    <n v="0"/>
    <n v="0"/>
    <n v="0"/>
    <n v="0"/>
    <n v="0"/>
    <n v="2.2655799686908722"/>
    <m/>
    <n v="0"/>
    <n v="0"/>
    <n v="7.7344200313091296"/>
    <n v="10.000000000000002"/>
    <n v="0"/>
    <n v="0"/>
    <n v="0"/>
    <n v="0"/>
    <n v="0"/>
    <n v="0"/>
    <n v="0"/>
    <n v="0"/>
    <n v="0"/>
    <n v="0"/>
    <n v="0"/>
    <n v="0"/>
    <n v="0"/>
    <n v="0"/>
    <n v="0"/>
    <n v="0"/>
    <n v="0"/>
    <n v="0"/>
    <n v="0"/>
    <n v="0"/>
    <n v="0"/>
    <n v="0"/>
    <n v="0"/>
    <n v="0"/>
    <n v="0"/>
    <n v="0"/>
    <n v="0"/>
    <n v="0"/>
    <n v="0"/>
    <n v="0"/>
    <n v="0"/>
    <n v="0"/>
    <n v="0"/>
    <n v="0"/>
    <n v="0"/>
    <n v="0"/>
    <n v="0"/>
    <n v="0"/>
    <n v="0"/>
    <n v="0"/>
    <n v="0"/>
    <n v="0"/>
    <n v="0"/>
    <n v="0"/>
    <n v="0"/>
    <n v="0"/>
    <n v="0"/>
    <n v="0"/>
    <n v="0"/>
    <n v="0"/>
    <n v="0"/>
    <n v="0"/>
    <n v="10.000000000000002"/>
  </r>
  <r>
    <x v="1"/>
    <x v="19"/>
    <s v="TI/TC"/>
    <s v="Francisco Elson"/>
    <s v="TI/TC"/>
    <s v="Francisco Elson"/>
    <s v="DGE"/>
    <s v="NA"/>
    <s v="-"/>
    <s v="Redes Ópticas da Geradora"/>
    <s v="Construção de Redes Ópticas da Geradora para interligação ao backbone de comunicação"/>
    <s v="Perda de comunicação por falta de alimentação comercial, penalidades previstas em contrato"/>
    <s v="Postergação do desembolso para adequação da curva de investimento."/>
    <n v="0"/>
    <n v="0"/>
    <n v="0"/>
    <n v="0"/>
    <n v="0"/>
    <n v="0"/>
    <n v="0"/>
    <n v="0"/>
    <m/>
    <n v="0"/>
    <n v="0"/>
    <n v="0"/>
    <n v="0"/>
    <n v="0"/>
    <n v="0"/>
    <n v="0"/>
    <n v="0"/>
    <n v="0"/>
    <n v="0"/>
    <n v="0"/>
    <n v="0"/>
    <n v="0"/>
    <n v="157"/>
    <n v="0"/>
    <n v="0"/>
    <n v="157"/>
    <n v="0"/>
    <n v="0"/>
    <n v="0"/>
    <n v="0"/>
    <n v="0"/>
    <n v="0"/>
    <n v="0"/>
    <n v="0"/>
    <n v="0"/>
    <n v="0"/>
    <n v="0"/>
    <n v="0"/>
    <n v="0"/>
    <n v="0"/>
    <n v="0"/>
    <n v="0"/>
    <n v="0"/>
    <n v="0"/>
    <n v="0"/>
    <n v="0"/>
    <n v="0"/>
    <n v="0"/>
    <n v="0"/>
    <n v="0"/>
    <n v="0"/>
    <n v="0"/>
    <n v="0"/>
    <n v="0"/>
    <n v="0"/>
    <n v="0"/>
    <n v="0"/>
    <n v="0"/>
    <n v="0"/>
    <n v="0"/>
    <n v="0"/>
    <n v="0"/>
    <n v="0"/>
    <n v="0"/>
    <n v="0"/>
    <n v="157"/>
  </r>
  <r>
    <x v="2"/>
    <x v="12"/>
    <s v="TI/TC"/>
    <s v="Francisco Elson"/>
    <s v="MT/CT"/>
    <s v="Joel Máximo Reis"/>
    <s v="DGE"/>
    <s v="TI06618"/>
    <s v="-"/>
    <s v="Comunicação via Satélite (Telefonia)"/>
    <s v="Aparelho para serviços de telefonia via satélite."/>
    <s v="Demora no restabelecimento de linhas de transmissão, onde não é possivel comunicar com a equipe, Risco de não execução de serviços e permanência da equipe na instalação sem poder executar manutenções em linhas de transmissão."/>
    <s v="Revisão do escopo do projeto, conforme demanda da área usuária."/>
    <n v="0"/>
    <n v="0"/>
    <n v="0"/>
    <n v="0"/>
    <n v="0"/>
    <n v="0"/>
    <n v="0"/>
    <n v="0"/>
    <n v="0"/>
    <n v="142.21934999999999"/>
    <n v="0"/>
    <n v="0"/>
    <n v="142.21934999999999"/>
    <n v="0"/>
    <n v="0"/>
    <n v="0"/>
    <n v="0"/>
    <n v="0"/>
    <n v="0"/>
    <n v="0"/>
    <n v="0"/>
    <n v="0"/>
    <n v="0"/>
    <n v="0"/>
    <n v="0"/>
    <n v="0"/>
    <n v="0"/>
    <n v="0"/>
    <n v="0"/>
    <n v="0"/>
    <n v="0"/>
    <n v="0"/>
    <n v="0"/>
    <n v="0"/>
    <n v="0"/>
    <n v="0"/>
    <n v="0"/>
    <n v="0"/>
    <n v="0"/>
    <n v="0"/>
    <n v="0"/>
    <n v="0"/>
    <n v="0"/>
    <n v="0"/>
    <n v="0"/>
    <n v="0"/>
    <n v="0"/>
    <n v="0"/>
    <n v="0"/>
    <n v="0"/>
    <n v="0"/>
    <n v="0"/>
    <n v="0"/>
    <n v="0"/>
    <n v="0"/>
    <n v="0"/>
    <n v="0"/>
    <n v="0"/>
    <n v="0"/>
    <n v="0"/>
    <n v="0"/>
    <n v="0"/>
    <n v="0"/>
    <n v="0"/>
    <n v="0"/>
    <n v="142.21934999999999"/>
  </r>
  <r>
    <x v="2"/>
    <x v="12"/>
    <s v="TI/TC"/>
    <s v="Francisco Elson"/>
    <s v="TI/TC"/>
    <s v="Francisco Elson"/>
    <s v="DGE"/>
    <s v="NA"/>
    <s v="-"/>
    <s v="Redes Ópticas da Transmissora"/>
    <s v="Construção de Redes Ópticas da Geradora para interligação ao backbone de comunicação"/>
    <s v="Perda de comunicação por falta de alimentação comercial, penalidades previstas em contrato"/>
    <s v="Revisão do escopo do projeto, com postergação do desembolso conforme cronograma de execução."/>
    <n v="0"/>
    <n v="0"/>
    <n v="0"/>
    <n v="0"/>
    <n v="0"/>
    <n v="0"/>
    <n v="0"/>
    <n v="0"/>
    <n v="0"/>
    <n v="0"/>
    <n v="0"/>
    <n v="0"/>
    <n v="0"/>
    <n v="0"/>
    <n v="0"/>
    <n v="0"/>
    <n v="0"/>
    <n v="0"/>
    <n v="0"/>
    <n v="0"/>
    <n v="0"/>
    <n v="0"/>
    <n v="0"/>
    <n v="0"/>
    <n v="0"/>
    <n v="0"/>
    <n v="0"/>
    <n v="0"/>
    <n v="0"/>
    <n v="0"/>
    <n v="0"/>
    <n v="200"/>
    <n v="0"/>
    <n v="0"/>
    <n v="0"/>
    <n v="0"/>
    <n v="0"/>
    <n v="0"/>
    <n v="200"/>
    <n v="0"/>
    <n v="0"/>
    <n v="0"/>
    <n v="0"/>
    <n v="0"/>
    <n v="50"/>
    <n v="0"/>
    <n v="0"/>
    <n v="0"/>
    <n v="0"/>
    <n v="0"/>
    <n v="0"/>
    <n v="50"/>
    <n v="0"/>
    <n v="0"/>
    <n v="0"/>
    <n v="0"/>
    <n v="0"/>
    <n v="0"/>
    <n v="0"/>
    <n v="0"/>
    <n v="0"/>
    <n v="0"/>
    <n v="0"/>
    <n v="0"/>
    <n v="0"/>
    <n v="250"/>
  </r>
  <r>
    <x v="2"/>
    <x v="18"/>
    <s v="TI/TC"/>
    <s v="Roberto Sebastião"/>
    <s v="TI/TC"/>
    <s v="Roberto Sebastião"/>
    <s v="DGE"/>
    <s v="TI06118"/>
    <s v="TINV.18.T.054.FW"/>
    <s v="Atualizações de versão de software para Solução de Firewall Check Point "/>
    <s v="Proteção do ambiente corporativo da CEMIG contra ataques, invasões oriundas da Internet e terceiros; Autorização e controle de acesso remoto ao ambiente corporativo; Garantir a comunicação da Cemig com a CCEE e com os grandes consumidores de energia da Cemig."/>
    <s v="Exposição inadequada das informações da Cemig; Contaminação dos dados da Rede Corporativa; Indisponibilidade de sistemas corporativos."/>
    <s v="Revisão do valor em virtude do balizamento de preços."/>
    <n v="0"/>
    <n v="0"/>
    <n v="0"/>
    <n v="0"/>
    <n v="0"/>
    <n v="0"/>
    <n v="97.797317504882813"/>
    <n v="0"/>
    <n v="0"/>
    <n v="0"/>
    <n v="0"/>
    <m/>
    <n v="0"/>
    <n v="0"/>
    <n v="0"/>
    <n v="0"/>
    <n v="0"/>
    <n v="0"/>
    <n v="0"/>
    <n v="0"/>
    <n v="0"/>
    <n v="0"/>
    <n v="0"/>
    <n v="0"/>
    <n v="0"/>
    <n v="0"/>
    <n v="0"/>
    <n v="0"/>
    <n v="0"/>
    <n v="0"/>
    <n v="0"/>
    <n v="0"/>
    <n v="0"/>
    <n v="0"/>
    <n v="0"/>
    <n v="0"/>
    <n v="0"/>
    <n v="0"/>
    <n v="0"/>
    <n v="0"/>
    <n v="0"/>
    <n v="0"/>
    <n v="0"/>
    <n v="0"/>
    <n v="0"/>
    <n v="186"/>
    <n v="0"/>
    <n v="0"/>
    <n v="0"/>
    <n v="0"/>
    <n v="0"/>
    <n v="186"/>
    <n v="0"/>
    <n v="0"/>
    <n v="0"/>
    <n v="0"/>
    <n v="0"/>
    <n v="206"/>
    <n v="0"/>
    <n v="0"/>
    <n v="0"/>
    <n v="0"/>
    <n v="0"/>
    <n v="0"/>
    <n v="206"/>
    <n v="392"/>
  </r>
  <r>
    <x v="0"/>
    <x v="1"/>
    <s v="TI/TC"/>
    <s v="Sebastião Jacinto"/>
    <s v="TI/TC"/>
    <s v="Sebastião Jacinto"/>
    <s v="DGE"/>
    <s v="TI05018"/>
    <s v="INFR.342.01418"/>
    <s v="Aquisição de equipamentos e mobiliário para o CGR"/>
    <s v="Aquisição de 6 cadeiras e 1 geladeira para atender  aos operadores de Telecom durante a escala 24/7."/>
    <s v="Risco de afastamento de funcionário._x000a_Risco de processos contra a Cemig._x000a_Aumento do horário de intervalo de descanso do operador._x000a_Não atendimento as normas de operação."/>
    <m/>
    <n v="0"/>
    <n v="0"/>
    <n v="0"/>
    <n v="0"/>
    <n v="0"/>
    <n v="0"/>
    <n v="11.725610017776489"/>
    <n v="0"/>
    <m/>
    <m/>
    <m/>
    <m/>
    <n v="0"/>
    <m/>
    <m/>
    <m/>
    <m/>
    <m/>
    <m/>
    <m/>
    <m/>
    <m/>
    <m/>
    <m/>
    <m/>
    <n v="0"/>
    <m/>
    <m/>
    <m/>
    <m/>
    <m/>
    <m/>
    <m/>
    <m/>
    <m/>
    <m/>
    <m/>
    <m/>
    <n v="0"/>
    <m/>
    <m/>
    <m/>
    <m/>
    <m/>
    <m/>
    <m/>
    <m/>
    <m/>
    <m/>
    <m/>
    <m/>
    <n v="0"/>
    <m/>
    <m/>
    <m/>
    <m/>
    <m/>
    <m/>
    <m/>
    <m/>
    <m/>
    <m/>
    <m/>
    <m/>
    <n v="0"/>
    <n v="0"/>
  </r>
  <r>
    <x v="0"/>
    <x v="14"/>
    <s v="TI/TC"/>
    <s v="Francisco Elson"/>
    <s v="SC"/>
    <s v="Daniel Bretas"/>
    <s v="DGE"/>
    <s v="NA"/>
    <s v="-"/>
    <s v="ALMENARA E OURO PRETO - CENTRAL TELEFÔNICA PARA INSTALAÇAO DDR"/>
    <s v="AQUISIÇÃO E INSTALAÇAO DE DDR NA CENTRAL TELEFÔNICA "/>
    <s v="Continuidade de gastos em despesa operacional com custo mensal de Recepcionista para atendimento telefônico"/>
    <s v="Postergação do desembolso para adequação da curva de investimento."/>
    <n v="0"/>
    <n v="0"/>
    <n v="0"/>
    <n v="0"/>
    <n v="0"/>
    <n v="0"/>
    <n v="0"/>
    <n v="0"/>
    <n v="0"/>
    <s v="                         -  "/>
    <n v="0"/>
    <s v="                         -  "/>
    <n v="0"/>
    <n v="0"/>
    <n v="0"/>
    <n v="0"/>
    <n v="400"/>
    <n v="0"/>
    <n v="0"/>
    <n v="0"/>
    <n v="0"/>
    <n v="0"/>
    <n v="0"/>
    <n v="0"/>
    <n v="0"/>
    <n v="400"/>
    <n v="0"/>
    <n v="0"/>
    <n v="0"/>
    <n v="0"/>
    <n v="0"/>
    <n v="0"/>
    <n v="0"/>
    <n v="0"/>
    <n v="0"/>
    <n v="0"/>
    <n v="0"/>
    <n v="0"/>
    <n v="0"/>
    <n v="0"/>
    <n v="0"/>
    <n v="0"/>
    <n v="0"/>
    <n v="0"/>
    <n v="0"/>
    <n v="0"/>
    <n v="0"/>
    <n v="0"/>
    <n v="0"/>
    <n v="0"/>
    <n v="0"/>
    <n v="0"/>
    <n v="0"/>
    <n v="0"/>
    <n v="0"/>
    <n v="0"/>
    <n v="0"/>
    <n v="0"/>
    <n v="0"/>
    <n v="0"/>
    <n v="0"/>
    <n v="0"/>
    <n v="0"/>
    <n v="0"/>
    <n v="0"/>
    <n v="400"/>
  </r>
  <r>
    <x v="0"/>
    <x v="14"/>
    <s v="TI/TC"/>
    <s v="Luciano Nunes"/>
    <s v="TI/TC"/>
    <s v="Luciano Nunes"/>
    <s v="DGE"/>
    <s v="TI02918"/>
    <s v="TINV.18.D.054.SG"/>
    <s v="Atendimento de Telecom da Base Operativa do São Gabriel"/>
    <s v="Aquisição de uma central telefônica para migração do Sistema de Telecomunicações da Sala de Telecomunicações para a Sala de Telefonia."/>
    <s v="Perda do Sistema de Telefonia para os usuários do São Gabriel e/ou multa contratual"/>
    <s v="-"/>
    <n v="0"/>
    <n v="0"/>
    <n v="0"/>
    <n v="0"/>
    <n v="0"/>
    <n v="0"/>
    <n v="0"/>
    <n v="0"/>
    <n v="0"/>
    <n v="0"/>
    <n v="367"/>
    <n v="0"/>
    <n v="367"/>
    <n v="0"/>
    <n v="0"/>
    <n v="0"/>
    <n v="0"/>
    <n v="0"/>
    <n v="0"/>
    <n v="0"/>
    <n v="0"/>
    <n v="0"/>
    <n v="0"/>
    <n v="0"/>
    <n v="0"/>
    <n v="0"/>
    <n v="0"/>
    <n v="0"/>
    <n v="0"/>
    <n v="0"/>
    <n v="0"/>
    <n v="0"/>
    <n v="0"/>
    <n v="0"/>
    <n v="0"/>
    <n v="0"/>
    <n v="0"/>
    <n v="0"/>
    <n v="0"/>
    <n v="0"/>
    <n v="0"/>
    <n v="0"/>
    <n v="0"/>
    <n v="0"/>
    <n v="0"/>
    <n v="0"/>
    <n v="0"/>
    <n v="0"/>
    <n v="0"/>
    <n v="0"/>
    <n v="0"/>
    <n v="0"/>
    <n v="0"/>
    <n v="0"/>
    <n v="0"/>
    <n v="0"/>
    <n v="0"/>
    <n v="0"/>
    <n v="0"/>
    <n v="0"/>
    <n v="0"/>
    <n v="0"/>
    <n v="0"/>
    <n v="0"/>
    <n v="0"/>
    <n v="367"/>
  </r>
  <r>
    <x v="0"/>
    <x v="14"/>
    <s v="TI/TC"/>
    <s v="Francisco Elson"/>
    <s v="TI/TC"/>
    <s v="Francisco Elson"/>
    <s v="DGE"/>
    <s v="TI07918"/>
    <s v="TINV.18.D.054.BC"/>
    <s v="Bancos de Baterias da Distribuidora"/>
    <s v="Aquisição de conjuntos de Bancos de Baterias da Distribuidora para estações de comunicação"/>
    <s v="Perda de comunicação por falta de alimentação comercial, penalidades previstas em copntrato"/>
    <s v="Postergação do desembolso para adequação da curva de investimento."/>
    <n v="0"/>
    <n v="0"/>
    <n v="0"/>
    <n v="0"/>
    <n v="0"/>
    <n v="0"/>
    <n v="0"/>
    <n v="146.51003949344158"/>
    <n v="50"/>
    <n v="50"/>
    <n v="50"/>
    <n v="413.48996000000005"/>
    <n v="709.99999949344169"/>
    <n v="0"/>
    <n v="0"/>
    <n v="0"/>
    <n v="0"/>
    <n v="0"/>
    <n v="0"/>
    <n v="63"/>
    <n v="0"/>
    <n v="0"/>
    <n v="0"/>
    <n v="0"/>
    <n v="0"/>
    <n v="63"/>
    <n v="0"/>
    <n v="0"/>
    <n v="0"/>
    <n v="0"/>
    <n v="0"/>
    <n v="0"/>
    <n v="0"/>
    <n v="0"/>
    <n v="0"/>
    <n v="0"/>
    <n v="0"/>
    <n v="137.17400000000001"/>
    <n v="137.17400000000001"/>
    <n v="0"/>
    <n v="0"/>
    <n v="0"/>
    <n v="0"/>
    <n v="0"/>
    <n v="0"/>
    <n v="0"/>
    <n v="0"/>
    <n v="0"/>
    <n v="0"/>
    <n v="43.896000000000001"/>
    <n v="0"/>
    <n v="43.896000000000001"/>
    <n v="0"/>
    <n v="0"/>
    <n v="0"/>
    <n v="0"/>
    <n v="0"/>
    <n v="0"/>
    <n v="0"/>
    <n v="0"/>
    <n v="0"/>
    <n v="0"/>
    <n v="0"/>
    <n v="30.178000000000001"/>
    <n v="30.178000000000001"/>
    <n v="984.24799949344174"/>
  </r>
  <r>
    <x v="0"/>
    <x v="14"/>
    <s v="TI/TC"/>
    <s v="Francisco Elson"/>
    <s v="TI/TC"/>
    <s v="Francisco Elson"/>
    <s v="DGE"/>
    <s v="TI07318"/>
    <s v="TINV.18.D.054.CT"/>
    <s v="Centrais Telefônicas da Distribuidora"/>
    <s v="Aquisição de Centrais Telefônicas da Distribuidora"/>
    <s v="Falha de comunicação com as equipes regionais, aumento do custo de O&amp;M"/>
    <s v="Revisão do escopo do projeto."/>
    <n v="0"/>
    <n v="0"/>
    <n v="0"/>
    <n v="0"/>
    <n v="0"/>
    <n v="0"/>
    <n v="0"/>
    <n v="0"/>
    <n v="0"/>
    <n v="0"/>
    <n v="0"/>
    <n v="80"/>
    <n v="80"/>
    <n v="0"/>
    <n v="0"/>
    <n v="0"/>
    <n v="0"/>
    <n v="0"/>
    <n v="0"/>
    <n v="0"/>
    <n v="0"/>
    <n v="0"/>
    <n v="0"/>
    <n v="0"/>
    <n v="265.02199999999999"/>
    <n v="265.02199999999999"/>
    <n v="0"/>
    <n v="0"/>
    <n v="0"/>
    <n v="0"/>
    <n v="0"/>
    <n v="0"/>
    <n v="0"/>
    <n v="0"/>
    <n v="647"/>
    <n v="0"/>
    <n v="0"/>
    <n v="0"/>
    <n v="647"/>
    <n v="0"/>
    <n v="0"/>
    <n v="0"/>
    <n v="0"/>
    <n v="0"/>
    <n v="0"/>
    <n v="0"/>
    <n v="0"/>
    <n v="0"/>
    <n v="0"/>
    <n v="602.88200000000006"/>
    <n v="0"/>
    <n v="602.88200000000006"/>
    <n v="0"/>
    <n v="0"/>
    <n v="0"/>
    <n v="0"/>
    <n v="0"/>
    <n v="0"/>
    <n v="0"/>
    <n v="0"/>
    <n v="0"/>
    <n v="0"/>
    <n v="0"/>
    <n v="208.232"/>
    <n v="208.232"/>
    <n v="1803.136"/>
  </r>
  <r>
    <x v="0"/>
    <x v="14"/>
    <s v="TI/TC"/>
    <s v="Francisco Elson"/>
    <s v="TI/TC"/>
    <s v="Francisco Elson"/>
    <s v="DGE"/>
    <s v="NA"/>
    <s v="-"/>
    <s v="Equipamentos de Linha Óptica da Distribuidora"/>
    <s v="Aquisição de Equipamentos de Linha Óptica da Distribuidora para estações de comunicação"/>
    <s v="Perda de comunicação por falta de alimentação comercial, penalidades previstas em copntrato"/>
    <s v="Postergação do desembolso para adequação da curva de investimento."/>
    <n v="0"/>
    <n v="0"/>
    <n v="0"/>
    <n v="0"/>
    <n v="0"/>
    <n v="0"/>
    <n v="0"/>
    <n v="0"/>
    <n v="0"/>
    <n v="0"/>
    <n v="0"/>
    <n v="0"/>
    <n v="0"/>
    <n v="0"/>
    <n v="0"/>
    <n v="0"/>
    <n v="0"/>
    <n v="0"/>
    <n v="0"/>
    <n v="0"/>
    <n v="46"/>
    <n v="0"/>
    <n v="0"/>
    <n v="0"/>
    <n v="0"/>
    <n v="46"/>
    <n v="0"/>
    <n v="0"/>
    <n v="0"/>
    <n v="0"/>
    <n v="0"/>
    <n v="0"/>
    <n v="0"/>
    <n v="0"/>
    <n v="0"/>
    <n v="0"/>
    <n v="0"/>
    <n v="99.700999999999993"/>
    <n v="99.700999999999993"/>
    <n v="0"/>
    <n v="0"/>
    <n v="0"/>
    <n v="0"/>
    <n v="0"/>
    <n v="0"/>
    <n v="0"/>
    <n v="0"/>
    <n v="0"/>
    <n v="0"/>
    <n v="31.904"/>
    <n v="0"/>
    <n v="31.904"/>
    <n v="0"/>
    <n v="0"/>
    <n v="0"/>
    <n v="0"/>
    <n v="0"/>
    <n v="0"/>
    <n v="0"/>
    <n v="0"/>
    <n v="0"/>
    <n v="0"/>
    <n v="0"/>
    <n v="21.934000000000001"/>
    <n v="21.934000000000001"/>
    <n v="199.53899999999999"/>
  </r>
  <r>
    <x v="0"/>
    <x v="14"/>
    <s v="TI/TC"/>
    <s v="Francisco Elson"/>
    <s v="TI/TC"/>
    <s v="Francisco Elson"/>
    <s v="DGE"/>
    <s v="NA1"/>
    <s v="-"/>
    <s v="Ferramentas manual da Distribuidora"/>
    <s v="Aquisição Ferramentas manual da Distribuidora para suporte e manutenação em estações de comunicação"/>
    <s v="Aumento de tempo de reparo, riscos ergométricos"/>
    <s v="Postergação do desembolso para adequação da curva de investimento."/>
    <n v="0"/>
    <n v="0"/>
    <n v="0"/>
    <n v="0"/>
    <n v="0"/>
    <n v="0"/>
    <n v="0"/>
    <n v="0"/>
    <n v="0"/>
    <n v="0"/>
    <n v="0"/>
    <n v="0"/>
    <n v="0"/>
    <n v="0"/>
    <n v="0"/>
    <n v="0"/>
    <n v="0"/>
    <n v="0"/>
    <n v="0"/>
    <n v="0"/>
    <n v="5"/>
    <n v="0"/>
    <n v="0"/>
    <n v="0"/>
    <n v="0"/>
    <n v="5"/>
    <n v="0"/>
    <n v="0"/>
    <n v="0"/>
    <n v="0"/>
    <n v="0"/>
    <n v="0"/>
    <n v="0"/>
    <n v="0"/>
    <n v="0"/>
    <n v="0"/>
    <n v="0"/>
    <n v="0"/>
    <n v="0"/>
    <n v="0"/>
    <n v="0"/>
    <n v="0"/>
    <n v="0"/>
    <n v="0"/>
    <n v="0"/>
    <n v="0"/>
    <n v="0"/>
    <n v="0"/>
    <n v="0"/>
    <n v="0"/>
    <n v="0"/>
    <n v="0"/>
    <n v="0"/>
    <n v="0"/>
    <n v="0"/>
    <n v="0"/>
    <n v="0"/>
    <n v="0"/>
    <n v="0"/>
    <n v="0"/>
    <n v="0"/>
    <n v="0"/>
    <n v="0"/>
    <n v="0"/>
    <n v="0"/>
    <n v="5"/>
  </r>
  <r>
    <x v="0"/>
    <x v="14"/>
    <s v="TI/TC"/>
    <s v="Francisco Elson"/>
    <s v="TI/TC"/>
    <s v="Francisco Elson"/>
    <s v="DGE"/>
    <s v="NA"/>
    <s v="-"/>
    <s v="Fontes de Alimentação da Distribuidora"/>
    <s v="Fontes de Alimentação da Distribuidora"/>
    <s v="Perda de comunicação por falta de alimentação comercial, penalidades previstas em copntrato"/>
    <s v="Postergação do desembolso para adequação da curva de investimento."/>
    <n v="0"/>
    <n v="0"/>
    <n v="0"/>
    <n v="0"/>
    <n v="0"/>
    <n v="0"/>
    <n v="0"/>
    <n v="0"/>
    <n v="0"/>
    <n v="0"/>
    <n v="0"/>
    <n v="0"/>
    <n v="0"/>
    <n v="0"/>
    <n v="0"/>
    <n v="0"/>
    <n v="0"/>
    <n v="0"/>
    <n v="0"/>
    <n v="0"/>
    <n v="48"/>
    <n v="0"/>
    <n v="0"/>
    <n v="0"/>
    <n v="0"/>
    <n v="48"/>
    <n v="0"/>
    <n v="0"/>
    <n v="0"/>
    <n v="0"/>
    <n v="0"/>
    <n v="0"/>
    <n v="0"/>
    <n v="0"/>
    <n v="98"/>
    <n v="0"/>
    <n v="0"/>
    <n v="0"/>
    <n v="98"/>
    <n v="0"/>
    <n v="0"/>
    <n v="0"/>
    <n v="0"/>
    <n v="0"/>
    <n v="0"/>
    <n v="0"/>
    <n v="0"/>
    <n v="0"/>
    <n v="0"/>
    <n v="21"/>
    <n v="0"/>
    <n v="21"/>
    <n v="0"/>
    <n v="0"/>
    <n v="0"/>
    <n v="0"/>
    <n v="0"/>
    <n v="0"/>
    <n v="0"/>
    <n v="0"/>
    <n v="0"/>
    <n v="0"/>
    <n v="0"/>
    <n v="20.731999999999999"/>
    <n v="20.731999999999999"/>
    <n v="187.732"/>
  </r>
  <r>
    <x v="0"/>
    <x v="14"/>
    <s v="TI/TC"/>
    <s v="Francisco Elson"/>
    <s v="TI/TC"/>
    <s v="Francisco Elson"/>
    <s v="DGE"/>
    <s v="NA"/>
    <s v="-"/>
    <s v="Instrumentos da Distribuidora"/>
    <s v="Aquisição de Instrumentos da Distribuidora  para suporte e manutenção em estações de comunicação"/>
    <s v="Auemento do tempo de reparo, risco de queima de equipamentos por uso de instrumentos inadequados"/>
    <s v="Postergação do desembolso para adequação da curva de investimento."/>
    <n v="0"/>
    <n v="0"/>
    <n v="0"/>
    <n v="0"/>
    <n v="0"/>
    <n v="0"/>
    <n v="0"/>
    <n v="0"/>
    <n v="0"/>
    <n v="0"/>
    <n v="0"/>
    <n v="0"/>
    <n v="0"/>
    <n v="0"/>
    <n v="0"/>
    <n v="0"/>
    <n v="0"/>
    <n v="0"/>
    <n v="50"/>
    <n v="0"/>
    <n v="0"/>
    <n v="0"/>
    <n v="0"/>
    <n v="0"/>
    <n v="0"/>
    <n v="50"/>
    <n v="0"/>
    <n v="0"/>
    <n v="0"/>
    <n v="0"/>
    <n v="0"/>
    <n v="0"/>
    <n v="0"/>
    <n v="0"/>
    <n v="0"/>
    <n v="176"/>
    <n v="0"/>
    <n v="0"/>
    <n v="176"/>
    <n v="0"/>
    <n v="0"/>
    <n v="0"/>
    <n v="0"/>
    <n v="0"/>
    <n v="0"/>
    <n v="0"/>
    <n v="0"/>
    <n v="0"/>
    <n v="0"/>
    <n v="269.59800000000001"/>
    <n v="0"/>
    <n v="269.59800000000001"/>
    <n v="0"/>
    <n v="0"/>
    <n v="0"/>
    <n v="0"/>
    <n v="0"/>
    <n v="0"/>
    <n v="0"/>
    <n v="0"/>
    <n v="0"/>
    <n v="0"/>
    <n v="0"/>
    <n v="261.09899999999999"/>
    <n v="261.09899999999999"/>
    <n v="756.697"/>
  </r>
  <r>
    <x v="0"/>
    <x v="14"/>
    <s v="TI/TC"/>
    <s v="Francisco Elson"/>
    <s v="TI/TC"/>
    <s v="Francisco Elson"/>
    <s v="DGE"/>
    <s v="NA"/>
    <s v="-"/>
    <s v="Multiplexadores da Distribuidora"/>
    <s v="Aquisição de Multiplexadores da Distribuidora para estações de comunicação"/>
    <s v="Perda de comunicação por falta de alimentação comercial, penalidades previstas em copntrato"/>
    <s v="Revisão do escopo do projeto, com postergação do desembolso conforme cronograma de execução."/>
    <n v="0"/>
    <n v="0"/>
    <n v="0"/>
    <n v="0"/>
    <n v="0"/>
    <n v="0"/>
    <n v="0"/>
    <n v="0"/>
    <n v="0"/>
    <n v="0"/>
    <n v="0"/>
    <n v="0"/>
    <n v="0"/>
    <n v="0"/>
    <n v="0"/>
    <n v="0"/>
    <n v="0"/>
    <n v="0"/>
    <n v="100"/>
    <n v="0"/>
    <n v="0"/>
    <n v="0"/>
    <n v="0"/>
    <n v="0"/>
    <n v="0"/>
    <n v="100"/>
    <n v="0"/>
    <n v="0"/>
    <n v="0"/>
    <n v="0"/>
    <n v="0"/>
    <n v="0"/>
    <n v="0"/>
    <n v="0"/>
    <n v="288"/>
    <n v="0"/>
    <n v="0"/>
    <n v="0"/>
    <n v="288"/>
    <n v="0"/>
    <n v="0"/>
    <n v="0"/>
    <n v="0"/>
    <n v="0"/>
    <n v="0"/>
    <n v="0"/>
    <n v="0"/>
    <n v="0"/>
    <n v="0"/>
    <n v="224.029"/>
    <n v="0"/>
    <n v="224.029"/>
    <n v="0"/>
    <n v="0"/>
    <n v="0"/>
    <n v="0"/>
    <n v="0"/>
    <n v="0"/>
    <n v="0"/>
    <n v="0"/>
    <n v="0"/>
    <n v="0"/>
    <n v="0"/>
    <n v="85.27"/>
    <n v="85.27"/>
    <n v="697.29899999999998"/>
  </r>
  <r>
    <x v="0"/>
    <x v="14"/>
    <s v="TI/TC"/>
    <s v="Luciano Nunes"/>
    <s v="TI/TC"/>
    <s v="Luciano Nunes"/>
    <s v="DGE"/>
    <s v="TI03118"/>
    <s v="TINV.18.D.054.PS"/>
    <s v="Projeto Sigma - Substituição dos Gateways Mediant 1000"/>
    <s v="Possibilitar a continuidade dos serviços de voz dos escritórios da Cemig Distribuição com o sistema de telefonia adquirido da CEMIGTelecom."/>
    <s v="Aumento de Opex com serviços de reparos e manutenção dos atuais equipamentos (Gateways Mediant 1000)."/>
    <s v="Demanda incorporada à carteira, considerando remanejamento entre projetos."/>
    <n v="0"/>
    <n v="0"/>
    <n v="0"/>
    <n v="0"/>
    <n v="0"/>
    <n v="0"/>
    <n v="0"/>
    <n v="16.879440307617187"/>
    <n v="43.06"/>
    <n v="47.98536"/>
    <n v="0"/>
    <n v="0"/>
    <n v="107.92480030761719"/>
    <m/>
    <m/>
    <m/>
    <m/>
    <m/>
    <m/>
    <m/>
    <m/>
    <m/>
    <m/>
    <m/>
    <m/>
    <n v="0"/>
    <n v="0"/>
    <n v="0"/>
    <n v="0"/>
    <n v="0"/>
    <n v="0"/>
    <n v="0"/>
    <n v="0"/>
    <n v="0"/>
    <n v="0"/>
    <n v="0"/>
    <n v="0"/>
    <n v="0"/>
    <n v="0"/>
    <n v="0"/>
    <n v="0"/>
    <n v="0"/>
    <n v="0"/>
    <n v="0"/>
    <n v="0"/>
    <n v="0"/>
    <n v="0"/>
    <n v="0"/>
    <n v="0"/>
    <n v="0"/>
    <n v="0"/>
    <n v="0"/>
    <n v="0"/>
    <n v="0"/>
    <n v="0"/>
    <n v="0"/>
    <n v="0"/>
    <n v="0"/>
    <n v="0"/>
    <n v="0"/>
    <n v="0"/>
    <n v="0"/>
    <n v="0"/>
    <n v="0"/>
    <n v="0"/>
    <n v="107.92480030761719"/>
  </r>
  <r>
    <x v="0"/>
    <x v="14"/>
    <s v="TI/TC"/>
    <s v="Francisco Elson"/>
    <s v="TI/TC"/>
    <s v="Francisco Elson"/>
    <s v="DGE"/>
    <s v="TI05918"/>
    <s v="TINV.18.D.054.RO"/>
    <s v="Redes Ópticas da Distribuidora"/>
    <s v="Construção de Redes Ópticas da Distribuidora para interligação ao backbone de comunicação e redução de alugueis de links"/>
    <s v="Perda de comunicação por falta de alimentação comercial, penalidades previstas em copntrato"/>
    <s v="Revisão do escopo do projeto alinhada com a proposta de redução dos cabos OPGW das subestações, bem como nos escritórios da MT e MG devido à entrega das concessões das usinas no Triângulo."/>
    <n v="0"/>
    <n v="0"/>
    <n v="0"/>
    <n v="0"/>
    <n v="0"/>
    <n v="0"/>
    <n v="0"/>
    <n v="19.600669860839844"/>
    <n v="20"/>
    <n v="548.86657000000002"/>
    <n v="450"/>
    <n v="1130.39933"/>
    <n v="2168.8665698608402"/>
    <n v="0"/>
    <n v="0"/>
    <n v="0"/>
    <n v="0"/>
    <n v="0"/>
    <n v="0"/>
    <n v="0"/>
    <n v="0"/>
    <n v="0"/>
    <n v="500"/>
    <n v="500"/>
    <n v="1000"/>
    <n v="2000"/>
    <n v="0"/>
    <n v="0"/>
    <n v="0"/>
    <n v="0"/>
    <n v="0"/>
    <n v="0"/>
    <n v="0"/>
    <n v="0"/>
    <n v="1000"/>
    <n v="1000"/>
    <n v="1000"/>
    <n v="1000"/>
    <n v="4000"/>
    <n v="0"/>
    <n v="0"/>
    <n v="0"/>
    <n v="0"/>
    <n v="0"/>
    <n v="0"/>
    <n v="0"/>
    <n v="0"/>
    <n v="0"/>
    <n v="2000"/>
    <n v="2000"/>
    <n v="1000"/>
    <n v="5000"/>
    <n v="0"/>
    <n v="0"/>
    <n v="0"/>
    <n v="0"/>
    <n v="0"/>
    <n v="0"/>
    <n v="0"/>
    <n v="0"/>
    <n v="2000"/>
    <n v="2000"/>
    <n v="2000"/>
    <n v="2028.39463"/>
    <n v="8028.3946299999998"/>
    <n v="21197.261199860841"/>
  </r>
  <r>
    <x v="0"/>
    <x v="14"/>
    <s v="TI/TC"/>
    <s v="Francisco Elson"/>
    <s v="TI/TC"/>
    <s v="Francisco Elson"/>
    <s v="DGE"/>
    <s v="NA"/>
    <s v="-"/>
    <s v="Remotas de Telecontrole da Distribuidora"/>
    <s v="Aquisição de Remotas de Telecontrole da Distribuidora para estações de comunicação"/>
    <s v="Perda de comunicação por falta de alimentação comercial, penalidades previstas em copntrato"/>
    <s v="Postergação do desembolso para adequação da curva de investimento."/>
    <n v="0"/>
    <n v="0"/>
    <n v="0"/>
    <n v="0"/>
    <n v="0"/>
    <n v="0"/>
    <n v="0"/>
    <n v="0"/>
    <n v="0"/>
    <n v="0"/>
    <n v="0"/>
    <n v="0"/>
    <n v="0"/>
    <n v="0"/>
    <n v="0"/>
    <n v="0"/>
    <n v="0"/>
    <n v="0"/>
    <n v="0"/>
    <n v="0"/>
    <n v="0"/>
    <n v="0"/>
    <n v="0"/>
    <n v="0"/>
    <n v="0"/>
    <n v="0"/>
    <n v="0"/>
    <n v="0"/>
    <n v="0"/>
    <n v="0"/>
    <n v="0"/>
    <n v="0"/>
    <n v="0"/>
    <n v="0"/>
    <n v="0"/>
    <n v="0"/>
    <n v="0"/>
    <n v="58"/>
    <n v="58"/>
    <n v="0"/>
    <n v="0"/>
    <n v="0"/>
    <n v="0"/>
    <n v="0"/>
    <n v="0"/>
    <n v="0"/>
    <n v="0"/>
    <n v="0"/>
    <n v="0"/>
    <n v="26"/>
    <n v="0"/>
    <n v="26"/>
    <n v="0"/>
    <n v="0"/>
    <n v="0"/>
    <n v="0"/>
    <n v="0"/>
    <n v="0"/>
    <n v="0"/>
    <n v="0"/>
    <n v="0"/>
    <n v="0"/>
    <n v="0"/>
    <n v="10.311"/>
    <n v="10.311"/>
    <n v="94.311000000000007"/>
  </r>
  <r>
    <x v="0"/>
    <x v="14"/>
    <s v="TI/TC"/>
    <s v="Sebastião Jacinto"/>
    <s v="TI/TC"/>
    <s v="Sebastião Jacinto"/>
    <s v="DGE"/>
    <s v="TI05118"/>
    <s v="TINV.18.D.054.VW"/>
    <s v="Sistema Video Wall"/>
    <s v="Aquisição de video wall para o centro de operação de telecomunicações. Equipamento será utilizado para a supervição do sistema de telecomunicações."/>
    <s v="Ineficiência na identificação de problemas na rede. Aumento do tempo no reparo de defeitos na rede. Aumento de custo para na identificação de defeitos."/>
    <s v="-"/>
    <n v="0"/>
    <n v="0"/>
    <n v="0"/>
    <n v="0"/>
    <n v="0"/>
    <n v="0"/>
    <n v="0"/>
    <n v="0"/>
    <n v="0"/>
    <n v="0"/>
    <n v="192.9"/>
    <n v="7.1"/>
    <n v="200"/>
    <n v="0"/>
    <n v="0"/>
    <n v="0"/>
    <n v="0"/>
    <n v="0"/>
    <n v="0"/>
    <n v="0"/>
    <n v="0"/>
    <n v="0"/>
    <n v="0"/>
    <n v="0"/>
    <n v="0"/>
    <n v="0"/>
    <n v="0"/>
    <n v="0"/>
    <n v="0"/>
    <n v="0"/>
    <n v="0"/>
    <n v="0"/>
    <n v="0"/>
    <n v="0"/>
    <n v="0"/>
    <n v="0"/>
    <n v="0"/>
    <n v="0"/>
    <n v="0"/>
    <n v="0"/>
    <n v="0"/>
    <n v="0"/>
    <n v="0"/>
    <n v="0"/>
    <n v="0"/>
    <n v="0"/>
    <n v="0"/>
    <n v="0"/>
    <n v="0"/>
    <n v="0"/>
    <n v="0"/>
    <n v="0"/>
    <n v="0"/>
    <n v="0"/>
    <n v="0"/>
    <n v="0"/>
    <n v="0"/>
    <n v="0"/>
    <n v="0"/>
    <n v="0"/>
    <n v="0"/>
    <n v="0"/>
    <n v="0"/>
    <n v="0"/>
    <n v="0"/>
    <n v="200"/>
  </r>
  <r>
    <x v="0"/>
    <x v="14"/>
    <s v="TI/TC"/>
    <s v="Francisco Elson"/>
    <s v="TI/TC"/>
    <s v="Francisco Elson"/>
    <s v="DGE"/>
    <s v="NA"/>
    <s v="-"/>
    <s v="Sistemas de Ar Condicionado da Distribuidora"/>
    <s v="Aquisição de Sistemas de Ar Condicionado da Distribuidora para estações de comunicação"/>
    <s v="Queima dos equipametos de comunicaçõ por temperatura alta nas estações de comunicação"/>
    <s v="Revisão do escopo do projeto, conforme novas demandas de equipamentos."/>
    <n v="0"/>
    <n v="0"/>
    <n v="0"/>
    <n v="0"/>
    <n v="0"/>
    <n v="0"/>
    <n v="0"/>
    <n v="0"/>
    <n v="0"/>
    <n v="0"/>
    <n v="0"/>
    <n v="0"/>
    <n v="0"/>
    <n v="0"/>
    <n v="0"/>
    <n v="0"/>
    <n v="0"/>
    <n v="0"/>
    <n v="0"/>
    <n v="0"/>
    <n v="0"/>
    <n v="0"/>
    <n v="0"/>
    <n v="0"/>
    <n v="124"/>
    <n v="124"/>
    <n v="0"/>
    <n v="0"/>
    <n v="0"/>
    <n v="0"/>
    <n v="0"/>
    <n v="0"/>
    <n v="0"/>
    <n v="0"/>
    <n v="0"/>
    <n v="162"/>
    <n v="0"/>
    <n v="0"/>
    <n v="162"/>
    <n v="0"/>
    <n v="0"/>
    <n v="0"/>
    <n v="0"/>
    <n v="0"/>
    <n v="0"/>
    <n v="0"/>
    <n v="0"/>
    <n v="0"/>
    <n v="0"/>
    <n v="51.96"/>
    <n v="0"/>
    <n v="51.96"/>
    <n v="0"/>
    <n v="0"/>
    <n v="0"/>
    <n v="0"/>
    <n v="0"/>
    <n v="0"/>
    <n v="0"/>
    <n v="0"/>
    <n v="0"/>
    <n v="0"/>
    <n v="29.228000000000002"/>
    <n v="35.722999999999999"/>
    <n v="64.950999999999993"/>
    <n v="402.911"/>
  </r>
  <r>
    <x v="0"/>
    <x v="14"/>
    <s v="TI/TC"/>
    <s v="Francisco Elson"/>
    <s v="TI/TC"/>
    <s v="Francisco Elson"/>
    <s v="DGE"/>
    <s v="NA"/>
    <s v="-"/>
    <s v="Sistemas de Balisamento Noturno da Distribuidora"/>
    <s v="Aquisição de Sistemas de Balisamento Noturno da Distribuidora para estações de comunicação"/>
    <s v="Colisão de aeronaves, multas pelos órgãos competentes"/>
    <s v="Postergação do desembolso para adequação da curva de investimento."/>
    <n v="0"/>
    <n v="0"/>
    <n v="0"/>
    <n v="0"/>
    <n v="0"/>
    <n v="0"/>
    <n v="0"/>
    <n v="0"/>
    <n v="0"/>
    <n v="0"/>
    <n v="0"/>
    <n v="0"/>
    <n v="0"/>
    <n v="0"/>
    <n v="0"/>
    <n v="0"/>
    <n v="0"/>
    <n v="0"/>
    <n v="0"/>
    <n v="0"/>
    <n v="10"/>
    <n v="0"/>
    <n v="0"/>
    <n v="0"/>
    <n v="0"/>
    <n v="10"/>
    <n v="0"/>
    <n v="0"/>
    <n v="0"/>
    <n v="0"/>
    <n v="0"/>
    <n v="0"/>
    <n v="0"/>
    <n v="0"/>
    <n v="0"/>
    <n v="0"/>
    <n v="0"/>
    <n v="0"/>
    <n v="0"/>
    <n v="0"/>
    <n v="0"/>
    <n v="0"/>
    <n v="0"/>
    <n v="0"/>
    <n v="0"/>
    <n v="0"/>
    <n v="0"/>
    <n v="0"/>
    <n v="0"/>
    <n v="0"/>
    <n v="0"/>
    <n v="0"/>
    <n v="0"/>
    <n v="0"/>
    <n v="0"/>
    <n v="0"/>
    <n v="0"/>
    <n v="0"/>
    <n v="0"/>
    <n v="0"/>
    <n v="0"/>
    <n v="0"/>
    <n v="0"/>
    <n v="0"/>
    <n v="0"/>
    <n v="10"/>
  </r>
  <r>
    <x v="0"/>
    <x v="14"/>
    <s v="TI/TC"/>
    <s v="Francisco Elson"/>
    <s v="TI/TC"/>
    <s v="Francisco Elson"/>
    <s v="DGE"/>
    <s v="NA"/>
    <s v="-"/>
    <s v="Sistemas Rádios da Distribuidora"/>
    <s v="Aquisição de Sistemas Rádios da Distribuidora para estações de comunicação"/>
    <s v="Perda de comunicação por falta de alimentação comercial, penalidades previstas em copntrato"/>
    <s v="Revisão do escopo do projeto, com postergação do desembolso conforme cronograma de execução."/>
    <n v="0"/>
    <n v="0"/>
    <n v="0"/>
    <n v="0"/>
    <n v="0"/>
    <n v="0"/>
    <n v="0"/>
    <n v="0"/>
    <n v="0"/>
    <n v="0"/>
    <n v="0"/>
    <n v="0"/>
    <n v="0"/>
    <n v="0"/>
    <n v="0"/>
    <n v="0"/>
    <n v="0"/>
    <n v="0"/>
    <n v="0"/>
    <n v="0"/>
    <n v="0"/>
    <n v="0"/>
    <n v="0"/>
    <n v="0"/>
    <n v="0"/>
    <n v="0"/>
    <n v="0"/>
    <n v="0"/>
    <n v="0"/>
    <n v="0"/>
    <n v="0"/>
    <n v="0"/>
    <n v="0"/>
    <n v="0"/>
    <n v="0"/>
    <n v="332"/>
    <n v="0"/>
    <n v="0"/>
    <n v="332"/>
    <n v="0"/>
    <n v="0"/>
    <n v="0"/>
    <n v="0"/>
    <n v="0"/>
    <n v="0"/>
    <n v="0"/>
    <n v="0"/>
    <n v="0"/>
    <n v="0"/>
    <n v="195"/>
    <n v="0"/>
    <n v="195"/>
    <n v="0"/>
    <n v="0"/>
    <n v="0"/>
    <n v="0"/>
    <n v="0"/>
    <n v="0"/>
    <n v="0"/>
    <n v="0"/>
    <n v="0"/>
    <n v="0"/>
    <n v="0"/>
    <n v="65.078000000000003"/>
    <n v="65.078000000000003"/>
    <n v="592.07799999999997"/>
  </r>
  <r>
    <x v="0"/>
    <x v="9"/>
    <s v="TI/TC"/>
    <s v="Roberto Sebastião"/>
    <s v="TI/TC"/>
    <s v="Roberto Sebastião"/>
    <s v="DGE"/>
    <s v="NA"/>
    <s v="-"/>
    <s v="Antivirus para 9500 estações de trabalho e servidores"/>
    <s v="Aquisição de licenciamento de _x000a_software Antivirus "/>
    <s v="Infecção de microcomputadores da Cemig, provocando indisponibiloidade e roubo de informações"/>
    <s v="-"/>
    <n v="0"/>
    <n v="0"/>
    <n v="0"/>
    <n v="0"/>
    <n v="0"/>
    <n v="0"/>
    <n v="0"/>
    <n v="0"/>
    <n v="0"/>
    <n v="0"/>
    <n v="0"/>
    <n v="0"/>
    <n v="0"/>
    <n v="0"/>
    <n v="0"/>
    <n v="0"/>
    <n v="0"/>
    <n v="0"/>
    <n v="0"/>
    <n v="0"/>
    <n v="0"/>
    <n v="0"/>
    <n v="0"/>
    <n v="0"/>
    <n v="0"/>
    <n v="0"/>
    <n v="0"/>
    <n v="0"/>
    <n v="900"/>
    <n v="0"/>
    <n v="0"/>
    <n v="0"/>
    <n v="0"/>
    <n v="0"/>
    <n v="0"/>
    <n v="0"/>
    <n v="0"/>
    <n v="0"/>
    <n v="900"/>
    <n v="0"/>
    <n v="0"/>
    <n v="0"/>
    <n v="0"/>
    <n v="0"/>
    <n v="0"/>
    <n v="0"/>
    <n v="0"/>
    <n v="0"/>
    <n v="0"/>
    <n v="0"/>
    <n v="0"/>
    <n v="0"/>
    <n v="0"/>
    <n v="0"/>
    <n v="0"/>
    <n v="0"/>
    <n v="0"/>
    <n v="0"/>
    <n v="0"/>
    <n v="0"/>
    <n v="0"/>
    <n v="0"/>
    <n v="0"/>
    <n v="0"/>
    <n v="0"/>
    <n v="900"/>
  </r>
  <r>
    <x v="0"/>
    <x v="9"/>
    <s v="TI/TC"/>
    <s v="Roberto Sebastião"/>
    <s v="TI/TC"/>
    <s v="Roberto Sebastião"/>
    <s v="DGE"/>
    <s v="TI01118"/>
    <s v="TINV.18.D.054.SO"/>
    <s v="Aquisição de Produtos e Serviços de Segurança da Informação."/>
    <s v="Renovação dos produtos que garantem a segurança da Informação na Cemig; Renovação do Serviço de Operação da Infraestrutura de Segurança de Informação da Cemig; Renovação do serviço de análise de Vulnerabilidade dos sistemas da rede Cemig."/>
    <s v="Descontinuidade de serviços informatizados_x000a_Roubo de informações confidenciais e invasão de redes corporativas"/>
    <s v="Revisão do escopo do projeto, conforme definições da estrutura de segurança e conectividade."/>
    <n v="0"/>
    <n v="0"/>
    <n v="0"/>
    <n v="1236.459716796875"/>
    <n v="0"/>
    <n v="0"/>
    <n v="0"/>
    <n v="0"/>
    <n v="0"/>
    <n v="0"/>
    <n v="0"/>
    <n v="0"/>
    <n v="0"/>
    <n v="0"/>
    <n v="0"/>
    <n v="0"/>
    <n v="0"/>
    <n v="0"/>
    <n v="0"/>
    <n v="0"/>
    <n v="0"/>
    <n v="0"/>
    <n v="0"/>
    <n v="0"/>
    <n v="0"/>
    <n v="0"/>
    <n v="0"/>
    <n v="0"/>
    <n v="0"/>
    <n v="0"/>
    <n v="0"/>
    <n v="0"/>
    <n v="0"/>
    <n v="0"/>
    <n v="0"/>
    <n v="0"/>
    <n v="0"/>
    <n v="0"/>
    <n v="0"/>
    <n v="0"/>
    <n v="0"/>
    <n v="0"/>
    <n v="0"/>
    <n v="0"/>
    <n v="1000"/>
    <n v="0"/>
    <n v="0"/>
    <n v="0"/>
    <n v="0"/>
    <n v="0"/>
    <n v="0"/>
    <n v="1000"/>
    <n v="0"/>
    <n v="0"/>
    <n v="0"/>
    <n v="0"/>
    <n v="0"/>
    <n v="0"/>
    <n v="0"/>
    <n v="0"/>
    <n v="0"/>
    <n v="0"/>
    <n v="0"/>
    <n v="0"/>
    <n v="0"/>
    <n v="1000"/>
  </r>
  <r>
    <x v="0"/>
    <x v="9"/>
    <s v="TI/TC"/>
    <s v="Francisco Elson"/>
    <s v="TI/TC"/>
    <s v="Francisco Elson"/>
    <s v="DGE"/>
    <s v="NA"/>
    <s v="-"/>
    <s v="Aquisição de software específicos para estudos de enlace e cobertura"/>
    <s v="-"/>
    <s v="-"/>
    <s v="-"/>
    <n v="0"/>
    <n v="0"/>
    <n v="0"/>
    <n v="0"/>
    <n v="0"/>
    <n v="0"/>
    <n v="0"/>
    <n v="0"/>
    <n v="0"/>
    <n v="0"/>
    <n v="0"/>
    <n v="0"/>
    <n v="0"/>
    <n v="0"/>
    <n v="0"/>
    <n v="0"/>
    <n v="0"/>
    <n v="0"/>
    <n v="0"/>
    <n v="0"/>
    <n v="0"/>
    <n v="0"/>
    <n v="0"/>
    <n v="250"/>
    <n v="0"/>
    <n v="250"/>
    <n v="0"/>
    <n v="0"/>
    <n v="0"/>
    <n v="0"/>
    <n v="0"/>
    <n v="0"/>
    <n v="0"/>
    <n v="0"/>
    <n v="0"/>
    <n v="0"/>
    <n v="250"/>
    <n v="0"/>
    <n v="250"/>
    <n v="0"/>
    <n v="0"/>
    <n v="0"/>
    <n v="0"/>
    <n v="0"/>
    <n v="0"/>
    <n v="0"/>
    <n v="0"/>
    <n v="0"/>
    <n v="0"/>
    <n v="0"/>
    <n v="0"/>
    <n v="0"/>
    <n v="0"/>
    <n v="0"/>
    <n v="0"/>
    <n v="0"/>
    <n v="0"/>
    <n v="0"/>
    <n v="0"/>
    <n v="0"/>
    <n v="0"/>
    <n v="0"/>
    <n v="0"/>
    <n v="0"/>
    <n v="0"/>
    <n v="500"/>
  </r>
  <r>
    <x v="0"/>
    <x v="9"/>
    <s v="TI/TC"/>
    <s v="Roberto Sebastião"/>
    <s v="TI/TC"/>
    <s v="Roberto Sebastião"/>
    <s v="DGE"/>
    <s v="NA"/>
    <s v="-"/>
    <s v="Aquisição do SIEM "/>
    <s v="Solução de Gerenciamento e Correlação de Eventos de Segurança"/>
    <s v="Descumprimento de controles de Auditoria e riscos de ataques em função de não correlação de logs de segurança"/>
    <s v="-"/>
    <n v="0"/>
    <n v="0"/>
    <n v="0"/>
    <n v="0"/>
    <n v="0"/>
    <n v="0"/>
    <n v="0"/>
    <n v="0"/>
    <n v="0"/>
    <n v="0"/>
    <n v="0"/>
    <n v="0"/>
    <n v="0"/>
    <n v="0"/>
    <n v="0"/>
    <n v="0"/>
    <n v="0"/>
    <n v="0"/>
    <n v="0"/>
    <n v="0"/>
    <n v="0"/>
    <n v="0"/>
    <n v="0"/>
    <n v="0"/>
    <n v="0"/>
    <n v="0"/>
    <n v="0"/>
    <n v="0"/>
    <n v="1500"/>
    <n v="0"/>
    <n v="0"/>
    <n v="0"/>
    <n v="0"/>
    <n v="0"/>
    <n v="0"/>
    <n v="0"/>
    <n v="0"/>
    <n v="0"/>
    <n v="1500"/>
    <n v="0"/>
    <n v="0"/>
    <n v="0"/>
    <n v="0"/>
    <n v="0"/>
    <n v="0"/>
    <n v="0"/>
    <n v="0"/>
    <n v="0"/>
    <n v="0"/>
    <n v="0"/>
    <n v="0"/>
    <n v="0"/>
    <n v="0"/>
    <n v="0"/>
    <n v="0"/>
    <n v="0"/>
    <n v="0"/>
    <n v="0"/>
    <n v="0"/>
    <n v="0"/>
    <n v="0"/>
    <n v="0"/>
    <n v="0"/>
    <n v="0"/>
    <n v="0"/>
    <n v="1500"/>
  </r>
  <r>
    <x v="0"/>
    <x v="9"/>
    <s v="TI/TC"/>
    <s v="Roberto Sebastião"/>
    <s v="TI/TC"/>
    <s v="Roberto Sebastião"/>
    <s v="DGE"/>
    <s v="TI02618"/>
    <s v="TINV.18.D.054.RD"/>
    <s v="Equipamentos e Softwares da Rede de Dados"/>
    <m/>
    <m/>
    <s v="Revisão do escopo do projeto, conforme definições da estrutura de segurança e conectividade."/>
    <n v="0"/>
    <n v="0"/>
    <n v="0"/>
    <n v="0"/>
    <n v="0"/>
    <n v="0"/>
    <n v="0"/>
    <n v="0"/>
    <n v="0"/>
    <n v="0"/>
    <n v="1225"/>
    <n v="0"/>
    <n v="1225"/>
    <n v="0"/>
    <n v="0"/>
    <n v="0"/>
    <n v="0"/>
    <n v="0"/>
    <n v="0"/>
    <n v="0"/>
    <n v="0"/>
    <n v="0"/>
    <n v="0"/>
    <n v="0"/>
    <n v="0"/>
    <n v="0"/>
    <n v="0"/>
    <n v="0"/>
    <n v="0"/>
    <n v="0"/>
    <n v="0"/>
    <n v="0"/>
    <n v="0"/>
    <n v="0"/>
    <n v="0"/>
    <n v="0"/>
    <n v="0"/>
    <n v="0"/>
    <n v="0"/>
    <n v="0"/>
    <n v="0"/>
    <n v="0"/>
    <n v="0"/>
    <n v="0"/>
    <n v="1150"/>
    <n v="0"/>
    <n v="0"/>
    <n v="0"/>
    <n v="0"/>
    <n v="0"/>
    <n v="0"/>
    <n v="1150"/>
    <n v="0"/>
    <n v="0"/>
    <n v="0"/>
    <n v="0"/>
    <n v="0"/>
    <n v="0"/>
    <n v="0"/>
    <n v="0"/>
    <n v="0"/>
    <n v="0"/>
    <n v="0"/>
    <n v="0"/>
    <n v="0"/>
    <n v="2375"/>
  </r>
  <r>
    <x v="0"/>
    <x v="9"/>
    <s v="TI/TC"/>
    <s v="Roberto Sebastião"/>
    <s v="TI/TC"/>
    <s v="Roberto Sebastião"/>
    <s v="DGE"/>
    <s v="NA"/>
    <s v="-"/>
    <s v="Equipamentos para as redes LAN e WAN dos sites do interior"/>
    <s v="Troca de equipamentos de rede LAN de sites do interior de Minas, em função de obsolescência do parque"/>
    <s v="Alto índice de defeitos e falhas nestes equipamentos provocando indisponibilidades de rede das localidades onde eles estão instalados."/>
    <s v="Revisão do escopo do projeto, conforme definições da estrutura de segurança e conectividade."/>
    <n v="0"/>
    <n v="0"/>
    <n v="0"/>
    <n v="0"/>
    <n v="0"/>
    <n v="0"/>
    <n v="0"/>
    <n v="0"/>
    <n v="0"/>
    <n v="0"/>
    <n v="0"/>
    <n v="0"/>
    <n v="0"/>
    <n v="0"/>
    <n v="200"/>
    <n v="1760"/>
    <n v="222"/>
    <n v="0"/>
    <n v="0"/>
    <n v="0"/>
    <n v="0"/>
    <n v="0"/>
    <n v="0"/>
    <n v="0"/>
    <n v="0"/>
    <n v="2182"/>
    <n v="0"/>
    <n v="0"/>
    <n v="0"/>
    <n v="0"/>
    <n v="0"/>
    <n v="0"/>
    <n v="0"/>
    <n v="0"/>
    <n v="0"/>
    <n v="0"/>
    <n v="0"/>
    <n v="0"/>
    <n v="0"/>
    <n v="0"/>
    <n v="0"/>
    <n v="0"/>
    <n v="0"/>
    <n v="0"/>
    <n v="0"/>
    <n v="0"/>
    <n v="0"/>
    <n v="0"/>
    <n v="0"/>
    <n v="0"/>
    <n v="0"/>
    <n v="0"/>
    <n v="0"/>
    <n v="0"/>
    <n v="0"/>
    <n v="0"/>
    <n v="0"/>
    <n v="0"/>
    <n v="0"/>
    <n v="0"/>
    <n v="0"/>
    <n v="0"/>
    <n v="0"/>
    <n v="0"/>
    <n v="0"/>
    <n v="2182"/>
  </r>
  <r>
    <x v="0"/>
    <x v="9"/>
    <s v="TI/TC"/>
    <s v="Roberto Sebastião"/>
    <s v="TI/TC"/>
    <s v="Roberto Sebastião"/>
    <s v="DGE"/>
    <s v="TI05518"/>
    <s v="TINV.18.D.054.EP"/>
    <s v="Equipamentos SPARE (Readequações Rede Operativa)"/>
    <s v="Aquisição e implantação de equipamentos para atualização tecnológica de estruturas de redes Operativas e Corporativas envolvendo Rede Subterrânea e SCADA; Melhoria da disponibilidade e do desempenho de estruturas de rede que suportam aplicações críticas."/>
    <s v="Indisponibilidade de estruturas Operativas e Corporativas  em função de falhas de rede e falta de equipamentos Reserva para substituição; Indisponibilidade de estruturas Operativas e Corporativas  em função de falhas  de equipamentos por obsolescência."/>
    <s v="Revisão do escopo do projeto, conforme definições da estrutura de segurança e conectividade."/>
    <n v="0"/>
    <n v="0"/>
    <n v="0"/>
    <n v="0"/>
    <n v="0"/>
    <n v="0"/>
    <n v="0"/>
    <n v="0"/>
    <n v="0"/>
    <n v="0"/>
    <n v="760"/>
    <n v="0"/>
    <n v="760"/>
    <n v="0"/>
    <n v="0"/>
    <n v="0"/>
    <n v="0"/>
    <n v="0"/>
    <n v="0"/>
    <n v="0"/>
    <n v="0"/>
    <n v="0"/>
    <n v="0"/>
    <n v="0"/>
    <n v="0"/>
    <n v="0"/>
    <n v="0"/>
    <n v="0"/>
    <n v="0"/>
    <n v="0"/>
    <n v="0"/>
    <n v="0"/>
    <n v="0"/>
    <n v="0"/>
    <n v="0"/>
    <n v="0"/>
    <n v="0"/>
    <n v="0"/>
    <n v="0"/>
    <n v="0"/>
    <n v="0"/>
    <n v="0"/>
    <n v="0"/>
    <n v="0"/>
    <n v="0"/>
    <n v="0"/>
    <n v="0"/>
    <n v="0"/>
    <n v="0"/>
    <n v="0"/>
    <n v="0"/>
    <n v="0"/>
    <n v="0"/>
    <n v="0"/>
    <n v="0"/>
    <n v="0"/>
    <n v="0"/>
    <n v="0"/>
    <n v="0"/>
    <n v="0"/>
    <n v="0"/>
    <n v="0"/>
    <n v="0"/>
    <n v="0"/>
    <n v="0"/>
    <n v="760"/>
  </r>
  <r>
    <x v="0"/>
    <x v="9"/>
    <s v="TI/TC"/>
    <s v="Roberto Sebastião"/>
    <s v="TI/TC"/>
    <s v="Roberto Sebastião"/>
    <s v="DGE"/>
    <s v="TI03318"/>
    <s v="TINV.18.D.054.FW"/>
    <s v="Firewall Corporativo"/>
    <s v="Solução de Rede Baseada em Firewall para proteção de Rede Corporativa"/>
    <s v="Computadores infectados ou usuários não autorizados podem ter acesso à rede, provocando infecções, roubo de informações, indisponibilidade de serviços etc..."/>
    <s v="Revisão do escopo do projeto, conforme definições da estrutura de segurança e conectividade."/>
    <n v="0"/>
    <n v="0"/>
    <n v="0"/>
    <n v="0"/>
    <n v="0"/>
    <n v="0"/>
    <n v="232.37596130371094"/>
    <n v="0"/>
    <n v="0"/>
    <n v="0"/>
    <n v="0"/>
    <n v="12.624050000000011"/>
    <n v="12.624050000000011"/>
    <n v="0"/>
    <n v="0"/>
    <n v="0"/>
    <n v="0"/>
    <n v="0"/>
    <n v="0"/>
    <n v="0"/>
    <n v="0"/>
    <n v="935"/>
    <n v="0"/>
    <n v="0"/>
    <n v="0"/>
    <n v="935"/>
    <n v="0"/>
    <n v="0"/>
    <n v="0"/>
    <n v="0"/>
    <n v="0"/>
    <n v="0"/>
    <n v="0"/>
    <n v="0"/>
    <n v="0"/>
    <n v="0"/>
    <n v="0"/>
    <n v="0"/>
    <n v="0"/>
    <n v="0"/>
    <n v="0"/>
    <n v="0"/>
    <n v="0"/>
    <n v="1105"/>
    <n v="0"/>
    <n v="0"/>
    <n v="0"/>
    <n v="0"/>
    <n v="0"/>
    <n v="0"/>
    <n v="0"/>
    <n v="1105"/>
    <n v="0"/>
    <n v="0"/>
    <n v="0"/>
    <n v="0"/>
    <n v="0"/>
    <n v="0"/>
    <n v="0"/>
    <n v="0"/>
    <n v="0"/>
    <n v="0"/>
    <n v="0"/>
    <n v="0"/>
    <n v="0"/>
    <n v="2052.6240499999999"/>
  </r>
  <r>
    <x v="0"/>
    <x v="9"/>
    <s v="TI/TC"/>
    <s v="Roberto Sebastião"/>
    <s v="TI/TC"/>
    <s v="Roberto Sebastião"/>
    <s v="DGE"/>
    <s v="TI06518"/>
    <s v="TINV.18.D.054.FI"/>
    <s v="Firewall para implantação de Internet Descentralizada"/>
    <s v="Solução de Rede Baseada em Firewall para implantação de acesso descentralizado à Internet"/>
    <s v="Necessidades constantes de aumento de links, sem opção de trafegar dados menos prioritários por canais de mais baixo custo."/>
    <s v="Revisão do escopo do projeto, conforme definições da estrutura de segurança e conectividade."/>
    <n v="0"/>
    <n v="0"/>
    <n v="0"/>
    <n v="0"/>
    <n v="0"/>
    <n v="0"/>
    <n v="0"/>
    <n v="0"/>
    <n v="0"/>
    <n v="0"/>
    <n v="130"/>
    <n v="992.60844000000009"/>
    <n v="1122.60844"/>
    <n v="172.73974000000001"/>
    <n v="64.651820000000001"/>
    <n v="0"/>
    <n v="0"/>
    <n v="0"/>
    <n v="0"/>
    <n v="0"/>
    <n v="0"/>
    <n v="0"/>
    <n v="0"/>
    <n v="0"/>
    <n v="0"/>
    <n v="237.39156000000003"/>
    <n v="0"/>
    <n v="0"/>
    <n v="337"/>
    <n v="63"/>
    <n v="0"/>
    <n v="0"/>
    <n v="0"/>
    <n v="0"/>
    <n v="0"/>
    <n v="0"/>
    <n v="0"/>
    <n v="0"/>
    <n v="400"/>
    <n v="0"/>
    <n v="0"/>
    <n v="0"/>
    <n v="0"/>
    <n v="0"/>
    <n v="0"/>
    <n v="0"/>
    <n v="0"/>
    <n v="0"/>
    <n v="0"/>
    <n v="0"/>
    <n v="0"/>
    <n v="0"/>
    <n v="0"/>
    <n v="0"/>
    <n v="0"/>
    <n v="0"/>
    <n v="0"/>
    <n v="0"/>
    <n v="0"/>
    <n v="0"/>
    <n v="0"/>
    <n v="0"/>
    <n v="0"/>
    <n v="0"/>
    <n v="0"/>
    <n v="1760"/>
  </r>
  <r>
    <x v="0"/>
    <x v="9"/>
    <s v="TI/TC"/>
    <s v="Roberto Sebastião"/>
    <s v="TI/TC"/>
    <s v="Roberto Sebastião"/>
    <s v="DGE"/>
    <s v="NA"/>
    <s v="-"/>
    <s v="Firewall para Segurança de SEs e Salas de Telemática"/>
    <s v="Solução de Rede Baseada em Firewall paragarantir segurança de borda para Ses"/>
    <s v="Riscos de Invasão a redes de Ses provocando indisponibilidade e perda de Operação por parte dos Centros de Gerência"/>
    <s v="Revisão do escopo do projeto, conforme definições da estrutura de segurança e conectividade."/>
    <n v="0"/>
    <n v="0"/>
    <n v="0"/>
    <n v="0"/>
    <n v="0"/>
    <n v="0"/>
    <n v="0"/>
    <n v="0"/>
    <n v="0"/>
    <n v="0"/>
    <n v="0"/>
    <n v="0"/>
    <n v="0"/>
    <n v="0"/>
    <n v="0"/>
    <n v="0"/>
    <n v="0"/>
    <n v="0"/>
    <n v="1880"/>
    <n v="451"/>
    <n v="0"/>
    <n v="0"/>
    <n v="0"/>
    <n v="0"/>
    <n v="0"/>
    <n v="2331"/>
    <n v="0"/>
    <n v="0"/>
    <n v="337"/>
    <n v="63"/>
    <n v="0"/>
    <n v="0"/>
    <n v="0"/>
    <n v="0"/>
    <n v="0"/>
    <n v="0"/>
    <n v="0"/>
    <n v="0"/>
    <n v="400"/>
    <n v="0"/>
    <n v="0"/>
    <n v="0"/>
    <n v="0"/>
    <n v="0"/>
    <n v="0"/>
    <n v="0"/>
    <n v="0"/>
    <n v="0"/>
    <n v="0"/>
    <n v="0"/>
    <n v="0"/>
    <n v="0"/>
    <n v="0"/>
    <n v="0"/>
    <n v="0"/>
    <n v="0"/>
    <n v="0"/>
    <n v="0"/>
    <n v="0"/>
    <n v="0"/>
    <n v="0"/>
    <n v="0"/>
    <n v="0"/>
    <n v="0"/>
    <n v="0"/>
    <n v="2731"/>
  </r>
  <r>
    <x v="0"/>
    <x v="9"/>
    <s v="TI/TC"/>
    <s v="Roberto Sebastião"/>
    <s v="TI/TC"/>
    <s v="Roberto Sebastião"/>
    <s v="DGE"/>
    <s v="TI00818"/>
    <s v="TINV.18.D.054.GW"/>
    <s v="Gateway de Acesso à Internet e Acesso a Email"/>
    <s v="Solução de Proxys de acesso à_x000a_ Internet e gateway de correio eletrônico, que visa proteger a rede interna da Cemig contra acessos Indevidos à Internet."/>
    <s v="Impossibilidade de controle no acesso à Internet e risco de Invasões decorrentes de acessos a sites e páginas com virus e conteúdos maliciosos."/>
    <s v="Revisão do escopo do projeto, conforme definições da estrutura de segurança e conectividade."/>
    <n v="0"/>
    <n v="0"/>
    <n v="0"/>
    <n v="0"/>
    <n v="0"/>
    <n v="0"/>
    <n v="0"/>
    <n v="0"/>
    <n v="0"/>
    <n v="0"/>
    <n v="0"/>
    <n v="0"/>
    <n v="0"/>
    <n v="0"/>
    <n v="0"/>
    <n v="1115"/>
    <n v="268"/>
    <n v="0"/>
    <n v="0"/>
    <n v="0"/>
    <n v="0"/>
    <n v="0"/>
    <n v="0"/>
    <n v="0"/>
    <n v="0"/>
    <n v="1383"/>
    <n v="0"/>
    <n v="847"/>
    <n v="159"/>
    <n v="0"/>
    <n v="0"/>
    <n v="0"/>
    <n v="0"/>
    <n v="0"/>
    <n v="0"/>
    <n v="0"/>
    <n v="0"/>
    <n v="0"/>
    <n v="1006"/>
    <n v="0"/>
    <n v="0"/>
    <n v="0"/>
    <n v="0"/>
    <n v="0"/>
    <n v="0"/>
    <n v="0"/>
    <n v="0"/>
    <n v="0"/>
    <n v="0"/>
    <n v="0"/>
    <n v="0"/>
    <n v="0"/>
    <n v="0"/>
    <n v="0"/>
    <n v="0"/>
    <n v="0"/>
    <n v="0"/>
    <n v="0"/>
    <n v="0"/>
    <n v="0"/>
    <n v="0"/>
    <n v="0"/>
    <n v="0"/>
    <n v="0"/>
    <n v="0"/>
    <n v="2389"/>
  </r>
  <r>
    <x v="0"/>
    <x v="9"/>
    <s v="TI/TC"/>
    <s v="Roberto Sebastião"/>
    <s v="TI/TC"/>
    <s v="Roberto Sebastião"/>
    <s v="DGE"/>
    <s v="TI05618"/>
    <s v="TINV.18.D.054.ME"/>
    <s v="Merit Conectividade - Triângulo  e Metropolitano"/>
    <s v="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
    <s v="Indisponibilidade de aplicações Operativas em função de falhas de rede; Gastos que poderiam ser evitados com canais de comunicação de Operadoras."/>
    <s v="Revisão do escopo do projeto, conforme definições da estrutura de segurança e conectividade."/>
    <n v="0"/>
    <n v="0"/>
    <n v="0"/>
    <n v="0"/>
    <n v="0"/>
    <n v="0"/>
    <n v="0"/>
    <n v="0"/>
    <n v="0"/>
    <n v="0"/>
    <n v="160"/>
    <n v="1705"/>
    <n v="1865"/>
    <n v="0"/>
    <n v="0"/>
    <n v="0"/>
    <n v="0"/>
    <n v="0"/>
    <n v="0"/>
    <n v="0"/>
    <n v="0"/>
    <n v="0"/>
    <n v="0"/>
    <n v="0"/>
    <n v="0"/>
    <n v="0"/>
    <n v="0"/>
    <n v="0"/>
    <n v="0"/>
    <n v="0"/>
    <n v="0"/>
    <n v="0"/>
    <n v="0"/>
    <n v="0"/>
    <n v="0"/>
    <n v="0"/>
    <n v="0"/>
    <n v="0"/>
    <n v="0"/>
    <n v="0"/>
    <n v="0"/>
    <n v="0"/>
    <n v="0"/>
    <n v="0"/>
    <n v="0"/>
    <n v="0"/>
    <n v="0"/>
    <n v="0"/>
    <n v="0"/>
    <n v="0"/>
    <n v="0"/>
    <n v="0"/>
    <n v="0"/>
    <n v="0"/>
    <n v="0"/>
    <n v="0"/>
    <n v="0"/>
    <n v="0"/>
    <n v="0"/>
    <n v="0"/>
    <n v="0"/>
    <n v="0"/>
    <n v="0"/>
    <n v="0"/>
    <n v="0"/>
    <n v="1865"/>
  </r>
  <r>
    <x v="0"/>
    <x v="9"/>
    <s v="TI/TC"/>
    <s v="Roberto Sebastião"/>
    <s v="TI/TC"/>
    <s v="Roberto Sebastião"/>
    <s v="DGE"/>
    <s v="NA"/>
    <s v="-"/>
    <s v="Pontes fase 2 - Aquisição de Routers para eliminação de Terminais Servers"/>
    <m/>
    <m/>
    <s v="-"/>
    <n v="0"/>
    <n v="0"/>
    <n v="0"/>
    <n v="0"/>
    <n v="0"/>
    <n v="0"/>
    <n v="0"/>
    <n v="0"/>
    <n v="0"/>
    <n v="0"/>
    <n v="0"/>
    <n v="0"/>
    <n v="0"/>
    <n v="0"/>
    <n v="0"/>
    <n v="0"/>
    <n v="0"/>
    <n v="0"/>
    <n v="0"/>
    <n v="0"/>
    <n v="1400"/>
    <n v="0"/>
    <n v="0"/>
    <n v="0"/>
    <n v="0"/>
    <n v="1400"/>
    <n v="0"/>
    <n v="0"/>
    <n v="0"/>
    <n v="0"/>
    <n v="0"/>
    <n v="0"/>
    <n v="0"/>
    <n v="0"/>
    <n v="0"/>
    <n v="0"/>
    <n v="0"/>
    <n v="0"/>
    <n v="0"/>
    <n v="0"/>
    <n v="0"/>
    <n v="0"/>
    <n v="0"/>
    <n v="0"/>
    <n v="0"/>
    <n v="0"/>
    <n v="0"/>
    <n v="0"/>
    <n v="0"/>
    <n v="0"/>
    <n v="0"/>
    <n v="0"/>
    <n v="0"/>
    <n v="0"/>
    <n v="0"/>
    <n v="0"/>
    <n v="0"/>
    <n v="0"/>
    <n v="0"/>
    <n v="0"/>
    <n v="0"/>
    <n v="0"/>
    <n v="0"/>
    <n v="0"/>
    <n v="0"/>
    <n v="1400"/>
  </r>
  <r>
    <x v="0"/>
    <x v="9"/>
    <s v="TI/TC"/>
    <s v="Roberto Sebastião"/>
    <s v="TI/TC"/>
    <s v="Roberto Sebastião"/>
    <s v="DGE"/>
    <s v="TI00918"/>
    <s v="TINV.18.D.054.EX"/>
    <s v="Proteção Gateway Exchange"/>
    <s v="Antivirus para verificação de ameaças em caixas particulares de emails"/>
    <s v="Contaminação com virus e outros Malwares de arquivos contidos em pastas particulares do exchange"/>
    <s v="Revisão do escopo do projeto, conforme definições da estrutura de segurança e conectividade."/>
    <n v="0"/>
    <n v="0"/>
    <n v="0"/>
    <n v="0"/>
    <n v="0"/>
    <n v="0"/>
    <n v="0"/>
    <n v="0"/>
    <n v="0"/>
    <n v="0"/>
    <n v="0"/>
    <n v="0"/>
    <n v="0"/>
    <n v="0"/>
    <n v="0"/>
    <n v="843"/>
    <n v="202"/>
    <n v="0"/>
    <n v="0"/>
    <n v="0"/>
    <n v="0"/>
    <n v="0"/>
    <n v="0"/>
    <n v="0"/>
    <n v="0"/>
    <n v="1045"/>
    <n v="0"/>
    <n v="0"/>
    <n v="710"/>
    <n v="133"/>
    <n v="0"/>
    <n v="0"/>
    <n v="0"/>
    <n v="0"/>
    <n v="0"/>
    <n v="0"/>
    <n v="0"/>
    <n v="0"/>
    <n v="843"/>
    <n v="0"/>
    <n v="0"/>
    <n v="0"/>
    <n v="0"/>
    <n v="0"/>
    <n v="0"/>
    <n v="0"/>
    <n v="0"/>
    <n v="0"/>
    <n v="0"/>
    <n v="0"/>
    <n v="0"/>
    <n v="0"/>
    <n v="0"/>
    <n v="0"/>
    <n v="0"/>
    <n v="0"/>
    <n v="1160"/>
    <n v="0"/>
    <n v="0"/>
    <n v="0"/>
    <n v="0"/>
    <n v="0"/>
    <n v="0"/>
    <n v="0"/>
    <n v="1160"/>
    <n v="3048"/>
  </r>
  <r>
    <x v="0"/>
    <x v="9"/>
    <s v="TI/TC"/>
    <s v="Roberto Sebastião"/>
    <s v="TI/TC"/>
    <s v="Roberto Sebastião"/>
    <s v="DDC"/>
    <s v="TI05418"/>
    <s v="TINV.18.D.054.DM"/>
    <s v="Readequações DMZs"/>
    <s v="Aquisição de solução e ativos de Rede IP para reestruturação das DMZs das redes Corporativa e Operativa da Cemig; Atualização tecnológica da solução, que garante segmentação de redes para prover segurança contra ataques cibernéticos."/>
    <s v="Indisponibilidade de sistemas críticos, provocada por ataques cibernéticos; Indisponibilidade de sistemas críticos, provocada porfalhas em equipamentos desatualizados e sem suporte do fabricante; Roubo de informações críticas em decorrência de ataques cibernéticos."/>
    <s v="Revisão de escopo. Antecipação de desembolso em virtude de requisito de segurança de rede."/>
    <n v="0"/>
    <n v="0"/>
    <n v="0"/>
    <n v="0"/>
    <n v="0"/>
    <n v="0"/>
    <n v="0"/>
    <n v="0"/>
    <n v="0"/>
    <n v="0"/>
    <n v="0"/>
    <n v="500"/>
    <n v="500"/>
    <n v="0"/>
    <n v="0"/>
    <n v="0"/>
    <n v="0"/>
    <n v="0"/>
    <n v="0"/>
    <n v="0"/>
    <n v="0"/>
    <n v="0"/>
    <n v="0"/>
    <n v="0"/>
    <n v="0"/>
    <n v="0"/>
    <n v="0"/>
    <n v="0"/>
    <n v="0"/>
    <n v="0"/>
    <n v="0"/>
    <n v="0"/>
    <n v="0"/>
    <n v="0"/>
    <n v="0"/>
    <n v="0"/>
    <n v="0"/>
    <n v="0"/>
    <n v="0"/>
    <n v="0"/>
    <n v="0"/>
    <n v="0"/>
    <n v="0"/>
    <n v="0"/>
    <n v="0"/>
    <n v="0"/>
    <n v="0"/>
    <n v="0"/>
    <n v="0"/>
    <n v="0"/>
    <n v="0"/>
    <n v="0"/>
    <n v="0"/>
    <n v="0"/>
    <n v="0"/>
    <n v="0"/>
    <n v="0"/>
    <n v="0"/>
    <n v="0"/>
    <n v="0"/>
    <n v="0"/>
    <n v="0"/>
    <n v="0"/>
    <n v="0"/>
    <n v="0"/>
    <n v="500"/>
  </r>
  <r>
    <x v="0"/>
    <x v="9"/>
    <s v="TI/TC"/>
    <s v="Roberto Sebastião"/>
    <s v="TI/TC"/>
    <s v="Roberto Sebastião"/>
    <s v="DGE"/>
    <s v="TI01218"/>
    <s v="TINV.18.D.054.GR"/>
    <s v="Renovação softwares de gerência de rede Cisco"/>
    <s v="Softwares de Gerência de Rede Prime, ISE, DHCP, IPAM, MSE, Provision, APIC-EM, Call manager Cisco"/>
    <s v="Riscos de indisponibilidade de Rede por falta de gerência das soluções adotadas."/>
    <s v="Revisão do escopo do projeto, conforme definições da estrutura de segurança e conectividade."/>
    <n v="0"/>
    <n v="0"/>
    <n v="0"/>
    <n v="0"/>
    <n v="0"/>
    <n v="0"/>
    <n v="0"/>
    <n v="0"/>
    <n v="0"/>
    <n v="0"/>
    <n v="0"/>
    <n v="0"/>
    <n v="0"/>
    <n v="0"/>
    <n v="0"/>
    <n v="221"/>
    <n v="58"/>
    <n v="0"/>
    <n v="0"/>
    <n v="0"/>
    <n v="0"/>
    <n v="0"/>
    <n v="0"/>
    <n v="0"/>
    <n v="0"/>
    <n v="279"/>
    <n v="0"/>
    <n v="0"/>
    <n v="193"/>
    <n v="36"/>
    <n v="0"/>
    <n v="0"/>
    <n v="0"/>
    <n v="0"/>
    <n v="0"/>
    <n v="0"/>
    <n v="0"/>
    <n v="0"/>
    <n v="229"/>
    <n v="0"/>
    <n v="0"/>
    <n v="0"/>
    <n v="0"/>
    <n v="0"/>
    <n v="0"/>
    <n v="0"/>
    <n v="0"/>
    <n v="0"/>
    <n v="0"/>
    <n v="0"/>
    <n v="0"/>
    <n v="0"/>
    <n v="0"/>
    <n v="0"/>
    <n v="0"/>
    <n v="0"/>
    <n v="0"/>
    <n v="0"/>
    <n v="0"/>
    <n v="0"/>
    <n v="0"/>
    <n v="0"/>
    <n v="0"/>
    <n v="0"/>
    <n v="0"/>
    <n v="508"/>
  </r>
  <r>
    <x v="0"/>
    <x v="9"/>
    <s v="TI/TC"/>
    <s v="Roberto Sebastião"/>
    <s v="TI/TC"/>
    <s v="Roberto Sebastião"/>
    <s v="DGE"/>
    <s v="TI01018"/>
    <s v="TINV.18.D.054.AP"/>
    <s v="Solução de APT - Proteção contra ataques avançados e direcionados a estruturas de rede e sistemas da Cemig."/>
    <s v="Esta solução protege a rede Cemig contra ataques do tipo APT, que são ataques avançados e direcionados a um alvo específico. Estes ataques visam retirar de operação sistemas críticos."/>
    <s v="Indisponibilidade e baixo desempenho  de ambientes e aplicações operativas e corporativas críticas, roubos bem sucedidos de Informações."/>
    <s v="Revisão do escopo do projeto, conforme definições da estrutura de segurança e conectividade."/>
    <n v="0"/>
    <n v="0"/>
    <n v="0"/>
    <n v="0"/>
    <n v="0"/>
    <n v="0"/>
    <n v="0"/>
    <n v="0"/>
    <n v="0"/>
    <n v="0"/>
    <n v="0"/>
    <n v="0"/>
    <n v="0"/>
    <n v="0"/>
    <n v="0"/>
    <n v="671"/>
    <n v="161"/>
    <n v="0"/>
    <n v="0"/>
    <n v="0"/>
    <n v="0"/>
    <n v="0"/>
    <n v="0"/>
    <n v="0"/>
    <n v="0"/>
    <n v="832"/>
    <n v="0"/>
    <n v="0"/>
    <n v="0"/>
    <n v="0"/>
    <n v="0"/>
    <n v="0"/>
    <n v="0"/>
    <n v="0"/>
    <n v="0"/>
    <n v="0"/>
    <n v="0"/>
    <n v="0"/>
    <n v="0"/>
    <n v="0"/>
    <n v="0"/>
    <n v="0"/>
    <n v="0"/>
    <n v="0"/>
    <n v="0"/>
    <n v="0"/>
    <n v="0"/>
    <n v="0"/>
    <n v="0"/>
    <n v="0"/>
    <n v="0"/>
    <n v="0"/>
    <n v="0"/>
    <n v="0"/>
    <n v="0"/>
    <n v="0"/>
    <n v="878.8"/>
    <n v="0"/>
    <n v="0"/>
    <n v="0"/>
    <n v="0"/>
    <n v="0"/>
    <n v="0"/>
    <n v="0"/>
    <n v="878.8"/>
    <n v="1710.8"/>
  </r>
  <r>
    <x v="0"/>
    <x v="9"/>
    <s v="TI/TC"/>
    <s v="Roberto Sebastião"/>
    <s v="TI/TC"/>
    <s v="Roberto Sebastião"/>
    <s v="DGE"/>
    <s v="TI02718"/>
    <s v="TINV.18.D.054.IP"/>
    <s v="Solução de IPSs (Sistema de Proteção contra ataques provenientes da Internet) - Equipamentos SEDE e Aureliano Chaves"/>
    <s v="Solução para proteção da rede Cemig contra ataques provenientes da Internet"/>
    <s v="Invasões a aplicações e ambientes críticos, com indisponibilidade de ambientes Operativos e Corporativos."/>
    <s v="Revisão do escopo do projeto, conforme definições da estrutura de segurança e conectividade."/>
    <n v="0"/>
    <n v="0"/>
    <n v="0"/>
    <n v="0"/>
    <n v="28.273269653320313"/>
    <n v="114.40226745605469"/>
    <n v="124.59091949462891"/>
    <n v="0"/>
    <n v="0"/>
    <n v="0"/>
    <n v="2955.7335399999997"/>
    <n v="0"/>
    <n v="2955.7335399999997"/>
    <n v="0"/>
    <n v="0"/>
    <n v="0"/>
    <n v="0"/>
    <n v="0"/>
    <n v="0"/>
    <n v="0"/>
    <n v="0"/>
    <n v="0"/>
    <n v="0"/>
    <n v="0"/>
    <n v="0"/>
    <n v="0"/>
    <n v="0"/>
    <n v="0"/>
    <n v="1541"/>
    <n v="368"/>
    <n v="0"/>
    <n v="0"/>
    <n v="0"/>
    <n v="0"/>
    <n v="0"/>
    <n v="0"/>
    <n v="0"/>
    <n v="0"/>
    <n v="1909"/>
    <n v="0"/>
    <n v="0"/>
    <n v="0"/>
    <n v="0"/>
    <n v="0"/>
    <n v="0"/>
    <n v="0"/>
    <n v="0"/>
    <n v="0"/>
    <n v="0"/>
    <n v="0"/>
    <n v="0"/>
    <n v="0"/>
    <n v="0"/>
    <n v="0"/>
    <n v="0"/>
    <n v="0"/>
    <n v="0"/>
    <n v="0"/>
    <n v="0"/>
    <n v="0"/>
    <n v="0"/>
    <n v="0"/>
    <n v="0"/>
    <n v="0"/>
    <n v="0"/>
    <n v="4864.7335399999993"/>
  </r>
  <r>
    <x v="0"/>
    <x v="9"/>
    <s v="TI/TC"/>
    <s v="Roberto Sebastião"/>
    <s v="TI/TC"/>
    <s v="Roberto Sebastião"/>
    <s v="DGE"/>
    <s v="NA"/>
    <s v="-"/>
    <s v="Solução de QOS/Monitoramento de Rede"/>
    <s v="Solução de Monitoramento de Rede  para  prover visibilidade em tempo real e histórica de soluções Operativas. Objetiva garantir os níveis adequados de disponibilidade dos serviços."/>
    <s v="Indisponibilidade e baixo desempenho de aplicações críticas por falta de visibilidade e Gerenciamento."/>
    <s v="Revisão do escopo do projeto, conforme definições da estrutura de segurança e conectividade."/>
    <n v="0"/>
    <n v="0"/>
    <n v="0"/>
    <n v="0"/>
    <n v="0"/>
    <n v="0"/>
    <n v="0"/>
    <n v="0"/>
    <n v="0"/>
    <n v="0"/>
    <n v="0"/>
    <n v="2400"/>
    <n v="2400"/>
    <n v="0"/>
    <n v="0"/>
    <n v="0"/>
    <n v="0"/>
    <n v="0"/>
    <n v="0"/>
    <n v="0"/>
    <n v="0"/>
    <n v="0"/>
    <n v="0"/>
    <n v="0"/>
    <n v="0"/>
    <n v="0"/>
    <n v="0"/>
    <n v="0"/>
    <n v="0"/>
    <n v="0"/>
    <n v="0"/>
    <n v="0"/>
    <n v="0"/>
    <n v="0"/>
    <n v="0"/>
    <n v="0"/>
    <n v="0"/>
    <n v="0"/>
    <n v="0"/>
    <n v="0"/>
    <n v="0"/>
    <n v="0"/>
    <n v="0"/>
    <n v="0"/>
    <n v="0"/>
    <n v="0"/>
    <n v="0"/>
    <n v="0"/>
    <n v="0"/>
    <n v="0"/>
    <n v="0"/>
    <n v="0"/>
    <n v="0"/>
    <n v="0"/>
    <n v="0"/>
    <n v="0"/>
    <n v="0"/>
    <n v="0"/>
    <n v="0"/>
    <n v="0"/>
    <n v="0"/>
    <n v="0"/>
    <n v="0"/>
    <n v="0"/>
    <n v="0"/>
    <n v="2400"/>
  </r>
  <r>
    <x v="0"/>
    <x v="9"/>
    <s v="TI/TC"/>
    <s v="Roberto Sebastião"/>
    <s v="AD/AD"/>
    <s v="Flavio Henrique M. Vieira"/>
    <s v="DGE"/>
    <s v="NA"/>
    <s v="-"/>
    <s v="Substituição de  Terminais Servers nas salas de telemática"/>
    <m/>
    <m/>
    <m/>
    <n v="0"/>
    <n v="0"/>
    <n v="0"/>
    <n v="0"/>
    <n v="0"/>
    <n v="0"/>
    <n v="0"/>
    <n v="0"/>
    <n v="0"/>
    <n v="0"/>
    <n v="0"/>
    <n v="0"/>
    <n v="0"/>
    <n v="220"/>
    <n v="220"/>
    <n v="0"/>
    <n v="0"/>
    <n v="0"/>
    <n v="0"/>
    <n v="0"/>
    <n v="0"/>
    <n v="0"/>
    <n v="0"/>
    <n v="0"/>
    <n v="0"/>
    <n v="440"/>
    <m/>
    <m/>
    <m/>
    <m/>
    <m/>
    <m/>
    <m/>
    <m/>
    <m/>
    <m/>
    <m/>
    <m/>
    <n v="0"/>
    <m/>
    <m/>
    <m/>
    <m/>
    <m/>
    <m/>
    <m/>
    <m/>
    <m/>
    <m/>
    <m/>
    <m/>
    <n v="0"/>
    <m/>
    <m/>
    <m/>
    <m/>
    <m/>
    <m/>
    <m/>
    <m/>
    <m/>
    <m/>
    <m/>
    <m/>
    <n v="0"/>
    <n v="440"/>
  </r>
  <r>
    <x v="0"/>
    <x v="9"/>
    <s v="TI/TC"/>
    <s v="Roberto Sebastião"/>
    <s v="TI/TC"/>
    <s v="Roberto Sebastião"/>
    <s v="DGE"/>
    <s v="NA"/>
    <s v="-"/>
    <s v="WildFire (Palo Alto)"/>
    <m/>
    <m/>
    <s v="Demanda incorporada à carteira, considerando remanejamento entre projetos."/>
    <n v="0"/>
    <n v="0"/>
    <n v="0"/>
    <n v="0"/>
    <n v="0"/>
    <n v="0"/>
    <n v="0"/>
    <n v="0"/>
    <n v="0"/>
    <n v="0"/>
    <n v="0"/>
    <n v="0"/>
    <n v="0"/>
    <n v="0"/>
    <n v="0"/>
    <n v="0"/>
    <n v="0"/>
    <n v="0"/>
    <n v="0"/>
    <n v="0"/>
    <n v="523"/>
    <n v="0"/>
    <n v="0"/>
    <n v="0"/>
    <n v="0"/>
    <n v="523"/>
    <n v="0"/>
    <n v="0"/>
    <n v="0"/>
    <n v="0"/>
    <n v="0"/>
    <n v="0"/>
    <n v="0"/>
    <n v="0"/>
    <n v="0"/>
    <n v="0"/>
    <n v="0"/>
    <n v="0"/>
    <n v="0"/>
    <n v="0"/>
    <n v="0"/>
    <n v="0"/>
    <n v="0"/>
    <n v="0"/>
    <n v="0"/>
    <n v="0"/>
    <n v="0"/>
    <n v="0"/>
    <n v="0"/>
    <n v="0"/>
    <n v="0"/>
    <n v="0"/>
    <m/>
    <m/>
    <m/>
    <m/>
    <m/>
    <m/>
    <m/>
    <m/>
    <m/>
    <m/>
    <m/>
    <m/>
    <n v="0"/>
    <n v="5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ela dinâmica2" cacheId="1" applyNumberFormats="0" applyBorderFormats="0" applyFontFormats="0" applyPatternFormats="0" applyAlignmentFormats="0" applyWidthHeightFormats="1" dataCaption="Valores" updatedVersion="5" minRefreshableVersion="3" itemPrintTitles="1" createdVersion="5" indent="0" compact="0" compactData="0" gridDropZones="1" multipleFieldFilters="0" chartFormat="23">
  <location ref="B4:I30" firstHeaderRow="1" firstDataRow="2" firstDataCol="2"/>
  <pivotFields count="79">
    <pivotField name="Negócio" axis="axisRow" compact="0" outline="0" showAll="0">
      <items count="5">
        <item x="1"/>
        <item x="2"/>
        <item x="0"/>
        <item x="3"/>
        <item t="default"/>
      </items>
    </pivotField>
    <pivotField axis="axisRow" compact="0" outline="0" showAll="0">
      <items count="21">
        <item x="2"/>
        <item x="19"/>
        <item x="10"/>
        <item x="11"/>
        <item x="6"/>
        <item x="12"/>
        <item x="13"/>
        <item x="18"/>
        <item x="7"/>
        <item x="0"/>
        <item x="1"/>
        <item x="14"/>
        <item x="15"/>
        <item x="9"/>
        <item x="16"/>
        <item x="17"/>
        <item x="4"/>
        <item x="8"/>
        <item x="3"/>
        <item x="5"/>
        <item t="default"/>
      </items>
    </pivotField>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164" outline="0" showAll="0" defaultSubtotal="0"/>
    <pivotField dataField="1" compact="0" numFmtId="164" outline="0" showAll="0" defaultSubtotal="0"/>
  </pivotFields>
  <rowFields count="2">
    <field x="0"/>
    <field x="1"/>
  </rowFields>
  <rowItems count="25">
    <i>
      <x/>
      <x/>
    </i>
    <i r="1">
      <x v="1"/>
    </i>
    <i r="1">
      <x v="2"/>
    </i>
    <i r="1">
      <x v="3"/>
    </i>
    <i r="1">
      <x v="17"/>
    </i>
    <i r="1">
      <x v="18"/>
    </i>
    <i t="default">
      <x/>
    </i>
    <i>
      <x v="1"/>
      <x v="4"/>
    </i>
    <i r="1">
      <x v="5"/>
    </i>
    <i r="1">
      <x v="6"/>
    </i>
    <i r="1">
      <x v="7"/>
    </i>
    <i r="1">
      <x v="8"/>
    </i>
    <i r="1">
      <x v="19"/>
    </i>
    <i t="default">
      <x v="1"/>
    </i>
    <i>
      <x v="2"/>
      <x v="9"/>
    </i>
    <i r="1">
      <x v="10"/>
    </i>
    <i r="1">
      <x v="11"/>
    </i>
    <i r="1">
      <x v="12"/>
    </i>
    <i r="1">
      <x v="13"/>
    </i>
    <i r="1">
      <x v="16"/>
    </i>
    <i t="default">
      <x v="2"/>
    </i>
    <i>
      <x v="3"/>
      <x v="14"/>
    </i>
    <i r="1">
      <x v="15"/>
    </i>
    <i t="default">
      <x v="3"/>
    </i>
    <i t="grand">
      <x/>
    </i>
  </rowItems>
  <colFields count="1">
    <field x="-2"/>
  </colFields>
  <colItems count="6">
    <i>
      <x/>
    </i>
    <i i="1">
      <x v="1"/>
    </i>
    <i i="2">
      <x v="2"/>
    </i>
    <i i="3">
      <x v="3"/>
    </i>
    <i i="4">
      <x v="4"/>
    </i>
    <i i="5">
      <x v="5"/>
    </i>
  </colItems>
  <dataFields count="6">
    <dataField name=" 2018" fld="25" baseField="0" baseItem="0"/>
    <dataField name=" 2019" fld="38" baseField="0" baseItem="0"/>
    <dataField name=" 2020 " fld="51" baseField="0" baseItem="0"/>
    <dataField name=" 2021" fld="64" baseField="0" baseItem="0"/>
    <dataField name=" 2022 " fld="77" baseField="0" baseItem="0"/>
    <dataField name=" Total" fld="78" baseField="0" baseItem="0"/>
  </dataFields>
  <formats count="11">
    <format dxfId="33">
      <pivotArea outline="0" collapsedLevelsAreSubtotals="1" fieldPosition="0"/>
    </format>
    <format dxfId="32">
      <pivotArea field="0" type="button" dataOnly="0" labelOnly="1" outline="0" axis="axisRow" fieldPosition="0"/>
    </format>
    <format dxfId="31">
      <pivotArea field="1" type="button" dataOnly="0" labelOnly="1" outline="0" axis="axisRow" fieldPosition="1"/>
    </format>
    <format dxfId="30">
      <pivotArea field="0" type="button" dataOnly="0" labelOnly="1" outline="0" axis="axisRow" fieldPosition="0"/>
    </format>
    <format dxfId="29">
      <pivotArea field="1" type="button" dataOnly="0" labelOnly="1" outline="0" axis="axisRow" fieldPosition="1"/>
    </format>
    <format dxfId="28">
      <pivotArea type="all" dataOnly="0" outline="0" fieldPosition="0"/>
    </format>
    <format dxfId="27">
      <pivotArea outline="0" collapsedLevelsAreSubtotals="1" fieldPosition="0"/>
    </format>
    <format dxfId="26">
      <pivotArea dataOnly="0" labelOnly="1" outline="0" fieldPosition="0">
        <references count="1">
          <reference field="0" count="0"/>
        </references>
      </pivotArea>
    </format>
    <format dxfId="25">
      <pivotArea dataOnly="0" labelOnly="1" outline="0" fieldPosition="0">
        <references count="1">
          <reference field="0" count="0" defaultSubtotal="1"/>
        </references>
      </pivotArea>
    </format>
    <format dxfId="24">
      <pivotArea dataOnly="0" labelOnly="1" grandRow="1" outline="0" fieldPosition="0"/>
    </format>
    <format dxfId="23">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Negócio/Macroprojeto">
  <location ref="A4:O9" firstHeaderRow="0" firstDataRow="1" firstDataCol="1"/>
  <pivotFields count="33">
    <pivotField axis="axisRow" showAll="0">
      <items count="5">
        <item sd="0" x="0"/>
        <item sd="0" x="1"/>
        <item sd="0" x="2"/>
        <item sd="0" x="3"/>
        <item t="default"/>
      </items>
    </pivotField>
    <pivotField axis="axisRow" showAll="0">
      <items count="21">
        <item x="0"/>
        <item x="1"/>
        <item x="2"/>
        <item x="3"/>
        <item x="5"/>
        <item x="7"/>
        <item x="8"/>
        <item x="9"/>
        <item x="11"/>
        <item x="12"/>
        <item x="13"/>
        <item x="15"/>
        <item x="16"/>
        <item x="14"/>
        <item x="17"/>
        <item x="18"/>
        <item x="19"/>
        <item x="4"/>
        <item x="6"/>
        <item x="1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numFmtId="164" showAl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s>
  <rowFields count="2">
    <field x="0"/>
    <field x="1"/>
  </rowFields>
  <rowItems count="5">
    <i>
      <x/>
    </i>
    <i>
      <x v="1"/>
    </i>
    <i>
      <x v="2"/>
    </i>
    <i>
      <x v="3"/>
    </i>
    <i t="grand">
      <x/>
    </i>
  </rowItems>
  <colFields count="1">
    <field x="-2"/>
  </colFields>
  <colItems count="14">
    <i>
      <x/>
    </i>
    <i i="1">
      <x v="1"/>
    </i>
    <i i="2">
      <x v="2"/>
    </i>
    <i i="3">
      <x v="3"/>
    </i>
    <i i="4">
      <x v="4"/>
    </i>
    <i i="5">
      <x v="5"/>
    </i>
    <i i="6">
      <x v="6"/>
    </i>
    <i i="7">
      <x v="7"/>
    </i>
    <i i="8">
      <x v="8"/>
    </i>
    <i i="9">
      <x v="9"/>
    </i>
    <i i="10">
      <x v="10"/>
    </i>
    <i i="11">
      <x v="11"/>
    </i>
    <i i="12">
      <x v="12"/>
    </i>
    <i i="13">
      <x v="13"/>
    </i>
  </colItems>
  <dataFields count="14">
    <dataField name="Real até mai/18" fld="11" baseField="1" baseItem="527889448"/>
    <dataField name="Plan jun/18" fld="12" baseField="0" baseItem="0"/>
    <dataField name="Plan jul/18" fld="13" baseField="0" baseItem="0"/>
    <dataField name="Plan ago/18" fld="14" baseField="0" baseItem="0"/>
    <dataField name="Plan set/18" fld="15" baseField="0" baseItem="0"/>
    <dataField name="Plan out/18" fld="16" baseField="0" baseItem="0"/>
    <dataField name="Plan nov/18" fld="17" baseField="0" baseItem="0"/>
    <dataField name="Plan dez/18" fld="18" baseField="0" baseItem="0"/>
    <dataField name="Plan jan/19" fld="20" baseField="0" baseItem="1"/>
    <dataField name="Plan fev/19" fld="21" baseField="0" baseItem="1"/>
    <dataField name="Plan mar/19" fld="22" baseField="0" baseItem="0"/>
    <dataField name="Plan abr/19" fld="23" baseField="0" baseItem="0"/>
    <dataField name="Plan mai/19" fld="24" baseField="0" baseItem="0"/>
    <dataField name="Plan jun/19" fld="25" baseField="0" baseItem="0"/>
  </dataFields>
  <formats count="3">
    <format dxfId="22">
      <pivotArea outline="0" collapsedLevelsAreSubtotals="1" fieldPosition="0"/>
    </format>
    <format dxfId="21">
      <pivotArea dataOnly="0" labelOnly="1" outline="0" fieldPosition="0">
        <references count="1">
          <reference field="4294967294" count="8">
            <x v="0"/>
            <x v="1"/>
            <x v="2"/>
            <x v="3"/>
            <x v="4"/>
            <x v="5"/>
            <x v="6"/>
            <x v="7"/>
          </reference>
        </references>
      </pivotArea>
    </format>
    <format dxfId="20">
      <pivotArea dataOnly="0" labelOnly="1" outline="0" fieldPosition="0">
        <references count="1">
          <reference field="4294967294" count="7">
            <x v="1"/>
            <x v="2"/>
            <x v="3"/>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2" cacheId="1"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11:A34" firstHeaderRow="1" firstDataRow="1" firstDataCol="1"/>
  <pivotFields count="79">
    <pivotField axis="axisRow" showAll="0">
      <items count="5">
        <item x="1"/>
        <item x="2"/>
        <item x="0"/>
        <item sd="0" x="3"/>
        <item t="default" sd="0"/>
      </items>
    </pivotField>
    <pivotField axis="axisRow" showAll="0">
      <items count="21">
        <item x="2"/>
        <item x="19"/>
        <item x="10"/>
        <item x="11"/>
        <item x="8"/>
        <item x="3"/>
        <item x="6"/>
        <item x="12"/>
        <item x="13"/>
        <item x="18"/>
        <item x="7"/>
        <item x="5"/>
        <item x="0"/>
        <item x="1"/>
        <item x="14"/>
        <item x="15"/>
        <item x="9"/>
        <item x="4"/>
        <item x="16"/>
        <item x="17"/>
        <item t="default"/>
      </items>
    </pivotField>
    <pivotField showAll="0" defaultSubtotal="0"/>
    <pivotField showAll="0" defaultSubtotal="0"/>
    <pivotField showAll="0" defaultSubtotal="0"/>
    <pivotField showAll="0" defaultSubtotal="0"/>
    <pivotField showAll="0"/>
    <pivotField showAll="0"/>
    <pivotField showAll="0"/>
    <pivotField showAll="0" defaultSubtotal="0"/>
    <pivotField showAll="0" defaultSubtotal="0"/>
    <pivotField showAll="0" defaultSubtotal="0"/>
    <pivotField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numFmtId="41"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164" showAll="0" defaultSubtotal="0"/>
  </pivotFields>
  <rowFields count="2">
    <field x="0"/>
    <field x="1"/>
  </rowFields>
  <rowItems count="23">
    <i>
      <x/>
    </i>
    <i r="1">
      <x/>
    </i>
    <i r="1">
      <x v="1"/>
    </i>
    <i r="1">
      <x v="2"/>
    </i>
    <i r="1">
      <x v="3"/>
    </i>
    <i r="1">
      <x v="4"/>
    </i>
    <i r="1">
      <x v="5"/>
    </i>
    <i>
      <x v="1"/>
    </i>
    <i r="1">
      <x v="6"/>
    </i>
    <i r="1">
      <x v="7"/>
    </i>
    <i r="1">
      <x v="8"/>
    </i>
    <i r="1">
      <x v="9"/>
    </i>
    <i r="1">
      <x v="10"/>
    </i>
    <i r="1">
      <x v="11"/>
    </i>
    <i>
      <x v="2"/>
    </i>
    <i r="1">
      <x v="12"/>
    </i>
    <i r="1">
      <x v="13"/>
    </i>
    <i r="1">
      <x v="14"/>
    </i>
    <i r="1">
      <x v="15"/>
    </i>
    <i r="1">
      <x v="16"/>
    </i>
    <i r="1">
      <x v="17"/>
    </i>
    <i>
      <x v="3"/>
    </i>
    <i t="grand">
      <x/>
    </i>
  </rowItems>
  <colItems count="1">
    <i/>
  </colItem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çãodeDados_Empresa" sourceName="Empresa">
  <pivotTables>
    <pivotTable tabId="25" name="Tabela dinâmica2"/>
  </pivotTables>
  <data>
    <tabular pivotCacheId="2">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çãodeDados_Macroprojeto" sourceName="Macroprojeto">
  <pivotTables>
    <pivotTable tabId="25" name="Tabela dinâmica2"/>
  </pivotTables>
  <data>
    <tabular pivotCacheId="2">
      <items count="20">
        <i x="2" s="1"/>
        <i x="19" s="1"/>
        <i x="10" s="1"/>
        <i x="11" s="1"/>
        <i x="8" s="1"/>
        <i x="3" s="1"/>
        <i x="6" s="1"/>
        <i x="12" s="1"/>
        <i x="13" s="1"/>
        <i x="18" s="1"/>
        <i x="7" s="1"/>
        <i x="5" s="1"/>
        <i x="0" s="1"/>
        <i x="1" s="1"/>
        <i x="14" s="1"/>
        <i x="15" s="1"/>
        <i x="9" s="1"/>
        <i x="4" s="1"/>
        <i x="16"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resa" cache="SegmentaçãodeDados_Empresa" caption="Empresa" columnCount="4" rowHeight="241300"/>
  <slicer name="Macroprojeto" cache="SegmentaçãodeDados_Macroprojeto" caption="Macroprojeto" columnCount="4" rowHeight="241300"/>
</slicers>
</file>

<file path=xl/tables/table1.xml><?xml version="1.0" encoding="utf-8"?>
<table xmlns="http://schemas.openxmlformats.org/spreadsheetml/2006/main" id="1" name="Tabela1" displayName="Tabela1" ref="A15:N20" totalsRowShown="0" headerRowDxfId="19">
  <autoFilter ref="A15:N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Negócio/Macroprojeto" dataDxfId="18"/>
    <tableColumn id="2" name="Real até junho/18" dataDxfId="17"/>
    <tableColumn id="3" name="Plan jul/18" dataDxfId="16"/>
    <tableColumn id="4" name="Plan ago/18" dataDxfId="15"/>
    <tableColumn id="5" name="Plan set/18" dataDxfId="14"/>
    <tableColumn id="6" name="Plan out/18" dataDxfId="13"/>
    <tableColumn id="7" name="Plan nov/18" dataDxfId="12"/>
    <tableColumn id="8" name="Plan dez/18" dataDxfId="11"/>
    <tableColumn id="9" name="Plan jan/19" dataDxfId="10"/>
    <tableColumn id="10" name="Plan fev/19" dataDxfId="9"/>
    <tableColumn id="11" name="Plan mar/19" dataDxfId="8"/>
    <tableColumn id="12" name="Plan abr/19" dataDxfId="7"/>
    <tableColumn id="13" name="Plan mai/19" dataDxfId="6"/>
    <tableColumn id="14" name="Plan jun/19" dataDxfId="5"/>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workbookViewId="0">
      <selection activeCell="E32" sqref="E32"/>
    </sheetView>
  </sheetViews>
  <sheetFormatPr defaultRowHeight="16.5" x14ac:dyDescent="0.3"/>
  <cols>
    <col min="1" max="1" width="1.85546875" style="27" customWidth="1"/>
    <col min="2" max="2" width="12.85546875" style="27" customWidth="1"/>
    <col min="3" max="3" width="45.28515625" style="27" customWidth="1"/>
    <col min="4" max="8" width="15.140625" style="27" bestFit="1" customWidth="1"/>
    <col min="9" max="9" width="15.140625" style="27" customWidth="1"/>
    <col min="10" max="16384" width="9.140625" style="27"/>
  </cols>
  <sheetData>
    <row r="1" spans="2:10" ht="18.75" x14ac:dyDescent="0.3">
      <c r="B1" s="64" t="s">
        <v>890</v>
      </c>
    </row>
    <row r="2" spans="2:10" ht="18.75" x14ac:dyDescent="0.3">
      <c r="B2" s="64"/>
    </row>
    <row r="3" spans="2:10" x14ac:dyDescent="0.3">
      <c r="B3" s="67" t="s">
        <v>524</v>
      </c>
    </row>
    <row r="4" spans="2:10" hidden="1" x14ac:dyDescent="0.3">
      <c r="B4" s="449"/>
      <c r="C4" s="449"/>
      <c r="D4" s="448" t="s">
        <v>2235</v>
      </c>
      <c r="E4" s="449"/>
      <c r="F4" s="449"/>
      <c r="G4" s="449"/>
      <c r="H4" s="449"/>
      <c r="I4" s="449"/>
    </row>
    <row r="5" spans="2:10" x14ac:dyDescent="0.3">
      <c r="B5" s="450" t="s">
        <v>1057</v>
      </c>
      <c r="C5" s="450" t="s">
        <v>2007</v>
      </c>
      <c r="D5" s="449" t="s">
        <v>2236</v>
      </c>
      <c r="E5" s="449" t="s">
        <v>2237</v>
      </c>
      <c r="F5" s="449" t="s">
        <v>2238</v>
      </c>
      <c r="G5" s="449" t="s">
        <v>2239</v>
      </c>
      <c r="H5" s="449" t="s">
        <v>2240</v>
      </c>
      <c r="I5" s="449" t="s">
        <v>2241</v>
      </c>
    </row>
    <row r="6" spans="2:10" x14ac:dyDescent="0.3">
      <c r="B6" s="449" t="s">
        <v>52</v>
      </c>
      <c r="C6" s="449" t="s">
        <v>27</v>
      </c>
      <c r="D6" s="451">
        <v>281.79999997615801</v>
      </c>
      <c r="E6" s="451">
        <v>585.97096002384296</v>
      </c>
      <c r="F6" s="451">
        <v>659.3998399761573</v>
      </c>
      <c r="G6" s="451">
        <v>461.5</v>
      </c>
      <c r="H6" s="451">
        <v>645.87551513489007</v>
      </c>
      <c r="I6" s="451">
        <v>2634.5463151110484</v>
      </c>
    </row>
    <row r="7" spans="2:10" x14ac:dyDescent="0.3">
      <c r="B7" s="449"/>
      <c r="C7" s="449" t="s">
        <v>28</v>
      </c>
      <c r="D7" s="451">
        <v>10.000000000000002</v>
      </c>
      <c r="E7" s="451">
        <v>157</v>
      </c>
      <c r="F7" s="451">
        <v>0</v>
      </c>
      <c r="G7" s="451">
        <v>0</v>
      </c>
      <c r="H7" s="451">
        <v>0</v>
      </c>
      <c r="I7" s="451">
        <v>167</v>
      </c>
    </row>
    <row r="8" spans="2:10" x14ac:dyDescent="0.3">
      <c r="B8" s="449"/>
      <c r="C8" s="449" t="s">
        <v>29</v>
      </c>
      <c r="D8" s="451">
        <v>58.6</v>
      </c>
      <c r="E8" s="451">
        <v>351.9</v>
      </c>
      <c r="F8" s="451">
        <v>214.7</v>
      </c>
      <c r="G8" s="451">
        <v>51.5</v>
      </c>
      <c r="H8" s="451">
        <v>278.5</v>
      </c>
      <c r="I8" s="451">
        <v>955.2</v>
      </c>
    </row>
    <row r="9" spans="2:10" x14ac:dyDescent="0.3">
      <c r="B9" s="449"/>
      <c r="C9" s="449" t="s">
        <v>30</v>
      </c>
      <c r="D9" s="451">
        <v>1294.47795</v>
      </c>
      <c r="E9" s="451">
        <v>476</v>
      </c>
      <c r="F9" s="451">
        <v>1152</v>
      </c>
      <c r="G9" s="451">
        <v>1689.5</v>
      </c>
      <c r="H9" s="451">
        <v>1190.5</v>
      </c>
      <c r="I9" s="451">
        <v>5802.4779499999995</v>
      </c>
    </row>
    <row r="10" spans="2:10" x14ac:dyDescent="0.3">
      <c r="B10" s="449"/>
      <c r="C10" s="449" t="s">
        <v>31</v>
      </c>
      <c r="D10" s="451">
        <v>0</v>
      </c>
      <c r="E10" s="451">
        <v>102.5</v>
      </c>
      <c r="F10" s="451">
        <v>0</v>
      </c>
      <c r="G10" s="451">
        <v>0</v>
      </c>
      <c r="H10" s="451">
        <v>0</v>
      </c>
      <c r="I10" s="451">
        <v>102.5</v>
      </c>
    </row>
    <row r="11" spans="2:10" x14ac:dyDescent="0.3">
      <c r="B11" s="449"/>
      <c r="C11" s="449" t="s">
        <v>1431</v>
      </c>
      <c r="D11" s="451">
        <v>400.14999961852999</v>
      </c>
      <c r="E11" s="451">
        <v>583.21700229484543</v>
      </c>
      <c r="F11" s="451">
        <v>602.22</v>
      </c>
      <c r="G11" s="451">
        <v>498</v>
      </c>
      <c r="H11" s="451">
        <v>197</v>
      </c>
      <c r="I11" s="451">
        <v>2280.5870019133754</v>
      </c>
      <c r="J11" s="65"/>
    </row>
    <row r="12" spans="2:10" x14ac:dyDescent="0.3">
      <c r="B12" s="449" t="s">
        <v>809</v>
      </c>
      <c r="C12" s="449"/>
      <c r="D12" s="451">
        <v>2045.0279495946882</v>
      </c>
      <c r="E12" s="451">
        <v>2256.5879623186884</v>
      </c>
      <c r="F12" s="451">
        <v>2628.3198399761573</v>
      </c>
      <c r="G12" s="451">
        <v>2700.5</v>
      </c>
      <c r="H12" s="451">
        <v>2311.8755151348901</v>
      </c>
      <c r="I12" s="451">
        <v>11942.311267024423</v>
      </c>
    </row>
    <row r="13" spans="2:10" x14ac:dyDescent="0.3">
      <c r="B13" s="449" t="s">
        <v>61</v>
      </c>
      <c r="C13" s="449" t="s">
        <v>33</v>
      </c>
      <c r="D13" s="451">
        <v>0</v>
      </c>
      <c r="E13" s="451">
        <v>429.53983000000017</v>
      </c>
      <c r="F13" s="451">
        <v>204.46016999999981</v>
      </c>
      <c r="G13" s="451">
        <v>1250.5</v>
      </c>
      <c r="H13" s="451">
        <v>26</v>
      </c>
      <c r="I13" s="451">
        <v>1910.5</v>
      </c>
    </row>
    <row r="14" spans="2:10" x14ac:dyDescent="0.3">
      <c r="B14" s="449"/>
      <c r="C14" s="449" t="s">
        <v>34</v>
      </c>
      <c r="D14" s="451">
        <v>142.21934999999999</v>
      </c>
      <c r="E14" s="451">
        <v>198.83333249511816</v>
      </c>
      <c r="F14" s="451">
        <v>200</v>
      </c>
      <c r="G14" s="451">
        <v>50</v>
      </c>
      <c r="H14" s="451">
        <v>0</v>
      </c>
      <c r="I14" s="451">
        <v>591.05268249511812</v>
      </c>
    </row>
    <row r="15" spans="2:10" x14ac:dyDescent="0.3">
      <c r="B15" s="449"/>
      <c r="C15" s="449" t="s">
        <v>35</v>
      </c>
      <c r="D15" s="451">
        <v>415</v>
      </c>
      <c r="E15" s="451">
        <v>55</v>
      </c>
      <c r="F15" s="451">
        <v>209</v>
      </c>
      <c r="G15" s="451">
        <v>55</v>
      </c>
      <c r="H15" s="451">
        <v>209.5</v>
      </c>
      <c r="I15" s="451">
        <v>943.5</v>
      </c>
    </row>
    <row r="16" spans="2:10" x14ac:dyDescent="0.3">
      <c r="B16" s="449"/>
      <c r="C16" s="449" t="s">
        <v>36</v>
      </c>
      <c r="D16" s="451">
        <v>0</v>
      </c>
      <c r="E16" s="451">
        <v>200</v>
      </c>
      <c r="F16" s="451">
        <v>0</v>
      </c>
      <c r="G16" s="451">
        <v>186</v>
      </c>
      <c r="H16" s="451">
        <v>206</v>
      </c>
      <c r="I16" s="451">
        <v>592</v>
      </c>
    </row>
    <row r="17" spans="2:12" x14ac:dyDescent="0.3">
      <c r="B17" s="449"/>
      <c r="C17" s="449" t="s">
        <v>37</v>
      </c>
      <c r="D17" s="451">
        <v>0</v>
      </c>
      <c r="E17" s="451">
        <v>1618.44</v>
      </c>
      <c r="F17" s="451">
        <v>1050</v>
      </c>
      <c r="G17" s="451">
        <v>1008</v>
      </c>
      <c r="H17" s="451">
        <v>0</v>
      </c>
      <c r="I17" s="451">
        <v>3676.44</v>
      </c>
      <c r="L17" s="74"/>
    </row>
    <row r="18" spans="2:12" x14ac:dyDescent="0.3">
      <c r="B18" s="449"/>
      <c r="C18" s="449" t="s">
        <v>1432</v>
      </c>
      <c r="D18" s="451">
        <v>1675.7785189149085</v>
      </c>
      <c r="E18" s="451">
        <v>1324.2812850193402</v>
      </c>
      <c r="F18" s="451">
        <v>777.03347499999984</v>
      </c>
      <c r="G18" s="451">
        <v>2549.7189899999998</v>
      </c>
      <c r="H18" s="451">
        <v>0</v>
      </c>
      <c r="I18" s="451">
        <v>6326.812268934249</v>
      </c>
    </row>
    <row r="19" spans="2:12" x14ac:dyDescent="0.3">
      <c r="B19" s="449" t="s">
        <v>810</v>
      </c>
      <c r="C19" s="449"/>
      <c r="D19" s="451">
        <v>2232.9978689149084</v>
      </c>
      <c r="E19" s="451">
        <v>3826.0944475144588</v>
      </c>
      <c r="F19" s="451">
        <v>2440.4936449999996</v>
      </c>
      <c r="G19" s="451">
        <v>5099.2189899999994</v>
      </c>
      <c r="H19" s="451">
        <v>441.5</v>
      </c>
      <c r="I19" s="451">
        <v>14040.304951429367</v>
      </c>
    </row>
    <row r="20" spans="2:12" x14ac:dyDescent="0.3">
      <c r="B20" s="449" t="s">
        <v>55</v>
      </c>
      <c r="C20" s="449" t="s">
        <v>38</v>
      </c>
      <c r="D20" s="451">
        <v>1546.458969998474</v>
      </c>
      <c r="E20" s="451">
        <v>2667.9163800000001</v>
      </c>
      <c r="F20" s="451">
        <v>3243</v>
      </c>
      <c r="G20" s="451">
        <v>3733</v>
      </c>
      <c r="H20" s="451">
        <v>2471</v>
      </c>
      <c r="I20" s="451">
        <v>13661.375349998474</v>
      </c>
    </row>
    <row r="21" spans="2:12" x14ac:dyDescent="0.3">
      <c r="B21" s="449"/>
      <c r="C21" s="449" t="s">
        <v>39</v>
      </c>
      <c r="D21" s="451">
        <v>3122.4785726366044</v>
      </c>
      <c r="E21" s="451">
        <v>9677.8479970865228</v>
      </c>
      <c r="F21" s="451">
        <v>9962.7250716193466</v>
      </c>
      <c r="G21" s="451">
        <v>5683.8053581794766</v>
      </c>
      <c r="H21" s="451">
        <v>2684.54031913777</v>
      </c>
      <c r="I21" s="451">
        <v>31131.397318659721</v>
      </c>
    </row>
    <row r="22" spans="2:12" x14ac:dyDescent="0.3">
      <c r="B22" s="449"/>
      <c r="C22" s="449" t="s">
        <v>40</v>
      </c>
      <c r="D22" s="451">
        <v>3905.691369661899</v>
      </c>
      <c r="E22" s="451">
        <v>3511.3220000000001</v>
      </c>
      <c r="F22" s="451">
        <v>5997.875</v>
      </c>
      <c r="G22" s="451">
        <v>6466.2690000000002</v>
      </c>
      <c r="H22" s="451">
        <v>8796.1796299999987</v>
      </c>
      <c r="I22" s="451">
        <v>28677.3369996619</v>
      </c>
    </row>
    <row r="23" spans="2:12" x14ac:dyDescent="0.3">
      <c r="B23" s="449"/>
      <c r="C23" s="449" t="s">
        <v>41</v>
      </c>
      <c r="D23" s="451">
        <v>4684</v>
      </c>
      <c r="E23" s="451">
        <v>15480</v>
      </c>
      <c r="F23" s="451">
        <v>2220</v>
      </c>
      <c r="G23" s="451">
        <v>340</v>
      </c>
      <c r="H23" s="451">
        <v>2736</v>
      </c>
      <c r="I23" s="451">
        <v>25460</v>
      </c>
    </row>
    <row r="24" spans="2:12" x14ac:dyDescent="0.3">
      <c r="B24" s="449"/>
      <c r="C24" s="449" t="s">
        <v>42</v>
      </c>
      <c r="D24" s="451">
        <v>45570.091816010143</v>
      </c>
      <c r="E24" s="451">
        <v>51377.658060000002</v>
      </c>
      <c r="F24" s="451">
        <v>41893.777499999997</v>
      </c>
      <c r="G24" s="451">
        <v>35729.5</v>
      </c>
      <c r="H24" s="451">
        <v>32673.886724328058</v>
      </c>
      <c r="I24" s="451">
        <v>207244.91410033815</v>
      </c>
    </row>
    <row r="25" spans="2:12" x14ac:dyDescent="0.3">
      <c r="B25" s="449"/>
      <c r="C25" s="449" t="s">
        <v>43</v>
      </c>
      <c r="D25" s="451">
        <v>90</v>
      </c>
      <c r="E25" s="451">
        <v>4956.3999999999996</v>
      </c>
      <c r="F25" s="451">
        <v>2982</v>
      </c>
      <c r="G25" s="451">
        <v>350</v>
      </c>
      <c r="H25" s="451">
        <v>170</v>
      </c>
      <c r="I25" s="451">
        <v>8548.4</v>
      </c>
    </row>
    <row r="26" spans="2:12" x14ac:dyDescent="0.3">
      <c r="B26" s="449" t="s">
        <v>429</v>
      </c>
      <c r="C26" s="449"/>
      <c r="D26" s="451">
        <v>58918.720728307118</v>
      </c>
      <c r="E26" s="451">
        <v>87671.144437086521</v>
      </c>
      <c r="F26" s="451">
        <v>66299.377571619349</v>
      </c>
      <c r="G26" s="451">
        <v>52302.574358179481</v>
      </c>
      <c r="H26" s="451">
        <v>49531.606673465823</v>
      </c>
      <c r="I26" s="451">
        <v>314723.42376865831</v>
      </c>
    </row>
    <row r="27" spans="2:12" x14ac:dyDescent="0.3">
      <c r="B27" s="449" t="s">
        <v>381</v>
      </c>
      <c r="C27" s="449" t="s">
        <v>44</v>
      </c>
      <c r="D27" s="451">
        <v>75</v>
      </c>
      <c r="E27" s="451">
        <v>75</v>
      </c>
      <c r="F27" s="451">
        <v>150</v>
      </c>
      <c r="G27" s="451">
        <v>150</v>
      </c>
      <c r="H27" s="451">
        <v>250</v>
      </c>
      <c r="I27" s="451">
        <v>700</v>
      </c>
    </row>
    <row r="28" spans="2:12" x14ac:dyDescent="0.3">
      <c r="B28" s="449"/>
      <c r="C28" s="449" t="s">
        <v>45</v>
      </c>
      <c r="D28" s="451">
        <v>227.39499998092671</v>
      </c>
      <c r="E28" s="451">
        <v>15</v>
      </c>
      <c r="F28" s="451">
        <v>15</v>
      </c>
      <c r="G28" s="451">
        <v>812</v>
      </c>
      <c r="H28" s="451">
        <v>812</v>
      </c>
      <c r="I28" s="451">
        <v>1881.3949999809267</v>
      </c>
    </row>
    <row r="29" spans="2:12" x14ac:dyDescent="0.3">
      <c r="B29" s="449" t="s">
        <v>811</v>
      </c>
      <c r="C29" s="449"/>
      <c r="D29" s="451">
        <v>302.39499998092674</v>
      </c>
      <c r="E29" s="451">
        <v>90</v>
      </c>
      <c r="F29" s="451">
        <v>165</v>
      </c>
      <c r="G29" s="451">
        <v>962</v>
      </c>
      <c r="H29" s="451">
        <v>1062</v>
      </c>
      <c r="I29" s="451">
        <v>2581.3949999809265</v>
      </c>
      <c r="K29" s="66"/>
    </row>
    <row r="30" spans="2:12" x14ac:dyDescent="0.3">
      <c r="B30" s="449" t="s">
        <v>428</v>
      </c>
      <c r="C30" s="449"/>
      <c r="D30" s="451">
        <v>63499.141546797648</v>
      </c>
      <c r="E30" s="451">
        <v>93843.826846919663</v>
      </c>
      <c r="F30" s="451">
        <v>71533.191056595504</v>
      </c>
      <c r="G30" s="451">
        <v>61064.293348179475</v>
      </c>
      <c r="H30" s="451">
        <v>53346.982188600712</v>
      </c>
      <c r="I30" s="451">
        <v>343287.43498709297</v>
      </c>
    </row>
    <row r="31" spans="2:12" x14ac:dyDescent="0.3">
      <c r="D31" s="268"/>
      <c r="E31" s="268"/>
      <c r="F31" s="268"/>
      <c r="G31" s="268"/>
      <c r="H31" s="268"/>
      <c r="I31" s="268"/>
    </row>
    <row r="43" spans="5:5" x14ac:dyDescent="0.3">
      <c r="E43" s="116" t="s">
        <v>1856</v>
      </c>
    </row>
  </sheetData>
  <pageMargins left="0.31496062992125984" right="0.31496062992125984" top="0.39370078740157483" bottom="0.39370078740157483" header="0.31496062992125984" footer="0.31496062992125984"/>
  <pageSetup paperSize="143" scale="9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pageSetUpPr fitToPage="1"/>
  </sheetPr>
  <dimension ref="A1:HT332"/>
  <sheetViews>
    <sheetView showGridLines="0" tabSelected="1" zoomScale="70" zoomScaleNormal="70" workbookViewId="0"/>
  </sheetViews>
  <sheetFormatPr defaultRowHeight="15" x14ac:dyDescent="0.25"/>
  <cols>
    <col min="1" max="1" width="16.42578125" style="1" customWidth="1"/>
    <col min="2" max="2" width="18.7109375" style="1" customWidth="1"/>
    <col min="3" max="9" width="16.42578125" style="1" customWidth="1"/>
    <col min="10" max="13" width="16.42578125" style="21" customWidth="1"/>
    <col min="14" max="20" width="11.5703125" style="21" customWidth="1"/>
    <col min="21" max="21" width="14.28515625" style="1" customWidth="1"/>
    <col min="22" max="25" width="11.5703125" style="1" customWidth="1"/>
    <col min="26" max="26" width="16.42578125" style="88" customWidth="1"/>
    <col min="27" max="33" width="11.5703125" style="21" customWidth="1"/>
    <col min="34" max="34" width="14.28515625" style="1" customWidth="1"/>
    <col min="35" max="38" width="11.5703125" style="1" customWidth="1"/>
    <col min="39" max="39" width="16.42578125" style="88" customWidth="1"/>
    <col min="40" max="46" width="11.5703125" style="21" customWidth="1"/>
    <col min="47" max="47" width="14.28515625" style="1" customWidth="1"/>
    <col min="48" max="51" width="11.5703125" style="1" customWidth="1"/>
    <col min="52" max="52" width="16.42578125" style="88" customWidth="1"/>
    <col min="53" max="59" width="11.5703125" style="21" customWidth="1"/>
    <col min="60" max="60" width="14.28515625" style="1" customWidth="1"/>
    <col min="61" max="64" width="11.5703125" style="1" customWidth="1"/>
    <col min="65" max="65" width="16.42578125" style="88" customWidth="1"/>
    <col min="66" max="72" width="11.5703125" style="21" customWidth="1"/>
    <col min="73" max="73" width="14.28515625" style="1" customWidth="1"/>
    <col min="74" max="77" width="11.5703125" style="1" customWidth="1"/>
    <col min="78" max="78" width="16.42578125" style="88" customWidth="1"/>
    <col min="79" max="79" width="19.140625" style="88" customWidth="1"/>
    <col min="80" max="86" width="16.42578125" style="88" customWidth="1"/>
    <col min="87" max="228" width="16.42578125" style="1" customWidth="1"/>
  </cols>
  <sheetData>
    <row r="1" spans="1:228" s="396" customFormat="1" ht="66.75" customHeight="1" x14ac:dyDescent="0.2">
      <c r="A1" s="389" t="s">
        <v>2006</v>
      </c>
      <c r="B1" s="389" t="s">
        <v>2007</v>
      </c>
      <c r="C1" s="389" t="s">
        <v>2008</v>
      </c>
      <c r="D1" s="389" t="s">
        <v>2009</v>
      </c>
      <c r="E1" s="389" t="s">
        <v>2010</v>
      </c>
      <c r="F1" s="389" t="s">
        <v>2011</v>
      </c>
      <c r="G1" s="389" t="s">
        <v>2012</v>
      </c>
      <c r="H1" s="389" t="s">
        <v>517</v>
      </c>
      <c r="I1" s="389" t="s">
        <v>1095</v>
      </c>
      <c r="J1" s="389" t="s">
        <v>2013</v>
      </c>
      <c r="K1" s="389" t="s">
        <v>2014</v>
      </c>
      <c r="L1" s="390" t="s">
        <v>2015</v>
      </c>
      <c r="M1" s="391" t="s">
        <v>2016</v>
      </c>
      <c r="N1" s="392" t="s">
        <v>2017</v>
      </c>
      <c r="O1" s="392" t="s">
        <v>2018</v>
      </c>
      <c r="P1" s="392" t="s">
        <v>2024</v>
      </c>
      <c r="Q1" s="392" t="s">
        <v>2025</v>
      </c>
      <c r="R1" s="392" t="s">
        <v>2026</v>
      </c>
      <c r="S1" s="392" t="s">
        <v>2027</v>
      </c>
      <c r="T1" s="392" t="s">
        <v>2028</v>
      </c>
      <c r="U1" s="392" t="s">
        <v>2029</v>
      </c>
      <c r="V1" s="392" t="s">
        <v>2030</v>
      </c>
      <c r="W1" s="392" t="s">
        <v>2031</v>
      </c>
      <c r="X1" s="392" t="s">
        <v>2032</v>
      </c>
      <c r="Y1" s="392" t="s">
        <v>2033</v>
      </c>
      <c r="Z1" s="399" t="s">
        <v>2034</v>
      </c>
      <c r="AA1" s="392" t="s">
        <v>2019</v>
      </c>
      <c r="AB1" s="392" t="s">
        <v>2020</v>
      </c>
      <c r="AC1" s="392" t="s">
        <v>2039</v>
      </c>
      <c r="AD1" s="392" t="s">
        <v>2040</v>
      </c>
      <c r="AE1" s="392" t="s">
        <v>2041</v>
      </c>
      <c r="AF1" s="392" t="s">
        <v>2042</v>
      </c>
      <c r="AG1" s="392" t="s">
        <v>2043</v>
      </c>
      <c r="AH1" s="392" t="s">
        <v>2045</v>
      </c>
      <c r="AI1" s="392" t="s">
        <v>2046</v>
      </c>
      <c r="AJ1" s="392" t="s">
        <v>2047</v>
      </c>
      <c r="AK1" s="392" t="s">
        <v>2048</v>
      </c>
      <c r="AL1" s="392" t="s">
        <v>2049</v>
      </c>
      <c r="AM1" s="399" t="s">
        <v>2035</v>
      </c>
      <c r="AN1" s="392" t="s">
        <v>2021</v>
      </c>
      <c r="AO1" s="392" t="s">
        <v>2022</v>
      </c>
      <c r="AP1" s="392" t="s">
        <v>2050</v>
      </c>
      <c r="AQ1" s="392" t="s">
        <v>2051</v>
      </c>
      <c r="AR1" s="392" t="s">
        <v>2052</v>
      </c>
      <c r="AS1" s="392" t="s">
        <v>2053</v>
      </c>
      <c r="AT1" s="392" t="s">
        <v>2054</v>
      </c>
      <c r="AU1" s="392" t="s">
        <v>2044</v>
      </c>
      <c r="AV1" s="392" t="s">
        <v>2055</v>
      </c>
      <c r="AW1" s="392" t="s">
        <v>2056</v>
      </c>
      <c r="AX1" s="392" t="s">
        <v>2057</v>
      </c>
      <c r="AY1" s="392" t="s">
        <v>2058</v>
      </c>
      <c r="AZ1" s="399" t="s">
        <v>2036</v>
      </c>
      <c r="BA1" s="392" t="s">
        <v>2023</v>
      </c>
      <c r="BB1" s="392" t="s">
        <v>2059</v>
      </c>
      <c r="BC1" s="392" t="s">
        <v>2060</v>
      </c>
      <c r="BD1" s="392" t="s">
        <v>2061</v>
      </c>
      <c r="BE1" s="392" t="s">
        <v>2062</v>
      </c>
      <c r="BF1" s="392" t="s">
        <v>2063</v>
      </c>
      <c r="BG1" s="392" t="s">
        <v>2064</v>
      </c>
      <c r="BH1" s="392" t="s">
        <v>2065</v>
      </c>
      <c r="BI1" s="392" t="s">
        <v>2066</v>
      </c>
      <c r="BJ1" s="392" t="s">
        <v>2067</v>
      </c>
      <c r="BK1" s="392" t="s">
        <v>2068</v>
      </c>
      <c r="BL1" s="392" t="s">
        <v>2069</v>
      </c>
      <c r="BM1" s="399" t="s">
        <v>2037</v>
      </c>
      <c r="BN1" s="392" t="s">
        <v>2070</v>
      </c>
      <c r="BO1" s="392" t="s">
        <v>2071</v>
      </c>
      <c r="BP1" s="392" t="s">
        <v>2072</v>
      </c>
      <c r="BQ1" s="392" t="s">
        <v>2073</v>
      </c>
      <c r="BR1" s="392" t="s">
        <v>2074</v>
      </c>
      <c r="BS1" s="392" t="s">
        <v>2075</v>
      </c>
      <c r="BT1" s="392" t="s">
        <v>2076</v>
      </c>
      <c r="BU1" s="392" t="s">
        <v>2077</v>
      </c>
      <c r="BV1" s="392" t="s">
        <v>2078</v>
      </c>
      <c r="BW1" s="392" t="s">
        <v>2079</v>
      </c>
      <c r="BX1" s="392" t="s">
        <v>2080</v>
      </c>
      <c r="BY1" s="392" t="s">
        <v>2081</v>
      </c>
      <c r="BZ1" s="399" t="s">
        <v>2082</v>
      </c>
      <c r="CA1" s="400" t="s">
        <v>2038</v>
      </c>
      <c r="CB1" s="401" t="s">
        <v>2204</v>
      </c>
      <c r="CC1" s="401" t="s">
        <v>1653</v>
      </c>
      <c r="CD1" s="401" t="s">
        <v>1654</v>
      </c>
      <c r="CE1" s="401" t="s">
        <v>1655</v>
      </c>
      <c r="CF1" s="401" t="s">
        <v>1656</v>
      </c>
      <c r="CG1" s="402" t="s">
        <v>2083</v>
      </c>
      <c r="CH1" s="393" t="s">
        <v>2084</v>
      </c>
      <c r="CI1" s="403" t="s">
        <v>2085</v>
      </c>
      <c r="CJ1" s="394" t="s">
        <v>2086</v>
      </c>
      <c r="CK1" s="394" t="s">
        <v>2087</v>
      </c>
      <c r="CL1" s="394" t="s">
        <v>2088</v>
      </c>
      <c r="CM1" s="394" t="s">
        <v>2089</v>
      </c>
      <c r="CN1" s="394" t="s">
        <v>2090</v>
      </c>
      <c r="CO1" s="394" t="s">
        <v>2091</v>
      </c>
      <c r="CP1" s="394" t="s">
        <v>2092</v>
      </c>
      <c r="CQ1" s="394" t="s">
        <v>2093</v>
      </c>
      <c r="CR1" s="394" t="s">
        <v>2094</v>
      </c>
      <c r="CS1" s="394" t="s">
        <v>2095</v>
      </c>
      <c r="CT1" s="394" t="s">
        <v>2096</v>
      </c>
      <c r="CU1" s="394" t="s">
        <v>2097</v>
      </c>
      <c r="CV1" s="403" t="s">
        <v>2098</v>
      </c>
      <c r="CW1" s="394" t="s">
        <v>2099</v>
      </c>
      <c r="CX1" s="394" t="s">
        <v>2100</v>
      </c>
      <c r="CY1" s="394" t="s">
        <v>2101</v>
      </c>
      <c r="CZ1" s="394" t="s">
        <v>2102</v>
      </c>
      <c r="DA1" s="394" t="s">
        <v>2103</v>
      </c>
      <c r="DB1" s="394" t="s">
        <v>2104</v>
      </c>
      <c r="DC1" s="394" t="s">
        <v>2105</v>
      </c>
      <c r="DD1" s="394" t="s">
        <v>2106</v>
      </c>
      <c r="DE1" s="394" t="s">
        <v>2107</v>
      </c>
      <c r="DF1" s="394" t="s">
        <v>2108</v>
      </c>
      <c r="DG1" s="394" t="s">
        <v>2109</v>
      </c>
      <c r="DH1" s="394" t="s">
        <v>2110</v>
      </c>
      <c r="DI1" s="403" t="s">
        <v>2111</v>
      </c>
      <c r="DJ1" s="394" t="s">
        <v>2112</v>
      </c>
      <c r="DK1" s="394" t="s">
        <v>2113</v>
      </c>
      <c r="DL1" s="394" t="s">
        <v>2114</v>
      </c>
      <c r="DM1" s="394" t="s">
        <v>2115</v>
      </c>
      <c r="DN1" s="394" t="s">
        <v>2116</v>
      </c>
      <c r="DO1" s="394" t="s">
        <v>2117</v>
      </c>
      <c r="DP1" s="394" t="s">
        <v>2118</v>
      </c>
      <c r="DQ1" s="394" t="s">
        <v>2119</v>
      </c>
      <c r="DR1" s="394" t="s">
        <v>2120</v>
      </c>
      <c r="DS1" s="394" t="s">
        <v>2121</v>
      </c>
      <c r="DT1" s="394" t="s">
        <v>2122</v>
      </c>
      <c r="DU1" s="394" t="s">
        <v>2123</v>
      </c>
      <c r="DV1" s="403" t="s">
        <v>2124</v>
      </c>
      <c r="DW1" s="394" t="s">
        <v>2125</v>
      </c>
      <c r="DX1" s="394" t="s">
        <v>2126</v>
      </c>
      <c r="DY1" s="394" t="s">
        <v>2127</v>
      </c>
      <c r="DZ1" s="394" t="s">
        <v>2128</v>
      </c>
      <c r="EA1" s="394" t="s">
        <v>2129</v>
      </c>
      <c r="EB1" s="394" t="s">
        <v>2130</v>
      </c>
      <c r="EC1" s="394" t="s">
        <v>2131</v>
      </c>
      <c r="ED1" s="394" t="s">
        <v>2132</v>
      </c>
      <c r="EE1" s="394" t="s">
        <v>2133</v>
      </c>
      <c r="EF1" s="394" t="s">
        <v>2134</v>
      </c>
      <c r="EG1" s="394" t="s">
        <v>2135</v>
      </c>
      <c r="EH1" s="394" t="s">
        <v>2136</v>
      </c>
      <c r="EI1" s="403" t="s">
        <v>2137</v>
      </c>
      <c r="EJ1" s="394" t="s">
        <v>2138</v>
      </c>
      <c r="EK1" s="394" t="s">
        <v>2139</v>
      </c>
      <c r="EL1" s="394" t="s">
        <v>2140</v>
      </c>
      <c r="EM1" s="394" t="s">
        <v>2141</v>
      </c>
      <c r="EN1" s="394" t="s">
        <v>2142</v>
      </c>
      <c r="EO1" s="394" t="s">
        <v>2143</v>
      </c>
      <c r="EP1" s="394" t="s">
        <v>2144</v>
      </c>
      <c r="EQ1" s="394" t="s">
        <v>2145</v>
      </c>
      <c r="ER1" s="394" t="s">
        <v>2146</v>
      </c>
      <c r="ES1" s="394" t="s">
        <v>2147</v>
      </c>
      <c r="ET1" s="394" t="s">
        <v>2148</v>
      </c>
      <c r="EU1" s="394" t="s">
        <v>2149</v>
      </c>
      <c r="EV1" s="403" t="s">
        <v>2150</v>
      </c>
      <c r="EW1" s="404" t="s">
        <v>2151</v>
      </c>
      <c r="EX1" s="395" t="s">
        <v>2152</v>
      </c>
      <c r="EY1" s="395" t="s">
        <v>2153</v>
      </c>
      <c r="EZ1" s="395" t="s">
        <v>2154</v>
      </c>
      <c r="FA1" s="395" t="s">
        <v>2155</v>
      </c>
      <c r="FB1" s="395" t="s">
        <v>2156</v>
      </c>
      <c r="FC1" s="395" t="s">
        <v>2157</v>
      </c>
      <c r="FD1" s="395" t="s">
        <v>2158</v>
      </c>
      <c r="FE1" s="395" t="s">
        <v>2159</v>
      </c>
      <c r="FF1" s="395" t="s">
        <v>2160</v>
      </c>
      <c r="FG1" s="395" t="s">
        <v>2161</v>
      </c>
      <c r="FH1" s="395" t="s">
        <v>2162</v>
      </c>
      <c r="FI1" s="395" t="s">
        <v>2163</v>
      </c>
      <c r="FJ1" s="405" t="s">
        <v>2164</v>
      </c>
      <c r="FK1" s="405" t="s">
        <v>2165</v>
      </c>
      <c r="FL1" s="405" t="s">
        <v>2166</v>
      </c>
      <c r="FM1" s="395" t="s">
        <v>2167</v>
      </c>
      <c r="FN1" s="395" t="s">
        <v>2168</v>
      </c>
      <c r="FO1" s="395" t="s">
        <v>2169</v>
      </c>
      <c r="FP1" s="395" t="s">
        <v>2170</v>
      </c>
      <c r="FQ1" s="395" t="s">
        <v>2171</v>
      </c>
      <c r="FR1" s="395" t="s">
        <v>2172</v>
      </c>
      <c r="FS1" s="395" t="s">
        <v>2173</v>
      </c>
      <c r="FT1" s="395" t="s">
        <v>2174</v>
      </c>
      <c r="FU1" s="395" t="s">
        <v>2175</v>
      </c>
      <c r="FV1" s="395" t="s">
        <v>2176</v>
      </c>
      <c r="FW1" s="395" t="s">
        <v>2177</v>
      </c>
      <c r="FX1" s="395" t="s">
        <v>2178</v>
      </c>
      <c r="FY1" s="405" t="s">
        <v>2179</v>
      </c>
      <c r="FZ1" s="405" t="s">
        <v>2180</v>
      </c>
      <c r="GA1" s="405" t="s">
        <v>2181</v>
      </c>
      <c r="GB1" s="395" t="s">
        <v>2182</v>
      </c>
      <c r="GC1" s="395" t="s">
        <v>2183</v>
      </c>
      <c r="GD1" s="395" t="s">
        <v>2184</v>
      </c>
      <c r="GE1" s="395" t="s">
        <v>2185</v>
      </c>
      <c r="GF1" s="395" t="s">
        <v>2186</v>
      </c>
      <c r="GG1" s="395" t="s">
        <v>2187</v>
      </c>
      <c r="GH1" s="395" t="s">
        <v>2188</v>
      </c>
      <c r="GI1" s="395" t="s">
        <v>2189</v>
      </c>
      <c r="GJ1" s="395" t="s">
        <v>2190</v>
      </c>
      <c r="GK1" s="395" t="s">
        <v>2191</v>
      </c>
      <c r="GL1" s="395" t="s">
        <v>2192</v>
      </c>
      <c r="GM1" s="395" t="s">
        <v>2193</v>
      </c>
      <c r="GN1" s="405" t="s">
        <v>2194</v>
      </c>
      <c r="GO1" s="405" t="s">
        <v>2195</v>
      </c>
      <c r="GP1" s="405" t="s">
        <v>2196</v>
      </c>
      <c r="GQ1" s="395" t="s">
        <v>2205</v>
      </c>
      <c r="GR1" s="395" t="s">
        <v>2206</v>
      </c>
      <c r="GS1" s="395" t="s">
        <v>2207</v>
      </c>
      <c r="GT1" s="395" t="s">
        <v>2208</v>
      </c>
      <c r="GU1" s="395" t="s">
        <v>2209</v>
      </c>
      <c r="GV1" s="395" t="s">
        <v>2210</v>
      </c>
      <c r="GW1" s="395" t="s">
        <v>2211</v>
      </c>
      <c r="GX1" s="395" t="s">
        <v>2212</v>
      </c>
      <c r="GY1" s="395" t="s">
        <v>2213</v>
      </c>
      <c r="GZ1" s="395" t="s">
        <v>2214</v>
      </c>
      <c r="HA1" s="395" t="s">
        <v>2215</v>
      </c>
      <c r="HB1" s="395" t="s">
        <v>2216</v>
      </c>
      <c r="HC1" s="405" t="s">
        <v>2217</v>
      </c>
      <c r="HD1" s="405" t="s">
        <v>2218</v>
      </c>
      <c r="HE1" s="405" t="s">
        <v>2219</v>
      </c>
      <c r="HF1" s="395" t="s">
        <v>2220</v>
      </c>
      <c r="HG1" s="395" t="s">
        <v>2221</v>
      </c>
      <c r="HH1" s="395" t="s">
        <v>2222</v>
      </c>
      <c r="HI1" s="395" t="s">
        <v>2223</v>
      </c>
      <c r="HJ1" s="395" t="s">
        <v>2224</v>
      </c>
      <c r="HK1" s="395" t="s">
        <v>2225</v>
      </c>
      <c r="HL1" s="395" t="s">
        <v>2226</v>
      </c>
      <c r="HM1" s="395" t="s">
        <v>2227</v>
      </c>
      <c r="HN1" s="395" t="s">
        <v>2228</v>
      </c>
      <c r="HO1" s="395" t="s">
        <v>2229</v>
      </c>
      <c r="HP1" s="395" t="s">
        <v>2230</v>
      </c>
      <c r="HQ1" s="395" t="s">
        <v>2231</v>
      </c>
      <c r="HR1" s="405" t="s">
        <v>2232</v>
      </c>
      <c r="HS1" s="405" t="s">
        <v>2233</v>
      </c>
      <c r="HT1" s="405" t="s">
        <v>2234</v>
      </c>
    </row>
    <row r="2" spans="1:228" s="387" customFormat="1" ht="12.75" customHeight="1" x14ac:dyDescent="0.2">
      <c r="A2" s="406" t="s">
        <v>55</v>
      </c>
      <c r="B2" s="407" t="s">
        <v>38</v>
      </c>
      <c r="C2" s="406" t="s">
        <v>1585</v>
      </c>
      <c r="D2" s="407" t="s">
        <v>463</v>
      </c>
      <c r="E2" s="407" t="s">
        <v>1585</v>
      </c>
      <c r="F2" s="407" t="s">
        <v>463</v>
      </c>
      <c r="G2" s="406" t="s">
        <v>60</v>
      </c>
      <c r="H2" s="408" t="s">
        <v>520</v>
      </c>
      <c r="I2" s="408"/>
      <c r="J2" s="406" t="s">
        <v>1939</v>
      </c>
      <c r="K2" s="406" t="s">
        <v>465</v>
      </c>
      <c r="L2" s="406" t="s">
        <v>859</v>
      </c>
      <c r="M2" s="406"/>
      <c r="N2" s="452">
        <v>0</v>
      </c>
      <c r="O2" s="452">
        <v>0</v>
      </c>
      <c r="P2" s="452">
        <v>0</v>
      </c>
      <c r="Q2" s="452">
        <v>0</v>
      </c>
      <c r="R2" s="452">
        <v>0</v>
      </c>
      <c r="S2" s="452">
        <v>0</v>
      </c>
      <c r="T2" s="452">
        <v>0</v>
      </c>
      <c r="U2" s="409">
        <v>0</v>
      </c>
      <c r="V2" s="409"/>
      <c r="W2" s="409"/>
      <c r="X2" s="409"/>
      <c r="Y2" s="409"/>
      <c r="Z2" s="453">
        <f>SUM(N2:Y2)</f>
        <v>0</v>
      </c>
      <c r="AA2" s="452"/>
      <c r="AB2" s="452"/>
      <c r="AC2" s="452"/>
      <c r="AD2" s="452"/>
      <c r="AE2" s="452"/>
      <c r="AF2" s="452"/>
      <c r="AG2" s="452"/>
      <c r="AH2" s="409">
        <v>177.91638</v>
      </c>
      <c r="AI2" s="409"/>
      <c r="AJ2" s="409"/>
      <c r="AK2" s="409"/>
      <c r="AL2" s="409"/>
      <c r="AM2" s="453">
        <f t="shared" ref="AM2:AM65" si="0">SUM(AA2:AL2)</f>
        <v>177.91638</v>
      </c>
      <c r="AN2" s="452"/>
      <c r="AO2" s="452"/>
      <c r="AP2" s="452"/>
      <c r="AQ2" s="452">
        <v>120</v>
      </c>
      <c r="AR2" s="452"/>
      <c r="AS2" s="452"/>
      <c r="AT2" s="452"/>
      <c r="AU2" s="409"/>
      <c r="AV2" s="409"/>
      <c r="AW2" s="409"/>
      <c r="AX2" s="409"/>
      <c r="AY2" s="409"/>
      <c r="AZ2" s="453">
        <f t="shared" ref="AZ2:AZ65" si="1">SUM(AN2:AY2)</f>
        <v>120</v>
      </c>
      <c r="BA2" s="452"/>
      <c r="BB2" s="452"/>
      <c r="BC2" s="452"/>
      <c r="BD2" s="452"/>
      <c r="BE2" s="452"/>
      <c r="BF2" s="452"/>
      <c r="BG2" s="452"/>
      <c r="BH2" s="409"/>
      <c r="BI2" s="409"/>
      <c r="BJ2" s="409"/>
      <c r="BK2" s="409"/>
      <c r="BL2" s="409"/>
      <c r="BM2" s="453">
        <f t="shared" ref="BM2:BM65" si="2">SUM(BA2:BL2)</f>
        <v>0</v>
      </c>
      <c r="BN2" s="452"/>
      <c r="BO2" s="452"/>
      <c r="BP2" s="452"/>
      <c r="BQ2" s="452"/>
      <c r="BR2" s="452"/>
      <c r="BS2" s="452"/>
      <c r="BT2" s="452"/>
      <c r="BU2" s="409"/>
      <c r="BV2" s="409"/>
      <c r="BW2" s="409"/>
      <c r="BX2" s="409"/>
      <c r="BY2" s="409"/>
      <c r="BZ2" s="453">
        <f t="shared" ref="BZ2:BZ65" si="3">SUM(BN2:BY2)</f>
        <v>0</v>
      </c>
      <c r="CA2" s="454">
        <f t="shared" ref="CA2:CA65" si="4">SUM(BZ2,BM2,AZ2,AM2,Z2)</f>
        <v>297.91638</v>
      </c>
      <c r="CB2" s="411" t="s">
        <v>2197</v>
      </c>
      <c r="CC2" s="411"/>
      <c r="CD2" s="411"/>
      <c r="CE2" s="411"/>
      <c r="CF2" s="411"/>
      <c r="CG2" s="412"/>
      <c r="CH2" s="413"/>
      <c r="CI2" s="414"/>
      <c r="CJ2" s="415"/>
      <c r="CK2" s="415"/>
      <c r="CL2" s="415"/>
      <c r="CM2" s="415"/>
      <c r="CN2" s="415"/>
      <c r="CO2" s="415"/>
      <c r="CP2" s="415"/>
      <c r="CQ2" s="415"/>
      <c r="CR2" s="415"/>
      <c r="CS2" s="415"/>
      <c r="CT2" s="415"/>
      <c r="CU2" s="415"/>
      <c r="CV2" s="410">
        <f t="shared" ref="CV2:CV7" si="5">SUM(CJ2:CU2)</f>
        <v>0</v>
      </c>
      <c r="CW2" s="415"/>
      <c r="CX2" s="415"/>
      <c r="CY2" s="415"/>
      <c r="CZ2" s="415"/>
      <c r="DA2" s="415"/>
      <c r="DB2" s="415"/>
      <c r="DC2" s="415"/>
      <c r="DD2" s="415">
        <v>3</v>
      </c>
      <c r="DE2" s="415"/>
      <c r="DF2" s="415"/>
      <c r="DG2" s="415"/>
      <c r="DH2" s="415"/>
      <c r="DI2" s="410">
        <f t="shared" ref="DI2:DI7" si="6">SUM(CW2:DH2)</f>
        <v>3</v>
      </c>
      <c r="DJ2" s="415"/>
      <c r="DK2" s="415"/>
      <c r="DL2" s="415"/>
      <c r="DM2" s="415">
        <v>2</v>
      </c>
      <c r="DN2" s="415"/>
      <c r="DO2" s="415"/>
      <c r="DP2" s="415"/>
      <c r="DQ2" s="415"/>
      <c r="DR2" s="415"/>
      <c r="DS2" s="415"/>
      <c r="DT2" s="415"/>
      <c r="DU2" s="415"/>
      <c r="DV2" s="410">
        <f t="shared" ref="DV2:DV7" si="7">SUM(DJ2:DU2)</f>
        <v>2</v>
      </c>
      <c r="DW2" s="415"/>
      <c r="DX2" s="415"/>
      <c r="DY2" s="415"/>
      <c r="DZ2" s="415"/>
      <c r="EA2" s="415"/>
      <c r="EB2" s="415"/>
      <c r="EC2" s="415"/>
      <c r="ED2" s="415"/>
      <c r="EE2" s="415"/>
      <c r="EF2" s="415"/>
      <c r="EG2" s="415"/>
      <c r="EH2" s="415"/>
      <c r="EI2" s="410">
        <f t="shared" ref="EI2:EI7" si="8">SUM(DW2:EH2)</f>
        <v>0</v>
      </c>
      <c r="EJ2" s="415"/>
      <c r="EK2" s="415"/>
      <c r="EL2" s="415"/>
      <c r="EM2" s="415"/>
      <c r="EN2" s="415"/>
      <c r="EO2" s="415"/>
      <c r="EP2" s="415"/>
      <c r="EQ2" s="415"/>
      <c r="ER2" s="415"/>
      <c r="ES2" s="415"/>
      <c r="ET2" s="415"/>
      <c r="EU2" s="415"/>
      <c r="EV2" s="410">
        <f t="shared" ref="EV2:EV7" si="9">SUM(EJ2:EU2)</f>
        <v>0</v>
      </c>
      <c r="EW2" s="416">
        <f t="shared" ref="EW2:EW7" si="10">SUM(EV2,EI2,DV2,DI2,CV2)</f>
        <v>5</v>
      </c>
      <c r="EX2" s="417">
        <f>IFERROR(VLOOKUP(H2,CEI_012018!$A$1:$U$509,9,FALSE),0)</f>
        <v>0</v>
      </c>
      <c r="EY2" s="417">
        <f>IFERROR(VLOOKUP(H2,CEI_022018!$A$1:$U$509,9,FALSE),0)</f>
        <v>0</v>
      </c>
      <c r="EZ2" s="417">
        <f>IFERROR(VLOOKUP(H2,CEI_032018!$A$1:$U$509,9,FALSE),0)</f>
        <v>0</v>
      </c>
      <c r="FA2" s="417">
        <f>IFERROR(VLOOKUP(H2,CEI_042018!$A$1:$U$491,9,FALSE),0)</f>
        <v>0</v>
      </c>
      <c r="FB2" s="417">
        <f>IFERROR(VLOOKUP(H2,CEI_052018!$A$1:$U$489,9,FALSE),0)</f>
        <v>0</v>
      </c>
      <c r="FC2" s="417">
        <f>IFERROR(VLOOKUP(H2,CEI_062018!$A$1:$U$489,9,FALSE),0)</f>
        <v>0</v>
      </c>
      <c r="FD2" s="417">
        <f>IFERROR(VLOOKUP(H2,CEI_072018!$A$1:$U$489,9,FALSE),0)</f>
        <v>0</v>
      </c>
      <c r="FE2" s="417">
        <f>IFERROR(VLOOKUP(H2,CEI_082018!$A$1:$U$489,9,FALSE),0)</f>
        <v>0</v>
      </c>
      <c r="FF2" s="417">
        <f>IFERROR(VLOOKUP(H2,CEI_092018!$A$1:$U$489,9,FALSE),0)</f>
        <v>0</v>
      </c>
      <c r="FG2" s="417"/>
      <c r="FH2" s="417"/>
      <c r="FI2" s="417"/>
      <c r="FJ2" s="418">
        <f>IFERROR(VLOOKUP(H2,CEI_092018!$A$1:$U$489,12,FALSE),0)</f>
        <v>0</v>
      </c>
      <c r="FK2" s="418">
        <f t="shared" ref="FK2:FK33" si="11">FF2+FJ2</f>
        <v>0</v>
      </c>
      <c r="FL2" s="418">
        <f t="shared" ref="FL2:FL33" si="12">SUM(Z2-FK2)</f>
        <v>0</v>
      </c>
      <c r="FM2" s="417"/>
      <c r="FN2" s="417"/>
      <c r="FO2" s="417"/>
      <c r="FP2" s="417"/>
      <c r="FQ2" s="417"/>
      <c r="FR2" s="417"/>
      <c r="FS2" s="417"/>
      <c r="FT2" s="417"/>
      <c r="FU2" s="417"/>
      <c r="FV2" s="417"/>
      <c r="FW2" s="417"/>
      <c r="FX2" s="417"/>
      <c r="FY2" s="418"/>
      <c r="FZ2" s="418"/>
      <c r="GA2" s="418"/>
      <c r="GB2" s="417"/>
      <c r="GC2" s="417"/>
      <c r="GD2" s="417"/>
      <c r="GE2" s="417"/>
      <c r="GF2" s="417"/>
      <c r="GG2" s="417"/>
      <c r="GH2" s="417"/>
      <c r="GI2" s="417"/>
      <c r="GJ2" s="417"/>
      <c r="GK2" s="417"/>
      <c r="GL2" s="417"/>
      <c r="GM2" s="417"/>
      <c r="GN2" s="418"/>
      <c r="GO2" s="418"/>
      <c r="GP2" s="418"/>
      <c r="GQ2" s="417"/>
      <c r="GR2" s="417"/>
      <c r="GS2" s="417"/>
      <c r="GT2" s="417"/>
      <c r="GU2" s="417"/>
      <c r="GV2" s="417"/>
      <c r="GW2" s="417"/>
      <c r="GX2" s="417"/>
      <c r="GY2" s="417"/>
      <c r="GZ2" s="417"/>
      <c r="HA2" s="417"/>
      <c r="HB2" s="417"/>
      <c r="HC2" s="418"/>
      <c r="HD2" s="418"/>
      <c r="HE2" s="418"/>
      <c r="HF2" s="417"/>
      <c r="HG2" s="417"/>
      <c r="HH2" s="417"/>
      <c r="HI2" s="417"/>
      <c r="HJ2" s="417"/>
      <c r="HK2" s="417"/>
      <c r="HL2" s="417"/>
      <c r="HM2" s="417"/>
      <c r="HN2" s="417"/>
      <c r="HO2" s="417"/>
      <c r="HP2" s="417"/>
      <c r="HQ2" s="417"/>
      <c r="HR2" s="418"/>
      <c r="HS2" s="418"/>
      <c r="HT2" s="418"/>
    </row>
    <row r="3" spans="1:228" s="387" customFormat="1" ht="12.95" customHeight="1" x14ac:dyDescent="0.2">
      <c r="A3" s="406" t="s">
        <v>55</v>
      </c>
      <c r="B3" s="407" t="s">
        <v>38</v>
      </c>
      <c r="C3" s="406" t="s">
        <v>1585</v>
      </c>
      <c r="D3" s="407" t="s">
        <v>463</v>
      </c>
      <c r="E3" s="407" t="s">
        <v>1585</v>
      </c>
      <c r="F3" s="407" t="s">
        <v>463</v>
      </c>
      <c r="G3" s="406" t="s">
        <v>60</v>
      </c>
      <c r="H3" s="408" t="s">
        <v>1932</v>
      </c>
      <c r="I3" s="408" t="s">
        <v>1934</v>
      </c>
      <c r="J3" s="406" t="s">
        <v>1940</v>
      </c>
      <c r="K3" s="406" t="s">
        <v>465</v>
      </c>
      <c r="L3" s="406" t="s">
        <v>859</v>
      </c>
      <c r="M3" s="406"/>
      <c r="N3" s="452">
        <v>0</v>
      </c>
      <c r="O3" s="452">
        <v>0</v>
      </c>
      <c r="P3" s="452">
        <v>0</v>
      </c>
      <c r="Q3" s="452">
        <v>0</v>
      </c>
      <c r="R3" s="452">
        <v>0</v>
      </c>
      <c r="S3" s="452">
        <v>0</v>
      </c>
      <c r="T3" s="452">
        <v>0</v>
      </c>
      <c r="U3" s="409">
        <v>0</v>
      </c>
      <c r="V3" s="409"/>
      <c r="W3" s="409"/>
      <c r="X3" s="409"/>
      <c r="Y3" s="409">
        <v>302.08362</v>
      </c>
      <c r="Z3" s="453">
        <f t="shared" ref="Z3:Z66" si="13">SUM(N3:Y3)</f>
        <v>302.08362</v>
      </c>
      <c r="AA3" s="452"/>
      <c r="AB3" s="452"/>
      <c r="AC3" s="452"/>
      <c r="AD3" s="452"/>
      <c r="AE3" s="452"/>
      <c r="AF3" s="452"/>
      <c r="AG3" s="452"/>
      <c r="AH3" s="409"/>
      <c r="AI3" s="409"/>
      <c r="AJ3" s="409"/>
      <c r="AK3" s="409"/>
      <c r="AL3" s="409"/>
      <c r="AM3" s="453">
        <f t="shared" si="0"/>
        <v>0</v>
      </c>
      <c r="AN3" s="452"/>
      <c r="AO3" s="452"/>
      <c r="AP3" s="452"/>
      <c r="AQ3" s="452"/>
      <c r="AR3" s="452"/>
      <c r="AS3" s="452"/>
      <c r="AT3" s="452"/>
      <c r="AU3" s="409"/>
      <c r="AV3" s="409"/>
      <c r="AW3" s="409"/>
      <c r="AX3" s="409"/>
      <c r="AY3" s="409"/>
      <c r="AZ3" s="453">
        <f t="shared" si="1"/>
        <v>0</v>
      </c>
      <c r="BA3" s="452"/>
      <c r="BB3" s="452"/>
      <c r="BC3" s="452"/>
      <c r="BD3" s="452"/>
      <c r="BE3" s="452"/>
      <c r="BF3" s="452"/>
      <c r="BG3" s="452"/>
      <c r="BH3" s="409"/>
      <c r="BI3" s="409"/>
      <c r="BJ3" s="409"/>
      <c r="BK3" s="409"/>
      <c r="BL3" s="409"/>
      <c r="BM3" s="453">
        <f t="shared" si="2"/>
        <v>0</v>
      </c>
      <c r="BN3" s="452"/>
      <c r="BO3" s="452"/>
      <c r="BP3" s="452"/>
      <c r="BQ3" s="452"/>
      <c r="BR3" s="452"/>
      <c r="BS3" s="452"/>
      <c r="BT3" s="452"/>
      <c r="BU3" s="409"/>
      <c r="BV3" s="409"/>
      <c r="BW3" s="409"/>
      <c r="BX3" s="409"/>
      <c r="BY3" s="409"/>
      <c r="BZ3" s="453">
        <f t="shared" si="3"/>
        <v>0</v>
      </c>
      <c r="CA3" s="454">
        <f t="shared" si="4"/>
        <v>302.08362</v>
      </c>
      <c r="CB3" s="419" t="s">
        <v>2198</v>
      </c>
      <c r="CC3" s="419">
        <v>1</v>
      </c>
      <c r="CD3" s="419">
        <v>1</v>
      </c>
      <c r="CE3" s="419">
        <v>1</v>
      </c>
      <c r="CF3" s="419">
        <v>-1</v>
      </c>
      <c r="CG3" s="420">
        <f>IFERROR((FE3/Z3%),0)</f>
        <v>0</v>
      </c>
      <c r="CH3" s="421">
        <f>IFERROR((FK3/Z3%),0)</f>
        <v>99.999999392241961</v>
      </c>
      <c r="CI3" s="414" t="s">
        <v>106</v>
      </c>
      <c r="CJ3" s="415">
        <v>0</v>
      </c>
      <c r="CK3" s="415"/>
      <c r="CL3" s="415"/>
      <c r="CM3" s="415"/>
      <c r="CN3" s="415"/>
      <c r="CO3" s="415"/>
      <c r="CP3" s="415"/>
      <c r="CQ3" s="415">
        <v>5</v>
      </c>
      <c r="CR3" s="415"/>
      <c r="CS3" s="415"/>
      <c r="CT3" s="415"/>
      <c r="CU3" s="415"/>
      <c r="CV3" s="410">
        <f t="shared" si="5"/>
        <v>5</v>
      </c>
      <c r="CW3" s="415"/>
      <c r="CX3" s="415"/>
      <c r="CY3" s="415"/>
      <c r="CZ3" s="415"/>
      <c r="DA3" s="415"/>
      <c r="DB3" s="415"/>
      <c r="DC3" s="415"/>
      <c r="DD3" s="415"/>
      <c r="DE3" s="415"/>
      <c r="DF3" s="415"/>
      <c r="DG3" s="415"/>
      <c r="DH3" s="415"/>
      <c r="DI3" s="410">
        <f t="shared" si="6"/>
        <v>0</v>
      </c>
      <c r="DJ3" s="415"/>
      <c r="DK3" s="415"/>
      <c r="DL3" s="415"/>
      <c r="DM3" s="415"/>
      <c r="DN3" s="415"/>
      <c r="DO3" s="415"/>
      <c r="DP3" s="415"/>
      <c r="DQ3" s="415"/>
      <c r="DR3" s="415"/>
      <c r="DS3" s="415"/>
      <c r="DT3" s="415"/>
      <c r="DU3" s="415"/>
      <c r="DV3" s="410">
        <f t="shared" si="7"/>
        <v>0</v>
      </c>
      <c r="DW3" s="415"/>
      <c r="DX3" s="415"/>
      <c r="DY3" s="415"/>
      <c r="DZ3" s="415"/>
      <c r="EA3" s="415"/>
      <c r="EB3" s="415"/>
      <c r="EC3" s="415"/>
      <c r="ED3" s="415"/>
      <c r="EE3" s="415"/>
      <c r="EF3" s="415"/>
      <c r="EG3" s="415"/>
      <c r="EH3" s="415"/>
      <c r="EI3" s="410">
        <f t="shared" si="8"/>
        <v>0</v>
      </c>
      <c r="EJ3" s="415"/>
      <c r="EK3" s="415"/>
      <c r="EL3" s="415"/>
      <c r="EM3" s="415"/>
      <c r="EN3" s="415"/>
      <c r="EO3" s="415"/>
      <c r="EP3" s="415"/>
      <c r="EQ3" s="415"/>
      <c r="ER3" s="415"/>
      <c r="ES3" s="415"/>
      <c r="ET3" s="415"/>
      <c r="EU3" s="415"/>
      <c r="EV3" s="410">
        <f t="shared" si="9"/>
        <v>0</v>
      </c>
      <c r="EW3" s="416">
        <f t="shared" si="10"/>
        <v>5</v>
      </c>
      <c r="EX3" s="417">
        <f>IFERROR(VLOOKUP(H3,CEI_012018!$A$1:$U$509,9,FALSE),0)</f>
        <v>0</v>
      </c>
      <c r="EY3" s="417">
        <f>IFERROR(VLOOKUP(H3,CEI_022018!$A$1:$U$509,9,FALSE),0)</f>
        <v>0</v>
      </c>
      <c r="EZ3" s="417">
        <f>IFERROR(VLOOKUP(H3,CEI_032018!$A$1:$U$509,9,FALSE),0)</f>
        <v>0</v>
      </c>
      <c r="FA3" s="417">
        <f>IFERROR(VLOOKUP(H3,CEI_042018!$A$1:$U$491,9,FALSE),0)</f>
        <v>0</v>
      </c>
      <c r="FB3" s="417">
        <f>IFERROR(VLOOKUP(H3,CEI_052018!$A$1:$U$489,9,FALSE),0)</f>
        <v>0</v>
      </c>
      <c r="FC3" s="417">
        <f>IFERROR(VLOOKUP(H3,CEI_062018!$A$1:$U$489,9,FALSE),0)</f>
        <v>0</v>
      </c>
      <c r="FD3" s="417">
        <f>IFERROR(VLOOKUP(H3,CEI_072018!$A$1:$U$489,9,FALSE),0)</f>
        <v>0</v>
      </c>
      <c r="FE3" s="417">
        <f>IFERROR(VLOOKUP(H3,CEI_082018!$A$1:$U$489,9,FALSE),0)</f>
        <v>0</v>
      </c>
      <c r="FF3" s="417">
        <f>IFERROR(VLOOKUP(H3,CEI_092018!$A$1:$U$489,9,FALSE),0)</f>
        <v>0</v>
      </c>
      <c r="FG3" s="417"/>
      <c r="FH3" s="417"/>
      <c r="FI3" s="417"/>
      <c r="FJ3" s="418">
        <f>IFERROR(VLOOKUP(H3,CEI_092018!$A$1:$U$489,12,FALSE),0)</f>
        <v>302.0836181640625</v>
      </c>
      <c r="FK3" s="418">
        <f t="shared" si="11"/>
        <v>302.0836181640625</v>
      </c>
      <c r="FL3" s="418">
        <f t="shared" si="12"/>
        <v>1.8359374962528818E-6</v>
      </c>
      <c r="FM3" s="417"/>
      <c r="FN3" s="417"/>
      <c r="FO3" s="417"/>
      <c r="FP3" s="417"/>
      <c r="FQ3" s="417"/>
      <c r="FR3" s="417"/>
      <c r="FS3" s="417"/>
      <c r="FT3" s="417"/>
      <c r="FU3" s="417"/>
      <c r="FV3" s="417"/>
      <c r="FW3" s="417"/>
      <c r="FX3" s="417"/>
      <c r="FY3" s="418"/>
      <c r="FZ3" s="418"/>
      <c r="GA3" s="418"/>
      <c r="GB3" s="417"/>
      <c r="GC3" s="417"/>
      <c r="GD3" s="417"/>
      <c r="GE3" s="417"/>
      <c r="GF3" s="417"/>
      <c r="GG3" s="417"/>
      <c r="GH3" s="417"/>
      <c r="GI3" s="417"/>
      <c r="GJ3" s="417"/>
      <c r="GK3" s="417"/>
      <c r="GL3" s="417"/>
      <c r="GM3" s="417"/>
      <c r="GN3" s="418"/>
      <c r="GO3" s="418"/>
      <c r="GP3" s="418"/>
      <c r="GQ3" s="417"/>
      <c r="GR3" s="417"/>
      <c r="GS3" s="417"/>
      <c r="GT3" s="417"/>
      <c r="GU3" s="417"/>
      <c r="GV3" s="417"/>
      <c r="GW3" s="417"/>
      <c r="GX3" s="417"/>
      <c r="GY3" s="417"/>
      <c r="GZ3" s="417"/>
      <c r="HA3" s="417"/>
      <c r="HB3" s="417"/>
      <c r="HC3" s="418"/>
      <c r="HD3" s="418"/>
      <c r="HE3" s="418"/>
      <c r="HF3" s="417"/>
      <c r="HG3" s="417"/>
      <c r="HH3" s="417"/>
      <c r="HI3" s="417"/>
      <c r="HJ3" s="417"/>
      <c r="HK3" s="417"/>
      <c r="HL3" s="417"/>
      <c r="HM3" s="417"/>
      <c r="HN3" s="417"/>
      <c r="HO3" s="417"/>
      <c r="HP3" s="417"/>
      <c r="HQ3" s="417"/>
      <c r="HR3" s="418"/>
      <c r="HS3" s="418"/>
      <c r="HT3" s="418"/>
    </row>
    <row r="4" spans="1:228" s="387" customFormat="1" ht="12.95" customHeight="1" x14ac:dyDescent="0.2">
      <c r="A4" s="406" t="s">
        <v>55</v>
      </c>
      <c r="B4" s="407" t="s">
        <v>38</v>
      </c>
      <c r="C4" s="406" t="s">
        <v>1586</v>
      </c>
      <c r="D4" s="407" t="s">
        <v>466</v>
      </c>
      <c r="E4" s="407" t="s">
        <v>1586</v>
      </c>
      <c r="F4" s="407" t="s">
        <v>466</v>
      </c>
      <c r="G4" s="406" t="s">
        <v>60</v>
      </c>
      <c r="H4" s="408" t="s">
        <v>1811</v>
      </c>
      <c r="I4" s="408" t="s">
        <v>1810</v>
      </c>
      <c r="J4" s="406" t="s">
        <v>1815</v>
      </c>
      <c r="K4" s="406" t="s">
        <v>1817</v>
      </c>
      <c r="L4" s="406" t="s">
        <v>1816</v>
      </c>
      <c r="M4" s="406"/>
      <c r="N4" s="452">
        <v>0</v>
      </c>
      <c r="O4" s="452">
        <v>0</v>
      </c>
      <c r="P4" s="452">
        <v>0</v>
      </c>
      <c r="Q4" s="452">
        <v>0</v>
      </c>
      <c r="R4" s="452">
        <v>0</v>
      </c>
      <c r="S4" s="452">
        <v>0</v>
      </c>
      <c r="T4" s="452">
        <v>0</v>
      </c>
      <c r="U4" s="409">
        <v>0</v>
      </c>
      <c r="V4" s="409"/>
      <c r="W4" s="409">
        <v>26</v>
      </c>
      <c r="X4" s="409">
        <v>5</v>
      </c>
      <c r="Y4" s="409">
        <v>22</v>
      </c>
      <c r="Z4" s="453">
        <f t="shared" si="13"/>
        <v>53</v>
      </c>
      <c r="AA4" s="452">
        <v>0</v>
      </c>
      <c r="AB4" s="452"/>
      <c r="AC4" s="452"/>
      <c r="AD4" s="452">
        <v>110</v>
      </c>
      <c r="AE4" s="452"/>
      <c r="AF4" s="452"/>
      <c r="AG4" s="452"/>
      <c r="AH4" s="409"/>
      <c r="AI4" s="409"/>
      <c r="AJ4" s="409"/>
      <c r="AK4" s="409"/>
      <c r="AL4" s="409"/>
      <c r="AM4" s="453">
        <f t="shared" si="0"/>
        <v>110</v>
      </c>
      <c r="AN4" s="452"/>
      <c r="AO4" s="452"/>
      <c r="AP4" s="452"/>
      <c r="AQ4" s="452"/>
      <c r="AR4" s="452"/>
      <c r="AS4" s="452"/>
      <c r="AT4" s="452"/>
      <c r="AU4" s="409"/>
      <c r="AV4" s="409"/>
      <c r="AW4" s="409"/>
      <c r="AX4" s="409"/>
      <c r="AY4" s="409"/>
      <c r="AZ4" s="453">
        <f t="shared" si="1"/>
        <v>0</v>
      </c>
      <c r="BA4" s="452"/>
      <c r="BB4" s="452"/>
      <c r="BC4" s="452"/>
      <c r="BD4" s="452"/>
      <c r="BE4" s="452"/>
      <c r="BF4" s="452"/>
      <c r="BG4" s="452"/>
      <c r="BH4" s="409"/>
      <c r="BI4" s="409"/>
      <c r="BJ4" s="409"/>
      <c r="BK4" s="409"/>
      <c r="BL4" s="409"/>
      <c r="BM4" s="453">
        <f t="shared" si="2"/>
        <v>0</v>
      </c>
      <c r="BN4" s="452"/>
      <c r="BO4" s="452"/>
      <c r="BP4" s="452"/>
      <c r="BQ4" s="452"/>
      <c r="BR4" s="452"/>
      <c r="BS4" s="452"/>
      <c r="BT4" s="452"/>
      <c r="BU4" s="409"/>
      <c r="BV4" s="409"/>
      <c r="BW4" s="409"/>
      <c r="BX4" s="409"/>
      <c r="BY4" s="409"/>
      <c r="BZ4" s="453">
        <f t="shared" si="3"/>
        <v>0</v>
      </c>
      <c r="CA4" s="454">
        <f t="shared" si="4"/>
        <v>163</v>
      </c>
      <c r="CB4" s="419" t="s">
        <v>2199</v>
      </c>
      <c r="CC4" s="419">
        <v>1</v>
      </c>
      <c r="CD4" s="419">
        <v>1</v>
      </c>
      <c r="CE4" s="419">
        <v>1</v>
      </c>
      <c r="CF4" s="419">
        <v>1</v>
      </c>
      <c r="CG4" s="420">
        <f>IFERROR((FE4/Z4%),0)</f>
        <v>0</v>
      </c>
      <c r="CH4" s="421">
        <f>IFERROR((FK4/Z4%),0)</f>
        <v>87.024926239589476</v>
      </c>
      <c r="CI4" s="414" t="s">
        <v>106</v>
      </c>
      <c r="CJ4" s="415">
        <v>0</v>
      </c>
      <c r="CK4" s="415"/>
      <c r="CL4" s="415"/>
      <c r="CM4" s="415"/>
      <c r="CN4" s="415"/>
      <c r="CO4" s="415"/>
      <c r="CP4" s="415"/>
      <c r="CQ4" s="415"/>
      <c r="CR4" s="415">
        <v>1</v>
      </c>
      <c r="CS4" s="415">
        <v>25</v>
      </c>
      <c r="CT4" s="415"/>
      <c r="CU4" s="415"/>
      <c r="CV4" s="410">
        <f t="shared" si="5"/>
        <v>26</v>
      </c>
      <c r="CW4" s="415">
        <v>0</v>
      </c>
      <c r="CX4" s="415"/>
      <c r="CY4" s="415"/>
      <c r="CZ4" s="415"/>
      <c r="DA4" s="415"/>
      <c r="DB4" s="415"/>
      <c r="DC4" s="415"/>
      <c r="DD4" s="415"/>
      <c r="DE4" s="415"/>
      <c r="DF4" s="415"/>
      <c r="DG4" s="415"/>
      <c r="DH4" s="415"/>
      <c r="DI4" s="410">
        <f t="shared" si="6"/>
        <v>0</v>
      </c>
      <c r="DJ4" s="415">
        <v>0</v>
      </c>
      <c r="DK4" s="415"/>
      <c r="DL4" s="415"/>
      <c r="DM4" s="415"/>
      <c r="DN4" s="415"/>
      <c r="DO4" s="415"/>
      <c r="DP4" s="415"/>
      <c r="DQ4" s="415"/>
      <c r="DR4" s="415"/>
      <c r="DS4" s="415"/>
      <c r="DT4" s="415"/>
      <c r="DU4" s="415"/>
      <c r="DV4" s="410">
        <f t="shared" si="7"/>
        <v>0</v>
      </c>
      <c r="DW4" s="415"/>
      <c r="DX4" s="415"/>
      <c r="DY4" s="415"/>
      <c r="DZ4" s="415"/>
      <c r="EA4" s="415"/>
      <c r="EB4" s="415"/>
      <c r="EC4" s="415"/>
      <c r="ED4" s="415"/>
      <c r="EE4" s="415"/>
      <c r="EF4" s="415"/>
      <c r="EG4" s="415"/>
      <c r="EH4" s="415"/>
      <c r="EI4" s="410">
        <f t="shared" si="8"/>
        <v>0</v>
      </c>
      <c r="EJ4" s="415"/>
      <c r="EK4" s="415"/>
      <c r="EL4" s="415"/>
      <c r="EM4" s="415"/>
      <c r="EN4" s="415"/>
      <c r="EO4" s="415"/>
      <c r="EP4" s="415"/>
      <c r="EQ4" s="415"/>
      <c r="ER4" s="415"/>
      <c r="ES4" s="415"/>
      <c r="ET4" s="415"/>
      <c r="EU4" s="415"/>
      <c r="EV4" s="410">
        <f t="shared" si="9"/>
        <v>0</v>
      </c>
      <c r="EW4" s="416">
        <f t="shared" si="10"/>
        <v>26</v>
      </c>
      <c r="EX4" s="417">
        <f>IFERROR(VLOOKUP(H4,CEI_012018!$A$1:$U$509,9,FALSE),0)</f>
        <v>0</v>
      </c>
      <c r="EY4" s="417">
        <f>IFERROR(VLOOKUP(H4,CEI_022018!$A$1:$U$509,9,FALSE),0)</f>
        <v>0</v>
      </c>
      <c r="EZ4" s="417">
        <f>IFERROR(VLOOKUP(H4,CEI_032018!$A$1:$U$509,9,FALSE),0)</f>
        <v>0</v>
      </c>
      <c r="FA4" s="417">
        <f>IFERROR(VLOOKUP(H4,CEI_042018!$A$1:$U$491,9,FALSE),0)</f>
        <v>0</v>
      </c>
      <c r="FB4" s="417">
        <f>IFERROR(VLOOKUP(H4,CEI_052018!$A$1:$U$489,9,FALSE),0)</f>
        <v>0</v>
      </c>
      <c r="FC4" s="417">
        <f>IFERROR(VLOOKUP(H4,CEI_062018!$A$1:$U$489,9,FALSE),0)</f>
        <v>0</v>
      </c>
      <c r="FD4" s="417">
        <f>IFERROR(VLOOKUP(H4,CEI_072018!$A$1:$U$489,9,FALSE),0)</f>
        <v>0</v>
      </c>
      <c r="FE4" s="417">
        <f>IFERROR(VLOOKUP(H4,CEI_082018!$A$1:$U$489,9,FALSE),0)</f>
        <v>0</v>
      </c>
      <c r="FF4" s="417">
        <f>IFERROR(VLOOKUP(H4,CEI_092018!$A$1:$U$489,9,FALSE),0)</f>
        <v>0</v>
      </c>
      <c r="FG4" s="417"/>
      <c r="FH4" s="417"/>
      <c r="FI4" s="417"/>
      <c r="FJ4" s="418">
        <f>IFERROR(VLOOKUP(H4,CEI_092018!$A$1:$U$489,12,FALSE),0)</f>
        <v>46.123210906982422</v>
      </c>
      <c r="FK4" s="418">
        <f t="shared" si="11"/>
        <v>46.123210906982422</v>
      </c>
      <c r="FL4" s="418">
        <f t="shared" si="12"/>
        <v>6.8767890930175781</v>
      </c>
      <c r="FM4" s="417"/>
      <c r="FN4" s="417"/>
      <c r="FO4" s="417"/>
      <c r="FP4" s="417"/>
      <c r="FQ4" s="417"/>
      <c r="FR4" s="417"/>
      <c r="FS4" s="417"/>
      <c r="FT4" s="417"/>
      <c r="FU4" s="417"/>
      <c r="FV4" s="417"/>
      <c r="FW4" s="417"/>
      <c r="FX4" s="417"/>
      <c r="FY4" s="418"/>
      <c r="FZ4" s="418"/>
      <c r="GA4" s="418"/>
      <c r="GB4" s="417"/>
      <c r="GC4" s="417"/>
      <c r="GD4" s="417"/>
      <c r="GE4" s="417"/>
      <c r="GF4" s="417"/>
      <c r="GG4" s="417"/>
      <c r="GH4" s="417"/>
      <c r="GI4" s="417"/>
      <c r="GJ4" s="417"/>
      <c r="GK4" s="417"/>
      <c r="GL4" s="417"/>
      <c r="GM4" s="417"/>
      <c r="GN4" s="418"/>
      <c r="GO4" s="418"/>
      <c r="GP4" s="418"/>
      <c r="GQ4" s="417"/>
      <c r="GR4" s="417"/>
      <c r="GS4" s="417"/>
      <c r="GT4" s="417"/>
      <c r="GU4" s="417"/>
      <c r="GV4" s="417"/>
      <c r="GW4" s="417"/>
      <c r="GX4" s="417"/>
      <c r="GY4" s="417"/>
      <c r="GZ4" s="417"/>
      <c r="HA4" s="417"/>
      <c r="HB4" s="417"/>
      <c r="HC4" s="418"/>
      <c r="HD4" s="418"/>
      <c r="HE4" s="418"/>
      <c r="HF4" s="417"/>
      <c r="HG4" s="417"/>
      <c r="HH4" s="417"/>
      <c r="HI4" s="417"/>
      <c r="HJ4" s="417"/>
      <c r="HK4" s="417"/>
      <c r="HL4" s="417"/>
      <c r="HM4" s="417"/>
      <c r="HN4" s="417"/>
      <c r="HO4" s="417"/>
      <c r="HP4" s="417"/>
      <c r="HQ4" s="417"/>
      <c r="HR4" s="418"/>
      <c r="HS4" s="418"/>
      <c r="HT4" s="418"/>
    </row>
    <row r="5" spans="1:228" s="387" customFormat="1" ht="12.95" customHeight="1" x14ac:dyDescent="0.2">
      <c r="A5" s="406" t="s">
        <v>55</v>
      </c>
      <c r="B5" s="407" t="s">
        <v>38</v>
      </c>
      <c r="C5" s="406" t="s">
        <v>1586</v>
      </c>
      <c r="D5" s="407" t="s">
        <v>466</v>
      </c>
      <c r="E5" s="407" t="s">
        <v>1586</v>
      </c>
      <c r="F5" s="407" t="s">
        <v>466</v>
      </c>
      <c r="G5" s="406" t="s">
        <v>60</v>
      </c>
      <c r="H5" s="408" t="s">
        <v>520</v>
      </c>
      <c r="I5" s="408"/>
      <c r="J5" s="406" t="s">
        <v>469</v>
      </c>
      <c r="K5" s="406" t="s">
        <v>604</v>
      </c>
      <c r="L5" s="406" t="s">
        <v>470</v>
      </c>
      <c r="M5" s="406"/>
      <c r="N5" s="452">
        <v>0</v>
      </c>
      <c r="O5" s="452">
        <v>0</v>
      </c>
      <c r="P5" s="452">
        <v>0</v>
      </c>
      <c r="Q5" s="452">
        <v>0</v>
      </c>
      <c r="R5" s="452">
        <v>0</v>
      </c>
      <c r="S5" s="452">
        <v>0</v>
      </c>
      <c r="T5" s="452">
        <v>0</v>
      </c>
      <c r="U5" s="409">
        <v>0</v>
      </c>
      <c r="V5" s="409"/>
      <c r="W5" s="409"/>
      <c r="X5" s="409"/>
      <c r="Y5" s="409"/>
      <c r="Z5" s="453">
        <f t="shared" si="13"/>
        <v>0</v>
      </c>
      <c r="AA5" s="452"/>
      <c r="AB5" s="452"/>
      <c r="AC5" s="452"/>
      <c r="AD5" s="452"/>
      <c r="AE5" s="452"/>
      <c r="AF5" s="452"/>
      <c r="AG5" s="452"/>
      <c r="AH5" s="409"/>
      <c r="AI5" s="409"/>
      <c r="AJ5" s="409"/>
      <c r="AK5" s="409"/>
      <c r="AL5" s="409"/>
      <c r="AM5" s="453">
        <f t="shared" si="0"/>
        <v>0</v>
      </c>
      <c r="AN5" s="452">
        <v>500</v>
      </c>
      <c r="AO5" s="452"/>
      <c r="AP5" s="452"/>
      <c r="AQ5" s="452"/>
      <c r="AR5" s="452"/>
      <c r="AS5" s="452"/>
      <c r="AT5" s="452"/>
      <c r="AU5" s="409"/>
      <c r="AV5" s="409"/>
      <c r="AW5" s="409"/>
      <c r="AX5" s="409"/>
      <c r="AY5" s="409"/>
      <c r="AZ5" s="453">
        <f t="shared" si="1"/>
        <v>500</v>
      </c>
      <c r="BA5" s="452">
        <v>500</v>
      </c>
      <c r="BB5" s="452"/>
      <c r="BC5" s="452"/>
      <c r="BD5" s="452"/>
      <c r="BE5" s="452"/>
      <c r="BF5" s="452"/>
      <c r="BG5" s="452"/>
      <c r="BH5" s="409"/>
      <c r="BI5" s="409"/>
      <c r="BJ5" s="409"/>
      <c r="BK5" s="409"/>
      <c r="BL5" s="409"/>
      <c r="BM5" s="453">
        <f t="shared" si="2"/>
        <v>500</v>
      </c>
      <c r="BN5" s="452"/>
      <c r="BO5" s="452"/>
      <c r="BP5" s="452"/>
      <c r="BQ5" s="452"/>
      <c r="BR5" s="452"/>
      <c r="BS5" s="452"/>
      <c r="BT5" s="452"/>
      <c r="BU5" s="409"/>
      <c r="BV5" s="409"/>
      <c r="BW5" s="409"/>
      <c r="BX5" s="409"/>
      <c r="BY5" s="409"/>
      <c r="BZ5" s="453">
        <f t="shared" si="3"/>
        <v>0</v>
      </c>
      <c r="CA5" s="454">
        <f t="shared" si="4"/>
        <v>1000</v>
      </c>
      <c r="CB5" s="411" t="s">
        <v>2200</v>
      </c>
      <c r="CC5" s="411"/>
      <c r="CD5" s="411"/>
      <c r="CE5" s="411"/>
      <c r="CF5" s="411"/>
      <c r="CG5" s="412"/>
      <c r="CH5" s="413"/>
      <c r="CI5" s="414" t="s">
        <v>106</v>
      </c>
      <c r="CJ5" s="415">
        <v>0</v>
      </c>
      <c r="CK5" s="415"/>
      <c r="CL5" s="415"/>
      <c r="CM5" s="415"/>
      <c r="CN5" s="415"/>
      <c r="CO5" s="415"/>
      <c r="CP5" s="415"/>
      <c r="CQ5" s="415"/>
      <c r="CR5" s="415"/>
      <c r="CS5" s="415"/>
      <c r="CT5" s="415"/>
      <c r="CU5" s="415"/>
      <c r="CV5" s="410">
        <f t="shared" si="5"/>
        <v>0</v>
      </c>
      <c r="CW5" s="415">
        <v>1</v>
      </c>
      <c r="CX5" s="415"/>
      <c r="CY5" s="415"/>
      <c r="CZ5" s="415"/>
      <c r="DA5" s="415"/>
      <c r="DB5" s="415"/>
      <c r="DC5" s="415"/>
      <c r="DD5" s="415"/>
      <c r="DE5" s="415"/>
      <c r="DF5" s="415"/>
      <c r="DG5" s="415"/>
      <c r="DH5" s="415"/>
      <c r="DI5" s="410">
        <f t="shared" si="6"/>
        <v>1</v>
      </c>
      <c r="DJ5" s="415">
        <v>1</v>
      </c>
      <c r="DK5" s="415"/>
      <c r="DL5" s="415"/>
      <c r="DM5" s="415"/>
      <c r="DN5" s="415"/>
      <c r="DO5" s="415"/>
      <c r="DP5" s="415"/>
      <c r="DQ5" s="415"/>
      <c r="DR5" s="415"/>
      <c r="DS5" s="415"/>
      <c r="DT5" s="415"/>
      <c r="DU5" s="415"/>
      <c r="DV5" s="410">
        <f t="shared" si="7"/>
        <v>1</v>
      </c>
      <c r="DW5" s="415"/>
      <c r="DX5" s="415"/>
      <c r="DY5" s="415"/>
      <c r="DZ5" s="415"/>
      <c r="EA5" s="415"/>
      <c r="EB5" s="415"/>
      <c r="EC5" s="415"/>
      <c r="ED5" s="415"/>
      <c r="EE5" s="415"/>
      <c r="EF5" s="415"/>
      <c r="EG5" s="415"/>
      <c r="EH5" s="415"/>
      <c r="EI5" s="410">
        <f t="shared" si="8"/>
        <v>0</v>
      </c>
      <c r="EJ5" s="415"/>
      <c r="EK5" s="415"/>
      <c r="EL5" s="415"/>
      <c r="EM5" s="415"/>
      <c r="EN5" s="415"/>
      <c r="EO5" s="415"/>
      <c r="EP5" s="415"/>
      <c r="EQ5" s="415"/>
      <c r="ER5" s="415"/>
      <c r="ES5" s="415"/>
      <c r="ET5" s="415"/>
      <c r="EU5" s="415"/>
      <c r="EV5" s="410">
        <f t="shared" si="9"/>
        <v>0</v>
      </c>
      <c r="EW5" s="416">
        <f t="shared" si="10"/>
        <v>2</v>
      </c>
      <c r="EX5" s="417">
        <f>IFERROR(VLOOKUP(H5,CEI_012018!$A$1:$U$509,9,FALSE),0)</f>
        <v>0</v>
      </c>
      <c r="EY5" s="417">
        <f>IFERROR(VLOOKUP(H5,CEI_022018!$A$1:$U$509,9,FALSE),0)</f>
        <v>0</v>
      </c>
      <c r="EZ5" s="417">
        <f>IFERROR(VLOOKUP(H5,CEI_032018!$A$1:$U$509,9,FALSE),0)</f>
        <v>0</v>
      </c>
      <c r="FA5" s="417">
        <f>IFERROR(VLOOKUP(H5,CEI_042018!$A$1:$U$491,9,FALSE),0)</f>
        <v>0</v>
      </c>
      <c r="FB5" s="417">
        <f>IFERROR(VLOOKUP(H5,CEI_052018!$A$1:$U$489,9,FALSE),0)</f>
        <v>0</v>
      </c>
      <c r="FC5" s="417">
        <f>IFERROR(VLOOKUP(H5,CEI_062018!$A$1:$U$489,9,FALSE),0)</f>
        <v>0</v>
      </c>
      <c r="FD5" s="417">
        <f>IFERROR(VLOOKUP(H5,CEI_072018!$A$1:$U$489,9,FALSE),0)</f>
        <v>0</v>
      </c>
      <c r="FE5" s="417">
        <f>IFERROR(VLOOKUP(H5,CEI_082018!$A$1:$U$489,9,FALSE),0)</f>
        <v>0</v>
      </c>
      <c r="FF5" s="417">
        <f>IFERROR(VLOOKUP(H5,CEI_092018!$A$1:$U$489,9,FALSE),0)</f>
        <v>0</v>
      </c>
      <c r="FG5" s="417"/>
      <c r="FH5" s="417"/>
      <c r="FI5" s="417"/>
      <c r="FJ5" s="418">
        <f>IFERROR(VLOOKUP(H5,CEI_092018!$A$1:$U$489,12,FALSE),0)</f>
        <v>0</v>
      </c>
      <c r="FK5" s="418">
        <f t="shared" si="11"/>
        <v>0</v>
      </c>
      <c r="FL5" s="418">
        <f t="shared" si="12"/>
        <v>0</v>
      </c>
      <c r="FM5" s="417"/>
      <c r="FN5" s="417"/>
      <c r="FO5" s="417"/>
      <c r="FP5" s="417"/>
      <c r="FQ5" s="417"/>
      <c r="FR5" s="417"/>
      <c r="FS5" s="417"/>
      <c r="FT5" s="417"/>
      <c r="FU5" s="417"/>
      <c r="FV5" s="417"/>
      <c r="FW5" s="417"/>
      <c r="FX5" s="417"/>
      <c r="FY5" s="418"/>
      <c r="FZ5" s="418"/>
      <c r="GA5" s="418"/>
      <c r="GB5" s="417"/>
      <c r="GC5" s="417"/>
      <c r="GD5" s="417"/>
      <c r="GE5" s="417"/>
      <c r="GF5" s="417"/>
      <c r="GG5" s="417"/>
      <c r="GH5" s="417"/>
      <c r="GI5" s="417"/>
      <c r="GJ5" s="417"/>
      <c r="GK5" s="417"/>
      <c r="GL5" s="417"/>
      <c r="GM5" s="417"/>
      <c r="GN5" s="418"/>
      <c r="GO5" s="418"/>
      <c r="GP5" s="418"/>
      <c r="GQ5" s="417"/>
      <c r="GR5" s="417"/>
      <c r="GS5" s="417"/>
      <c r="GT5" s="417"/>
      <c r="GU5" s="417"/>
      <c r="GV5" s="417"/>
      <c r="GW5" s="417"/>
      <c r="GX5" s="417"/>
      <c r="GY5" s="417"/>
      <c r="GZ5" s="417"/>
      <c r="HA5" s="417"/>
      <c r="HB5" s="417"/>
      <c r="HC5" s="418"/>
      <c r="HD5" s="418"/>
      <c r="HE5" s="418"/>
      <c r="HF5" s="417"/>
      <c r="HG5" s="417"/>
      <c r="HH5" s="417"/>
      <c r="HI5" s="417"/>
      <c r="HJ5" s="417"/>
      <c r="HK5" s="417"/>
      <c r="HL5" s="417"/>
      <c r="HM5" s="417"/>
      <c r="HN5" s="417"/>
      <c r="HO5" s="417"/>
      <c r="HP5" s="417"/>
      <c r="HQ5" s="417"/>
      <c r="HR5" s="418"/>
      <c r="HS5" s="418"/>
      <c r="HT5" s="418"/>
    </row>
    <row r="6" spans="1:228" s="387" customFormat="1" ht="12.75" customHeight="1" x14ac:dyDescent="0.2">
      <c r="A6" s="406" t="s">
        <v>55</v>
      </c>
      <c r="B6" s="407" t="s">
        <v>38</v>
      </c>
      <c r="C6" s="406" t="s">
        <v>1363</v>
      </c>
      <c r="D6" s="407" t="s">
        <v>1597</v>
      </c>
      <c r="E6" s="407" t="s">
        <v>1363</v>
      </c>
      <c r="F6" s="407" t="s">
        <v>1597</v>
      </c>
      <c r="G6" s="406" t="s">
        <v>60</v>
      </c>
      <c r="H6" s="408" t="s">
        <v>1230</v>
      </c>
      <c r="I6" s="408" t="s">
        <v>1232</v>
      </c>
      <c r="J6" s="406" t="s">
        <v>1231</v>
      </c>
      <c r="K6" s="406"/>
      <c r="L6" s="406"/>
      <c r="M6" s="406"/>
      <c r="N6" s="452">
        <v>10.184720039367676</v>
      </c>
      <c r="O6" s="452">
        <v>2.5199298858642578</v>
      </c>
      <c r="P6" s="452">
        <v>0</v>
      </c>
      <c r="Q6" s="452">
        <v>-1.6000000238418579</v>
      </c>
      <c r="R6" s="452">
        <v>0</v>
      </c>
      <c r="S6" s="452">
        <v>0</v>
      </c>
      <c r="T6" s="452">
        <v>0</v>
      </c>
      <c r="U6" s="409">
        <v>0</v>
      </c>
      <c r="V6" s="409"/>
      <c r="W6" s="409"/>
      <c r="X6" s="409"/>
      <c r="Y6" s="409">
        <v>0</v>
      </c>
      <c r="Z6" s="453">
        <f t="shared" si="13"/>
        <v>11.104649901390076</v>
      </c>
      <c r="AA6" s="452"/>
      <c r="AB6" s="452"/>
      <c r="AC6" s="452"/>
      <c r="AD6" s="452"/>
      <c r="AE6" s="452"/>
      <c r="AF6" s="452"/>
      <c r="AG6" s="452"/>
      <c r="AH6" s="409"/>
      <c r="AI6" s="409"/>
      <c r="AJ6" s="409"/>
      <c r="AK6" s="409"/>
      <c r="AL6" s="409"/>
      <c r="AM6" s="453">
        <f t="shared" si="0"/>
        <v>0</v>
      </c>
      <c r="AN6" s="452"/>
      <c r="AO6" s="452"/>
      <c r="AP6" s="452"/>
      <c r="AQ6" s="452"/>
      <c r="AR6" s="452"/>
      <c r="AS6" s="452"/>
      <c r="AT6" s="452"/>
      <c r="AU6" s="409"/>
      <c r="AV6" s="409"/>
      <c r="AW6" s="409"/>
      <c r="AX6" s="409"/>
      <c r="AY6" s="409"/>
      <c r="AZ6" s="453">
        <f t="shared" si="1"/>
        <v>0</v>
      </c>
      <c r="BA6" s="452"/>
      <c r="BB6" s="452"/>
      <c r="BC6" s="452"/>
      <c r="BD6" s="452"/>
      <c r="BE6" s="452"/>
      <c r="BF6" s="452"/>
      <c r="BG6" s="452"/>
      <c r="BH6" s="409"/>
      <c r="BI6" s="409"/>
      <c r="BJ6" s="409"/>
      <c r="BK6" s="409"/>
      <c r="BL6" s="409"/>
      <c r="BM6" s="453">
        <f t="shared" si="2"/>
        <v>0</v>
      </c>
      <c r="BN6" s="452"/>
      <c r="BO6" s="452"/>
      <c r="BP6" s="452"/>
      <c r="BQ6" s="452"/>
      <c r="BR6" s="452"/>
      <c r="BS6" s="452"/>
      <c r="BT6" s="452"/>
      <c r="BU6" s="409"/>
      <c r="BV6" s="409"/>
      <c r="BW6" s="409"/>
      <c r="BX6" s="409"/>
      <c r="BY6" s="409"/>
      <c r="BZ6" s="453">
        <f t="shared" si="3"/>
        <v>0</v>
      </c>
      <c r="CA6" s="454">
        <f t="shared" si="4"/>
        <v>11.104649901390076</v>
      </c>
      <c r="CB6" s="419" t="s">
        <v>2201</v>
      </c>
      <c r="CC6" s="419">
        <v>1</v>
      </c>
      <c r="CD6" s="419">
        <v>1</v>
      </c>
      <c r="CE6" s="419">
        <v>1</v>
      </c>
      <c r="CF6" s="419">
        <v>1</v>
      </c>
      <c r="CG6" s="420">
        <f>IFERROR((FE6/Z6%),0)</f>
        <v>100</v>
      </c>
      <c r="CH6" s="421">
        <f>IFERROR((FK6/Z6%),0)</f>
        <v>100</v>
      </c>
      <c r="CI6" s="414" t="s">
        <v>106</v>
      </c>
      <c r="CJ6" s="415">
        <v>0</v>
      </c>
      <c r="CK6" s="415"/>
      <c r="CL6" s="415">
        <v>4</v>
      </c>
      <c r="CM6" s="415"/>
      <c r="CN6" s="415"/>
      <c r="CO6" s="415"/>
      <c r="CP6" s="415"/>
      <c r="CQ6" s="415"/>
      <c r="CR6" s="415"/>
      <c r="CS6" s="415"/>
      <c r="CT6" s="415"/>
      <c r="CU6" s="415"/>
      <c r="CV6" s="410">
        <f t="shared" si="5"/>
        <v>4</v>
      </c>
      <c r="CW6" s="415"/>
      <c r="CX6" s="415"/>
      <c r="CY6" s="415"/>
      <c r="CZ6" s="415"/>
      <c r="DA6" s="415"/>
      <c r="DB6" s="415"/>
      <c r="DC6" s="415"/>
      <c r="DD6" s="415"/>
      <c r="DE6" s="415"/>
      <c r="DF6" s="415"/>
      <c r="DG6" s="415"/>
      <c r="DH6" s="415"/>
      <c r="DI6" s="410">
        <f t="shared" si="6"/>
        <v>0</v>
      </c>
      <c r="DJ6" s="415"/>
      <c r="DK6" s="415"/>
      <c r="DL6" s="415"/>
      <c r="DM6" s="415"/>
      <c r="DN6" s="415"/>
      <c r="DO6" s="415"/>
      <c r="DP6" s="415"/>
      <c r="DQ6" s="415"/>
      <c r="DR6" s="415"/>
      <c r="DS6" s="415"/>
      <c r="DT6" s="415"/>
      <c r="DU6" s="415"/>
      <c r="DV6" s="410">
        <f t="shared" si="7"/>
        <v>0</v>
      </c>
      <c r="DW6" s="415"/>
      <c r="DX6" s="415"/>
      <c r="DY6" s="415"/>
      <c r="DZ6" s="415"/>
      <c r="EA6" s="415"/>
      <c r="EB6" s="415"/>
      <c r="EC6" s="415"/>
      <c r="ED6" s="415"/>
      <c r="EE6" s="415"/>
      <c r="EF6" s="415"/>
      <c r="EG6" s="415"/>
      <c r="EH6" s="415"/>
      <c r="EI6" s="410">
        <f t="shared" si="8"/>
        <v>0</v>
      </c>
      <c r="EJ6" s="415"/>
      <c r="EK6" s="415"/>
      <c r="EL6" s="415"/>
      <c r="EM6" s="415"/>
      <c r="EN6" s="415"/>
      <c r="EO6" s="415"/>
      <c r="EP6" s="415"/>
      <c r="EQ6" s="415"/>
      <c r="ER6" s="415"/>
      <c r="ES6" s="415"/>
      <c r="ET6" s="415"/>
      <c r="EU6" s="415"/>
      <c r="EV6" s="410">
        <f t="shared" si="9"/>
        <v>0</v>
      </c>
      <c r="EW6" s="416">
        <f t="shared" si="10"/>
        <v>4</v>
      </c>
      <c r="EX6" s="417">
        <f>IFERROR(VLOOKUP(H6,CEI_012018!$A$1:$U$509,9,FALSE),0)</f>
        <v>10.184720039367676</v>
      </c>
      <c r="EY6" s="417">
        <f>IFERROR(VLOOKUP(H6,CEI_022018!$A$1:$U$509,9,FALSE),0)</f>
        <v>12.704649925231934</v>
      </c>
      <c r="EZ6" s="417">
        <f>IFERROR(VLOOKUP(H6,CEI_032018!$A$1:$U$509,9,FALSE),0)</f>
        <v>12.704649925231934</v>
      </c>
      <c r="FA6" s="417">
        <f>IFERROR(VLOOKUP(H6,CEI_042018!$A$1:$U$491,9,FALSE),0)</f>
        <v>11.104649901390076</v>
      </c>
      <c r="FB6" s="417">
        <f>IFERROR(VLOOKUP(H6,CEI_052018!$A$1:$U$489,9,FALSE),0)</f>
        <v>11.104649901390076</v>
      </c>
      <c r="FC6" s="417">
        <f>IFERROR(VLOOKUP(H6,CEI_062018!$A$1:$U$489,9,FALSE),0)</f>
        <v>11.104649901390076</v>
      </c>
      <c r="FD6" s="417">
        <f>IFERROR(VLOOKUP(H6,CEI_072018!$A$1:$U$489,9,FALSE),0)</f>
        <v>11.104649901390076</v>
      </c>
      <c r="FE6" s="417">
        <f>IFERROR(VLOOKUP(H6,CEI_082018!$A$1:$U$489,9,FALSE),0)</f>
        <v>11.104649901390076</v>
      </c>
      <c r="FF6" s="417">
        <f>IFERROR(VLOOKUP(H6,CEI_092018!$A$1:$U$489,9,FALSE),0)</f>
        <v>11.104649901390076</v>
      </c>
      <c r="FG6" s="417"/>
      <c r="FH6" s="417"/>
      <c r="FI6" s="417"/>
      <c r="FJ6" s="418">
        <f>IFERROR(VLOOKUP(H6,CEI_092018!$A$1:$U$489,12,FALSE),0)</f>
        <v>0</v>
      </c>
      <c r="FK6" s="418">
        <f t="shared" si="11"/>
        <v>11.104649901390076</v>
      </c>
      <c r="FL6" s="418">
        <f t="shared" si="12"/>
        <v>0</v>
      </c>
      <c r="FM6" s="417"/>
      <c r="FN6" s="417"/>
      <c r="FO6" s="417"/>
      <c r="FP6" s="417"/>
      <c r="FQ6" s="417"/>
      <c r="FR6" s="417"/>
      <c r="FS6" s="417"/>
      <c r="FT6" s="417"/>
      <c r="FU6" s="417"/>
      <c r="FV6" s="417"/>
      <c r="FW6" s="417"/>
      <c r="FX6" s="417"/>
      <c r="FY6" s="418"/>
      <c r="FZ6" s="418"/>
      <c r="GA6" s="418"/>
      <c r="GB6" s="417"/>
      <c r="GC6" s="417"/>
      <c r="GD6" s="417"/>
      <c r="GE6" s="417"/>
      <c r="GF6" s="417"/>
      <c r="GG6" s="417"/>
      <c r="GH6" s="417"/>
      <c r="GI6" s="417"/>
      <c r="GJ6" s="417"/>
      <c r="GK6" s="417"/>
      <c r="GL6" s="417"/>
      <c r="GM6" s="417"/>
      <c r="GN6" s="418"/>
      <c r="GO6" s="418"/>
      <c r="GP6" s="418"/>
      <c r="GQ6" s="417"/>
      <c r="GR6" s="417"/>
      <c r="GS6" s="417"/>
      <c r="GT6" s="417"/>
      <c r="GU6" s="417"/>
      <c r="GV6" s="417"/>
      <c r="GW6" s="417"/>
      <c r="GX6" s="417"/>
      <c r="GY6" s="417"/>
      <c r="GZ6" s="417"/>
      <c r="HA6" s="417"/>
      <c r="HB6" s="417"/>
      <c r="HC6" s="418"/>
      <c r="HD6" s="418"/>
      <c r="HE6" s="418"/>
      <c r="HF6" s="417"/>
      <c r="HG6" s="417"/>
      <c r="HH6" s="417"/>
      <c r="HI6" s="417"/>
      <c r="HJ6" s="417"/>
      <c r="HK6" s="417"/>
      <c r="HL6" s="417"/>
      <c r="HM6" s="417"/>
      <c r="HN6" s="417"/>
      <c r="HO6" s="417"/>
      <c r="HP6" s="417"/>
      <c r="HQ6" s="417"/>
      <c r="HR6" s="418"/>
      <c r="HS6" s="418"/>
      <c r="HT6" s="418"/>
    </row>
    <row r="7" spans="1:228" s="387" customFormat="1" ht="12.95" customHeight="1" x14ac:dyDescent="0.2">
      <c r="A7" s="406" t="s">
        <v>55</v>
      </c>
      <c r="B7" s="407" t="s">
        <v>39</v>
      </c>
      <c r="C7" s="406" t="s">
        <v>1554</v>
      </c>
      <c r="D7" s="407" t="s">
        <v>1556</v>
      </c>
      <c r="E7" s="407" t="s">
        <v>1554</v>
      </c>
      <c r="F7" s="407" t="s">
        <v>1556</v>
      </c>
      <c r="G7" s="406" t="s">
        <v>1555</v>
      </c>
      <c r="H7" s="408" t="s">
        <v>1587</v>
      </c>
      <c r="I7" s="408" t="s">
        <v>1588</v>
      </c>
      <c r="J7" s="406" t="s">
        <v>1557</v>
      </c>
      <c r="K7" s="406"/>
      <c r="L7" s="406"/>
      <c r="M7" s="406"/>
      <c r="N7" s="452">
        <v>0</v>
      </c>
      <c r="O7" s="452">
        <v>0</v>
      </c>
      <c r="P7" s="452">
        <v>0</v>
      </c>
      <c r="Q7" s="452">
        <v>0</v>
      </c>
      <c r="R7" s="452">
        <v>0</v>
      </c>
      <c r="S7" s="452">
        <v>0</v>
      </c>
      <c r="T7" s="452">
        <v>0</v>
      </c>
      <c r="U7" s="409">
        <v>0</v>
      </c>
      <c r="V7" s="409"/>
      <c r="W7" s="409"/>
      <c r="X7" s="409"/>
      <c r="Y7" s="409">
        <v>92</v>
      </c>
      <c r="Z7" s="453">
        <f t="shared" si="13"/>
        <v>92</v>
      </c>
      <c r="AA7" s="452"/>
      <c r="AB7" s="452"/>
      <c r="AC7" s="452"/>
      <c r="AD7" s="452"/>
      <c r="AE7" s="452"/>
      <c r="AF7" s="452"/>
      <c r="AG7" s="452"/>
      <c r="AH7" s="409"/>
      <c r="AI7" s="409"/>
      <c r="AJ7" s="409"/>
      <c r="AK7" s="409"/>
      <c r="AL7" s="409"/>
      <c r="AM7" s="453">
        <f t="shared" si="0"/>
        <v>0</v>
      </c>
      <c r="AN7" s="452"/>
      <c r="AO7" s="452"/>
      <c r="AP7" s="452"/>
      <c r="AQ7" s="452"/>
      <c r="AR7" s="452"/>
      <c r="AS7" s="452"/>
      <c r="AT7" s="452"/>
      <c r="AU7" s="409"/>
      <c r="AV7" s="409"/>
      <c r="AW7" s="409"/>
      <c r="AX7" s="409"/>
      <c r="AY7" s="409"/>
      <c r="AZ7" s="453">
        <f t="shared" si="1"/>
        <v>0</v>
      </c>
      <c r="BA7" s="452"/>
      <c r="BB7" s="452"/>
      <c r="BC7" s="452"/>
      <c r="BD7" s="452"/>
      <c r="BE7" s="452"/>
      <c r="BF7" s="452"/>
      <c r="BG7" s="452"/>
      <c r="BH7" s="409"/>
      <c r="BI7" s="409"/>
      <c r="BJ7" s="409"/>
      <c r="BK7" s="409"/>
      <c r="BL7" s="409"/>
      <c r="BM7" s="453">
        <f t="shared" si="2"/>
        <v>0</v>
      </c>
      <c r="BN7" s="452"/>
      <c r="BO7" s="452"/>
      <c r="BP7" s="452"/>
      <c r="BQ7" s="452"/>
      <c r="BR7" s="452"/>
      <c r="BS7" s="452"/>
      <c r="BT7" s="452"/>
      <c r="BU7" s="409"/>
      <c r="BV7" s="409"/>
      <c r="BW7" s="409"/>
      <c r="BX7" s="409"/>
      <c r="BY7" s="409"/>
      <c r="BZ7" s="453">
        <f t="shared" si="3"/>
        <v>0</v>
      </c>
      <c r="CA7" s="454">
        <f t="shared" si="4"/>
        <v>92</v>
      </c>
      <c r="CB7" s="419" t="s">
        <v>2202</v>
      </c>
      <c r="CC7" s="419">
        <v>1</v>
      </c>
      <c r="CD7" s="419">
        <v>1</v>
      </c>
      <c r="CE7" s="419">
        <v>1</v>
      </c>
      <c r="CF7" s="419">
        <v>-1</v>
      </c>
      <c r="CG7" s="420">
        <f>IFERROR((FE7/Z7%),0)</f>
        <v>0</v>
      </c>
      <c r="CH7" s="421">
        <f>IFERROR((FK7/Z7%),0)</f>
        <v>97.763044937797204</v>
      </c>
      <c r="CI7" s="414" t="s">
        <v>71</v>
      </c>
      <c r="CJ7" s="415"/>
      <c r="CK7" s="415"/>
      <c r="CL7" s="415"/>
      <c r="CM7" s="415"/>
      <c r="CN7" s="415"/>
      <c r="CO7" s="415"/>
      <c r="CP7" s="415"/>
      <c r="CQ7" s="415">
        <v>21</v>
      </c>
      <c r="CR7" s="415"/>
      <c r="CS7" s="415"/>
      <c r="CT7" s="415"/>
      <c r="CU7" s="415"/>
      <c r="CV7" s="410">
        <f t="shared" si="5"/>
        <v>21</v>
      </c>
      <c r="CW7" s="415"/>
      <c r="CX7" s="415"/>
      <c r="CY7" s="415"/>
      <c r="CZ7" s="415"/>
      <c r="DA7" s="415"/>
      <c r="DB7" s="415"/>
      <c r="DC7" s="415"/>
      <c r="DD7" s="415"/>
      <c r="DE7" s="415"/>
      <c r="DF7" s="415"/>
      <c r="DG7" s="415"/>
      <c r="DH7" s="415"/>
      <c r="DI7" s="410">
        <f t="shared" si="6"/>
        <v>0</v>
      </c>
      <c r="DJ7" s="415"/>
      <c r="DK7" s="415"/>
      <c r="DL7" s="415"/>
      <c r="DM7" s="415"/>
      <c r="DN7" s="415"/>
      <c r="DO7" s="415"/>
      <c r="DP7" s="415"/>
      <c r="DQ7" s="415"/>
      <c r="DR7" s="415"/>
      <c r="DS7" s="415"/>
      <c r="DT7" s="415"/>
      <c r="DU7" s="415"/>
      <c r="DV7" s="410">
        <f t="shared" si="7"/>
        <v>0</v>
      </c>
      <c r="DW7" s="415"/>
      <c r="DX7" s="415"/>
      <c r="DY7" s="415"/>
      <c r="DZ7" s="415"/>
      <c r="EA7" s="415"/>
      <c r="EB7" s="415"/>
      <c r="EC7" s="415"/>
      <c r="ED7" s="415"/>
      <c r="EE7" s="415"/>
      <c r="EF7" s="415"/>
      <c r="EG7" s="415"/>
      <c r="EH7" s="415"/>
      <c r="EI7" s="410">
        <f t="shared" si="8"/>
        <v>0</v>
      </c>
      <c r="EJ7" s="415"/>
      <c r="EK7" s="415"/>
      <c r="EL7" s="415"/>
      <c r="EM7" s="415"/>
      <c r="EN7" s="415"/>
      <c r="EO7" s="415"/>
      <c r="EP7" s="415"/>
      <c r="EQ7" s="415"/>
      <c r="ER7" s="415"/>
      <c r="ES7" s="415"/>
      <c r="ET7" s="415"/>
      <c r="EU7" s="415"/>
      <c r="EV7" s="410">
        <f t="shared" si="9"/>
        <v>0</v>
      </c>
      <c r="EW7" s="416">
        <f t="shared" si="10"/>
        <v>21</v>
      </c>
      <c r="EX7" s="417">
        <f>IFERROR(VLOOKUP(H7,CEI_012018!$A$1:$U$509,9,FALSE),0)</f>
        <v>0</v>
      </c>
      <c r="EY7" s="417">
        <f>IFERROR(VLOOKUP(H7,CEI_022018!$A$1:$U$509,9,FALSE),0)</f>
        <v>0</v>
      </c>
      <c r="EZ7" s="417">
        <f>IFERROR(VLOOKUP(H7,CEI_032018!$A$1:$U$509,9,FALSE),0)</f>
        <v>0</v>
      </c>
      <c r="FA7" s="417">
        <f>IFERROR(VLOOKUP(H7,CEI_042018!$A$1:$U$491,9,FALSE),0)</f>
        <v>0</v>
      </c>
      <c r="FB7" s="417">
        <f>IFERROR(VLOOKUP(H7,CEI_052018!$A$1:$U$489,9,FALSE),0)</f>
        <v>0</v>
      </c>
      <c r="FC7" s="417">
        <f>IFERROR(VLOOKUP(H7,CEI_062018!$A$1:$U$489,9,FALSE),0)</f>
        <v>0</v>
      </c>
      <c r="FD7" s="417">
        <f>IFERROR(VLOOKUP(H7,CEI_072018!$A$1:$U$489,9,FALSE),0)</f>
        <v>0</v>
      </c>
      <c r="FE7" s="417">
        <f>IFERROR(VLOOKUP(H7,CEI_082018!$A$1:$U$489,9,FALSE),0)</f>
        <v>0</v>
      </c>
      <c r="FF7" s="417">
        <f>IFERROR(VLOOKUP(H7,CEI_092018!$A$1:$U$489,9,FALSE),0)</f>
        <v>0</v>
      </c>
      <c r="FG7" s="417"/>
      <c r="FH7" s="417"/>
      <c r="FI7" s="417"/>
      <c r="FJ7" s="418">
        <f>IFERROR(VLOOKUP(H7,CEI_092018!$A$1:$U$489,12,FALSE),0)</f>
        <v>89.942001342773438</v>
      </c>
      <c r="FK7" s="418">
        <f t="shared" si="11"/>
        <v>89.942001342773438</v>
      </c>
      <c r="FL7" s="418">
        <f t="shared" si="12"/>
        <v>2.0579986572265625</v>
      </c>
      <c r="FM7" s="417"/>
      <c r="FN7" s="417"/>
      <c r="FO7" s="417"/>
      <c r="FP7" s="417"/>
      <c r="FQ7" s="417"/>
      <c r="FR7" s="417"/>
      <c r="FS7" s="417"/>
      <c r="FT7" s="417"/>
      <c r="FU7" s="417"/>
      <c r="FV7" s="417"/>
      <c r="FW7" s="417"/>
      <c r="FX7" s="417"/>
      <c r="FY7" s="418"/>
      <c r="FZ7" s="418"/>
      <c r="GA7" s="418"/>
      <c r="GB7" s="417"/>
      <c r="GC7" s="417"/>
      <c r="GD7" s="417"/>
      <c r="GE7" s="417"/>
      <c r="GF7" s="417"/>
      <c r="GG7" s="417"/>
      <c r="GH7" s="417"/>
      <c r="GI7" s="417"/>
      <c r="GJ7" s="417"/>
      <c r="GK7" s="417"/>
      <c r="GL7" s="417"/>
      <c r="GM7" s="417"/>
      <c r="GN7" s="418"/>
      <c r="GO7" s="418"/>
      <c r="GP7" s="418"/>
      <c r="GQ7" s="417"/>
      <c r="GR7" s="417"/>
      <c r="GS7" s="417"/>
      <c r="GT7" s="417"/>
      <c r="GU7" s="417"/>
      <c r="GV7" s="417"/>
      <c r="GW7" s="417"/>
      <c r="GX7" s="417"/>
      <c r="GY7" s="417"/>
      <c r="GZ7" s="417"/>
      <c r="HA7" s="417"/>
      <c r="HB7" s="417"/>
      <c r="HC7" s="418"/>
      <c r="HD7" s="418"/>
      <c r="HE7" s="418"/>
      <c r="HF7" s="417"/>
      <c r="HG7" s="417"/>
      <c r="HH7" s="417"/>
      <c r="HI7" s="417"/>
      <c r="HJ7" s="417"/>
      <c r="HK7" s="417"/>
      <c r="HL7" s="417"/>
      <c r="HM7" s="417"/>
      <c r="HN7" s="417"/>
      <c r="HO7" s="417"/>
      <c r="HP7" s="417"/>
      <c r="HQ7" s="417"/>
      <c r="HR7" s="418"/>
      <c r="HS7" s="418"/>
      <c r="HT7" s="418"/>
    </row>
    <row r="8" spans="1:228" s="387" customFormat="1" ht="12.95" customHeight="1" x14ac:dyDescent="0.2">
      <c r="A8" s="406" t="s">
        <v>55</v>
      </c>
      <c r="B8" s="407" t="s">
        <v>39</v>
      </c>
      <c r="C8" s="406" t="s">
        <v>60</v>
      </c>
      <c r="D8" s="407" t="s">
        <v>1996</v>
      </c>
      <c r="E8" s="406" t="s">
        <v>60</v>
      </c>
      <c r="F8" s="407" t="s">
        <v>1996</v>
      </c>
      <c r="G8" s="406" t="s">
        <v>60</v>
      </c>
      <c r="H8" s="408" t="s">
        <v>520</v>
      </c>
      <c r="I8" s="408"/>
      <c r="J8" s="406" t="s">
        <v>2003</v>
      </c>
      <c r="K8" s="406"/>
      <c r="L8" s="406"/>
      <c r="M8" s="406"/>
      <c r="N8" s="452">
        <v>0</v>
      </c>
      <c r="O8" s="452">
        <v>0</v>
      </c>
      <c r="P8" s="452">
        <v>0</v>
      </c>
      <c r="Q8" s="452">
        <v>0</v>
      </c>
      <c r="R8" s="452">
        <v>0</v>
      </c>
      <c r="S8" s="452">
        <v>0</v>
      </c>
      <c r="T8" s="452">
        <v>0</v>
      </c>
      <c r="U8" s="409">
        <v>0</v>
      </c>
      <c r="V8" s="409"/>
      <c r="W8" s="409"/>
      <c r="X8" s="409"/>
      <c r="Y8" s="409"/>
      <c r="Z8" s="453">
        <f t="shared" si="13"/>
        <v>0</v>
      </c>
      <c r="AA8" s="452"/>
      <c r="AB8" s="452"/>
      <c r="AC8" s="452"/>
      <c r="AD8" s="452"/>
      <c r="AE8" s="452"/>
      <c r="AF8" s="452"/>
      <c r="AG8" s="452">
        <f>2015-320+100-45+1.60000002384185+218.399999976158-320</f>
        <v>1649.9999999999998</v>
      </c>
      <c r="AH8" s="409"/>
      <c r="AI8" s="409"/>
      <c r="AJ8" s="409"/>
      <c r="AK8" s="409"/>
      <c r="AL8" s="409"/>
      <c r="AM8" s="453">
        <f t="shared" si="0"/>
        <v>1649.9999999999998</v>
      </c>
      <c r="AN8" s="452"/>
      <c r="AO8" s="452"/>
      <c r="AP8" s="452"/>
      <c r="AQ8" s="452"/>
      <c r="AR8" s="452"/>
      <c r="AS8" s="452"/>
      <c r="AT8" s="452"/>
      <c r="AU8" s="409"/>
      <c r="AV8" s="409"/>
      <c r="AW8" s="409"/>
      <c r="AX8" s="409"/>
      <c r="AY8" s="409"/>
      <c r="AZ8" s="453">
        <f t="shared" si="1"/>
        <v>0</v>
      </c>
      <c r="BA8" s="452"/>
      <c r="BB8" s="452"/>
      <c r="BC8" s="452"/>
      <c r="BD8" s="452"/>
      <c r="BE8" s="452"/>
      <c r="BF8" s="452"/>
      <c r="BG8" s="452"/>
      <c r="BH8" s="409"/>
      <c r="BI8" s="409"/>
      <c r="BJ8" s="409"/>
      <c r="BK8" s="409"/>
      <c r="BL8" s="409"/>
      <c r="BM8" s="453">
        <f t="shared" si="2"/>
        <v>0</v>
      </c>
      <c r="BN8" s="452"/>
      <c r="BO8" s="452"/>
      <c r="BP8" s="452"/>
      <c r="BQ8" s="452"/>
      <c r="BR8" s="452"/>
      <c r="BS8" s="452"/>
      <c r="BT8" s="452"/>
      <c r="BU8" s="409"/>
      <c r="BV8" s="409"/>
      <c r="BW8" s="409"/>
      <c r="BX8" s="409"/>
      <c r="BY8" s="409"/>
      <c r="BZ8" s="453">
        <f t="shared" si="3"/>
        <v>0</v>
      </c>
      <c r="CA8" s="454">
        <f t="shared" si="4"/>
        <v>1649.9999999999998</v>
      </c>
      <c r="CB8" s="419" t="s">
        <v>2203</v>
      </c>
      <c r="CC8" s="419"/>
      <c r="CD8" s="419"/>
      <c r="CE8" s="419"/>
      <c r="CF8" s="419"/>
      <c r="CG8" s="420"/>
      <c r="CH8" s="421"/>
      <c r="CI8" s="414"/>
      <c r="CJ8" s="415"/>
      <c r="CK8" s="415"/>
      <c r="CL8" s="415"/>
      <c r="CM8" s="415"/>
      <c r="CN8" s="415"/>
      <c r="CO8" s="415"/>
      <c r="CP8" s="415"/>
      <c r="CQ8" s="415"/>
      <c r="CR8" s="415"/>
      <c r="CS8" s="415"/>
      <c r="CT8" s="415"/>
      <c r="CU8" s="415"/>
      <c r="CV8" s="410"/>
      <c r="CW8" s="415"/>
      <c r="CX8" s="415"/>
      <c r="CY8" s="415"/>
      <c r="CZ8" s="415"/>
      <c r="DA8" s="415"/>
      <c r="DB8" s="415"/>
      <c r="DC8" s="415"/>
      <c r="DD8" s="415"/>
      <c r="DE8" s="415"/>
      <c r="DF8" s="415"/>
      <c r="DG8" s="415"/>
      <c r="DH8" s="415"/>
      <c r="DI8" s="410"/>
      <c r="DJ8" s="415"/>
      <c r="DK8" s="415"/>
      <c r="DL8" s="415"/>
      <c r="DM8" s="415"/>
      <c r="DN8" s="415"/>
      <c r="DO8" s="415"/>
      <c r="DP8" s="415"/>
      <c r="DQ8" s="415"/>
      <c r="DR8" s="415"/>
      <c r="DS8" s="415"/>
      <c r="DT8" s="415"/>
      <c r="DU8" s="415"/>
      <c r="DV8" s="410"/>
      <c r="DW8" s="415"/>
      <c r="DX8" s="415"/>
      <c r="DY8" s="415"/>
      <c r="DZ8" s="415"/>
      <c r="EA8" s="415"/>
      <c r="EB8" s="415"/>
      <c r="EC8" s="415"/>
      <c r="ED8" s="415"/>
      <c r="EE8" s="415"/>
      <c r="EF8" s="415"/>
      <c r="EG8" s="415"/>
      <c r="EH8" s="415"/>
      <c r="EI8" s="410"/>
      <c r="EJ8" s="415"/>
      <c r="EK8" s="415"/>
      <c r="EL8" s="415"/>
      <c r="EM8" s="415"/>
      <c r="EN8" s="415"/>
      <c r="EO8" s="415"/>
      <c r="EP8" s="415"/>
      <c r="EQ8" s="415"/>
      <c r="ER8" s="415"/>
      <c r="ES8" s="415"/>
      <c r="ET8" s="415"/>
      <c r="EU8" s="415"/>
      <c r="EV8" s="410"/>
      <c r="EW8" s="416"/>
      <c r="EX8" s="417"/>
      <c r="EY8" s="417"/>
      <c r="EZ8" s="417"/>
      <c r="FA8" s="417"/>
      <c r="FB8" s="417"/>
      <c r="FC8" s="417"/>
      <c r="FD8" s="417">
        <f>IFERROR(VLOOKUP(H8,CEI_072018!$A$1:$U$489,9,FALSE),0)</f>
        <v>0</v>
      </c>
      <c r="FE8" s="417">
        <f>IFERROR(VLOOKUP(H8,CEI_082018!$A$1:$U$489,9,FALSE),0)</f>
        <v>0</v>
      </c>
      <c r="FF8" s="417">
        <f>IFERROR(VLOOKUP(H8,CEI_092018!$A$1:$U$489,9,FALSE),0)</f>
        <v>0</v>
      </c>
      <c r="FG8" s="417"/>
      <c r="FH8" s="417"/>
      <c r="FI8" s="417"/>
      <c r="FJ8" s="418">
        <f>IFERROR(VLOOKUP(H8,CEI_092018!$A$1:$U$489,12,FALSE),0)</f>
        <v>0</v>
      </c>
      <c r="FK8" s="418">
        <f t="shared" si="11"/>
        <v>0</v>
      </c>
      <c r="FL8" s="418">
        <f t="shared" si="12"/>
        <v>0</v>
      </c>
      <c r="FM8" s="417"/>
      <c r="FN8" s="417"/>
      <c r="FO8" s="417"/>
      <c r="FP8" s="417"/>
      <c r="FQ8" s="417"/>
      <c r="FR8" s="417"/>
      <c r="FS8" s="417"/>
      <c r="FT8" s="417"/>
      <c r="FU8" s="417"/>
      <c r="FV8" s="417"/>
      <c r="FW8" s="417"/>
      <c r="FX8" s="417"/>
      <c r="FY8" s="418"/>
      <c r="FZ8" s="418"/>
      <c r="GA8" s="418"/>
      <c r="GB8" s="417"/>
      <c r="GC8" s="417"/>
      <c r="GD8" s="417"/>
      <c r="GE8" s="417"/>
      <c r="GF8" s="417"/>
      <c r="GG8" s="417"/>
      <c r="GH8" s="417"/>
      <c r="GI8" s="417"/>
      <c r="GJ8" s="417"/>
      <c r="GK8" s="417"/>
      <c r="GL8" s="417"/>
      <c r="GM8" s="417"/>
      <c r="GN8" s="418"/>
      <c r="GO8" s="418"/>
      <c r="GP8" s="418"/>
      <c r="GQ8" s="417"/>
      <c r="GR8" s="417"/>
      <c r="GS8" s="417"/>
      <c r="GT8" s="417"/>
      <c r="GU8" s="417"/>
      <c r="GV8" s="417"/>
      <c r="GW8" s="417"/>
      <c r="GX8" s="417"/>
      <c r="GY8" s="417"/>
      <c r="GZ8" s="417"/>
      <c r="HA8" s="417"/>
      <c r="HB8" s="417"/>
      <c r="HC8" s="418"/>
      <c r="HD8" s="418"/>
      <c r="HE8" s="418"/>
      <c r="HF8" s="417"/>
      <c r="HG8" s="417"/>
      <c r="HH8" s="417"/>
      <c r="HI8" s="417"/>
      <c r="HJ8" s="417"/>
      <c r="HK8" s="417"/>
      <c r="HL8" s="417"/>
      <c r="HM8" s="417"/>
      <c r="HN8" s="417"/>
      <c r="HO8" s="417"/>
      <c r="HP8" s="417"/>
      <c r="HQ8" s="417"/>
      <c r="HR8" s="418"/>
      <c r="HS8" s="418"/>
      <c r="HT8" s="418"/>
    </row>
    <row r="9" spans="1:228" s="387" customFormat="1" ht="12.95" customHeight="1" x14ac:dyDescent="0.2">
      <c r="A9" s="406" t="s">
        <v>55</v>
      </c>
      <c r="B9" s="407" t="s">
        <v>38</v>
      </c>
      <c r="C9" s="406" t="s">
        <v>1806</v>
      </c>
      <c r="D9" s="406" t="s">
        <v>1805</v>
      </c>
      <c r="E9" s="407" t="s">
        <v>1806</v>
      </c>
      <c r="F9" s="407" t="s">
        <v>456</v>
      </c>
      <c r="G9" s="406" t="s">
        <v>60</v>
      </c>
      <c r="H9" s="408" t="s">
        <v>1804</v>
      </c>
      <c r="I9" s="408" t="s">
        <v>1803</v>
      </c>
      <c r="J9" s="406" t="s">
        <v>1809</v>
      </c>
      <c r="K9" s="406" t="s">
        <v>1807</v>
      </c>
      <c r="L9" s="406" t="s">
        <v>1808</v>
      </c>
      <c r="M9" s="406"/>
      <c r="N9" s="452">
        <v>0</v>
      </c>
      <c r="O9" s="452">
        <v>0</v>
      </c>
      <c r="P9" s="452">
        <v>0</v>
      </c>
      <c r="Q9" s="452">
        <v>0</v>
      </c>
      <c r="R9" s="452">
        <v>0</v>
      </c>
      <c r="S9" s="452">
        <v>0</v>
      </c>
      <c r="T9" s="452">
        <v>0</v>
      </c>
      <c r="U9" s="409">
        <v>0</v>
      </c>
      <c r="V9" s="409"/>
      <c r="W9" s="409"/>
      <c r="X9" s="409">
        <v>74</v>
      </c>
      <c r="Y9" s="409">
        <v>75</v>
      </c>
      <c r="Z9" s="453">
        <f t="shared" si="13"/>
        <v>149</v>
      </c>
      <c r="AA9" s="452"/>
      <c r="AB9" s="452"/>
      <c r="AC9" s="452"/>
      <c r="AD9" s="452"/>
      <c r="AE9" s="452"/>
      <c r="AF9" s="452"/>
      <c r="AG9" s="452"/>
      <c r="AH9" s="409"/>
      <c r="AI9" s="409"/>
      <c r="AJ9" s="409"/>
      <c r="AK9" s="409"/>
      <c r="AL9" s="409"/>
      <c r="AM9" s="453">
        <f t="shared" si="0"/>
        <v>0</v>
      </c>
      <c r="AN9" s="452"/>
      <c r="AO9" s="452"/>
      <c r="AP9" s="452"/>
      <c r="AQ9" s="452"/>
      <c r="AR9" s="452"/>
      <c r="AS9" s="452"/>
      <c r="AT9" s="452"/>
      <c r="AU9" s="409"/>
      <c r="AV9" s="409"/>
      <c r="AW9" s="409"/>
      <c r="AX9" s="409"/>
      <c r="AY9" s="409"/>
      <c r="AZ9" s="453">
        <f t="shared" si="1"/>
        <v>0</v>
      </c>
      <c r="BA9" s="452"/>
      <c r="BB9" s="452"/>
      <c r="BC9" s="452"/>
      <c r="BD9" s="452"/>
      <c r="BE9" s="452"/>
      <c r="BF9" s="452"/>
      <c r="BG9" s="452"/>
      <c r="BH9" s="409"/>
      <c r="BI9" s="409"/>
      <c r="BJ9" s="409"/>
      <c r="BK9" s="409"/>
      <c r="BL9" s="409"/>
      <c r="BM9" s="453">
        <f t="shared" si="2"/>
        <v>0</v>
      </c>
      <c r="BN9" s="452"/>
      <c r="BO9" s="452"/>
      <c r="BP9" s="452"/>
      <c r="BQ9" s="452"/>
      <c r="BR9" s="452"/>
      <c r="BS9" s="452"/>
      <c r="BT9" s="452"/>
      <c r="BU9" s="409"/>
      <c r="BV9" s="409"/>
      <c r="BW9" s="409"/>
      <c r="BX9" s="409"/>
      <c r="BY9" s="409"/>
      <c r="BZ9" s="453">
        <f t="shared" si="3"/>
        <v>0</v>
      </c>
      <c r="CA9" s="454">
        <f t="shared" si="4"/>
        <v>149</v>
      </c>
      <c r="CB9" s="419"/>
      <c r="CC9" s="419">
        <v>1</v>
      </c>
      <c r="CD9" s="419">
        <v>1</v>
      </c>
      <c r="CE9" s="419">
        <v>1</v>
      </c>
      <c r="CF9" s="419">
        <v>1</v>
      </c>
      <c r="CG9" s="420">
        <f>IFERROR((FE9/Z9%),0)</f>
        <v>0</v>
      </c>
      <c r="CH9" s="421">
        <f>IFERROR((FK9/Z9%),0)</f>
        <v>92.1729539064753</v>
      </c>
      <c r="CI9" s="414" t="s">
        <v>106</v>
      </c>
      <c r="CJ9" s="415">
        <v>0</v>
      </c>
      <c r="CK9" s="415"/>
      <c r="CL9" s="415"/>
      <c r="CM9" s="415"/>
      <c r="CN9" s="415"/>
      <c r="CO9" s="415"/>
      <c r="CP9" s="415"/>
      <c r="CQ9" s="415">
        <v>9</v>
      </c>
      <c r="CR9" s="415"/>
      <c r="CS9" s="415">
        <v>7</v>
      </c>
      <c r="CT9" s="415"/>
      <c r="CU9" s="415">
        <v>2</v>
      </c>
      <c r="CV9" s="410">
        <f>SUM(CJ9:CU9)</f>
        <v>18</v>
      </c>
      <c r="CW9" s="415"/>
      <c r="CX9" s="415"/>
      <c r="CY9" s="415"/>
      <c r="CZ9" s="415"/>
      <c r="DA9" s="415"/>
      <c r="DB9" s="415"/>
      <c r="DC9" s="415"/>
      <c r="DD9" s="415"/>
      <c r="DE9" s="415"/>
      <c r="DF9" s="415"/>
      <c r="DG9" s="415"/>
      <c r="DH9" s="415"/>
      <c r="DI9" s="410">
        <f>SUM(CW9:DH9)</f>
        <v>0</v>
      </c>
      <c r="DJ9" s="415"/>
      <c r="DK9" s="415"/>
      <c r="DL9" s="415"/>
      <c r="DM9" s="415"/>
      <c r="DN9" s="415"/>
      <c r="DO9" s="415"/>
      <c r="DP9" s="415"/>
      <c r="DQ9" s="415"/>
      <c r="DR9" s="415"/>
      <c r="DS9" s="415"/>
      <c r="DT9" s="415"/>
      <c r="DU9" s="415"/>
      <c r="DV9" s="410">
        <f>SUM(DJ9:DU9)</f>
        <v>0</v>
      </c>
      <c r="DW9" s="415"/>
      <c r="DX9" s="415"/>
      <c r="DY9" s="415"/>
      <c r="DZ9" s="415"/>
      <c r="EA9" s="415"/>
      <c r="EB9" s="415"/>
      <c r="EC9" s="415"/>
      <c r="ED9" s="415"/>
      <c r="EE9" s="415"/>
      <c r="EF9" s="415"/>
      <c r="EG9" s="415"/>
      <c r="EH9" s="415"/>
      <c r="EI9" s="410">
        <f>SUM(DW9:EH9)</f>
        <v>0</v>
      </c>
      <c r="EJ9" s="415"/>
      <c r="EK9" s="415"/>
      <c r="EL9" s="415"/>
      <c r="EM9" s="415"/>
      <c r="EN9" s="415"/>
      <c r="EO9" s="415"/>
      <c r="EP9" s="415"/>
      <c r="EQ9" s="415"/>
      <c r="ER9" s="415"/>
      <c r="ES9" s="415"/>
      <c r="ET9" s="415"/>
      <c r="EU9" s="415"/>
      <c r="EV9" s="410">
        <f>SUM(EJ9:EU9)</f>
        <v>0</v>
      </c>
      <c r="EW9" s="416">
        <f>SUM(EV9,EI9,DV9,DI9,CV9)</f>
        <v>18</v>
      </c>
      <c r="EX9" s="417">
        <f>IFERROR(VLOOKUP(H9,CEI_012018!$A$1:$U$509,9,FALSE),0)</f>
        <v>0</v>
      </c>
      <c r="EY9" s="417">
        <f>IFERROR(VLOOKUP(H9,CEI_022018!$A$1:$U$509,9,FALSE),0)</f>
        <v>0</v>
      </c>
      <c r="EZ9" s="417">
        <f>IFERROR(VLOOKUP(H9,CEI_032018!$A$1:$U$509,9,FALSE),0)</f>
        <v>0</v>
      </c>
      <c r="FA9" s="417">
        <f>IFERROR(VLOOKUP(H9,CEI_042018!$A$1:$U$491,9,FALSE),0)</f>
        <v>0</v>
      </c>
      <c r="FB9" s="417">
        <f>IFERROR(VLOOKUP(H9,CEI_052018!$A$1:$U$489,9,FALSE),0)</f>
        <v>0</v>
      </c>
      <c r="FC9" s="417">
        <f>IFERROR(VLOOKUP(H9,CEI_062018!$A$1:$U$489,9,FALSE),0)</f>
        <v>0</v>
      </c>
      <c r="FD9" s="417">
        <f>IFERROR(VLOOKUP(H9,CEI_072018!$A$1:$U$489,9,FALSE),0)</f>
        <v>0</v>
      </c>
      <c r="FE9" s="417">
        <f>IFERROR(VLOOKUP(H9,CEI_082018!$A$1:$U$489,9,FALSE),0)</f>
        <v>0</v>
      </c>
      <c r="FF9" s="417">
        <f>IFERROR(VLOOKUP(H9,CEI_092018!$A$1:$U$489,9,FALSE),0)</f>
        <v>0</v>
      </c>
      <c r="FG9" s="417"/>
      <c r="FH9" s="417"/>
      <c r="FI9" s="417"/>
      <c r="FJ9" s="418">
        <f>IFERROR(VLOOKUP(H9,CEI_092018!$A$1:$U$489,12,FALSE),0)</f>
        <v>137.33770132064819</v>
      </c>
      <c r="FK9" s="418">
        <f t="shared" si="11"/>
        <v>137.33770132064819</v>
      </c>
      <c r="FL9" s="418">
        <f t="shared" si="12"/>
        <v>11.662298679351807</v>
      </c>
      <c r="FM9" s="417"/>
      <c r="FN9" s="417"/>
      <c r="FO9" s="417"/>
      <c r="FP9" s="417"/>
      <c r="FQ9" s="417"/>
      <c r="FR9" s="417"/>
      <c r="FS9" s="417"/>
      <c r="FT9" s="417"/>
      <c r="FU9" s="417"/>
      <c r="FV9" s="417"/>
      <c r="FW9" s="417"/>
      <c r="FX9" s="417"/>
      <c r="FY9" s="418"/>
      <c r="FZ9" s="418"/>
      <c r="GA9" s="418"/>
      <c r="GB9" s="417"/>
      <c r="GC9" s="417"/>
      <c r="GD9" s="417"/>
      <c r="GE9" s="417"/>
      <c r="GF9" s="417"/>
      <c r="GG9" s="417"/>
      <c r="GH9" s="417"/>
      <c r="GI9" s="417"/>
      <c r="GJ9" s="417"/>
      <c r="GK9" s="417"/>
      <c r="GL9" s="417"/>
      <c r="GM9" s="417"/>
      <c r="GN9" s="418"/>
      <c r="GO9" s="418"/>
      <c r="GP9" s="418"/>
      <c r="GQ9" s="417"/>
      <c r="GR9" s="417"/>
      <c r="GS9" s="417"/>
      <c r="GT9" s="417"/>
      <c r="GU9" s="417"/>
      <c r="GV9" s="417"/>
      <c r="GW9" s="417"/>
      <c r="GX9" s="417"/>
      <c r="GY9" s="417"/>
      <c r="GZ9" s="417"/>
      <c r="HA9" s="417"/>
      <c r="HB9" s="417"/>
      <c r="HC9" s="418"/>
      <c r="HD9" s="418"/>
      <c r="HE9" s="418"/>
      <c r="HF9" s="417"/>
      <c r="HG9" s="417"/>
      <c r="HH9" s="417"/>
      <c r="HI9" s="417"/>
      <c r="HJ9" s="417"/>
      <c r="HK9" s="417"/>
      <c r="HL9" s="417"/>
      <c r="HM9" s="417"/>
      <c r="HN9" s="417"/>
      <c r="HO9" s="417"/>
      <c r="HP9" s="417"/>
      <c r="HQ9" s="417"/>
      <c r="HR9" s="418"/>
      <c r="HS9" s="418"/>
      <c r="HT9" s="418"/>
    </row>
    <row r="10" spans="1:228" s="387" customFormat="1" ht="12.95" customHeight="1" x14ac:dyDescent="0.2">
      <c r="A10" s="406" t="s">
        <v>55</v>
      </c>
      <c r="B10" s="407" t="s">
        <v>38</v>
      </c>
      <c r="C10" s="406" t="s">
        <v>471</v>
      </c>
      <c r="D10" s="407" t="s">
        <v>1673</v>
      </c>
      <c r="E10" s="407" t="s">
        <v>471</v>
      </c>
      <c r="F10" s="407" t="s">
        <v>1673</v>
      </c>
      <c r="G10" s="406" t="s">
        <v>60</v>
      </c>
      <c r="H10" s="408" t="s">
        <v>1675</v>
      </c>
      <c r="I10" s="408" t="s">
        <v>1677</v>
      </c>
      <c r="J10" s="406" t="s">
        <v>1017</v>
      </c>
      <c r="K10" s="406" t="s">
        <v>472</v>
      </c>
      <c r="L10" s="406" t="s">
        <v>473</v>
      </c>
      <c r="M10" s="406"/>
      <c r="N10" s="452">
        <v>0</v>
      </c>
      <c r="O10" s="452">
        <v>0</v>
      </c>
      <c r="P10" s="452">
        <v>0</v>
      </c>
      <c r="Q10" s="452">
        <v>0</v>
      </c>
      <c r="R10" s="452">
        <v>0</v>
      </c>
      <c r="S10" s="452">
        <v>0</v>
      </c>
      <c r="T10" s="452">
        <v>0</v>
      </c>
      <c r="U10" s="409">
        <v>0</v>
      </c>
      <c r="V10" s="409"/>
      <c r="W10" s="409"/>
      <c r="X10" s="409">
        <v>58</v>
      </c>
      <c r="Y10" s="409">
        <v>347</v>
      </c>
      <c r="Z10" s="453">
        <f t="shared" si="13"/>
        <v>405</v>
      </c>
      <c r="AA10" s="452"/>
      <c r="AB10" s="452"/>
      <c r="AC10" s="452"/>
      <c r="AD10" s="452"/>
      <c r="AE10" s="452"/>
      <c r="AF10" s="452"/>
      <c r="AG10" s="452"/>
      <c r="AH10" s="409"/>
      <c r="AI10" s="409"/>
      <c r="AJ10" s="409"/>
      <c r="AK10" s="409"/>
      <c r="AL10" s="409"/>
      <c r="AM10" s="453">
        <f t="shared" si="0"/>
        <v>0</v>
      </c>
      <c r="AN10" s="452"/>
      <c r="AO10" s="452"/>
      <c r="AP10" s="452"/>
      <c r="AQ10" s="452"/>
      <c r="AR10" s="452"/>
      <c r="AS10" s="452"/>
      <c r="AT10" s="452"/>
      <c r="AU10" s="409"/>
      <c r="AV10" s="409"/>
      <c r="AW10" s="409"/>
      <c r="AX10" s="409"/>
      <c r="AY10" s="409"/>
      <c r="AZ10" s="453">
        <f t="shared" si="1"/>
        <v>0</v>
      </c>
      <c r="BA10" s="452"/>
      <c r="BB10" s="452"/>
      <c r="BC10" s="452"/>
      <c r="BD10" s="452"/>
      <c r="BE10" s="452"/>
      <c r="BF10" s="452"/>
      <c r="BG10" s="452"/>
      <c r="BH10" s="409"/>
      <c r="BI10" s="409"/>
      <c r="BJ10" s="409"/>
      <c r="BK10" s="409"/>
      <c r="BL10" s="409"/>
      <c r="BM10" s="453">
        <f t="shared" si="2"/>
        <v>0</v>
      </c>
      <c r="BN10" s="452"/>
      <c r="BO10" s="452"/>
      <c r="BP10" s="452"/>
      <c r="BQ10" s="452"/>
      <c r="BR10" s="452"/>
      <c r="BS10" s="452"/>
      <c r="BT10" s="452"/>
      <c r="BU10" s="409"/>
      <c r="BV10" s="409"/>
      <c r="BW10" s="409"/>
      <c r="BX10" s="409"/>
      <c r="BY10" s="409"/>
      <c r="BZ10" s="453">
        <f t="shared" si="3"/>
        <v>0</v>
      </c>
      <c r="CA10" s="454">
        <f t="shared" si="4"/>
        <v>405</v>
      </c>
      <c r="CB10" s="419"/>
      <c r="CC10" s="419">
        <v>1</v>
      </c>
      <c r="CD10" s="419">
        <v>1</v>
      </c>
      <c r="CE10" s="419">
        <v>1</v>
      </c>
      <c r="CF10" s="419">
        <v>1</v>
      </c>
      <c r="CG10" s="420">
        <f>IFERROR((FE10/Z10%),0)</f>
        <v>0</v>
      </c>
      <c r="CH10" s="421">
        <f>IFERROR((FK10/Z10%),0)</f>
        <v>95.714371763629686</v>
      </c>
      <c r="CI10" s="414" t="s">
        <v>106</v>
      </c>
      <c r="CJ10" s="415">
        <v>0</v>
      </c>
      <c r="CK10" s="415"/>
      <c r="CL10" s="415"/>
      <c r="CM10" s="415"/>
      <c r="CN10" s="415"/>
      <c r="CO10" s="415"/>
      <c r="CP10" s="415"/>
      <c r="CQ10" s="415">
        <v>150</v>
      </c>
      <c r="CR10" s="415"/>
      <c r="CS10" s="415"/>
      <c r="CT10" s="415"/>
      <c r="CU10" s="415"/>
      <c r="CV10" s="410">
        <f>SUM(CJ10:CU10)</f>
        <v>150</v>
      </c>
      <c r="CW10" s="415"/>
      <c r="CX10" s="415"/>
      <c r="CY10" s="415"/>
      <c r="CZ10" s="415"/>
      <c r="DA10" s="415"/>
      <c r="DB10" s="415"/>
      <c r="DC10" s="415"/>
      <c r="DD10" s="415"/>
      <c r="DE10" s="415"/>
      <c r="DF10" s="415"/>
      <c r="DG10" s="415"/>
      <c r="DH10" s="415"/>
      <c r="DI10" s="410">
        <f>SUM(CW10:DH10)</f>
        <v>0</v>
      </c>
      <c r="DJ10" s="415"/>
      <c r="DK10" s="415"/>
      <c r="DL10" s="415"/>
      <c r="DM10" s="415"/>
      <c r="DN10" s="415"/>
      <c r="DO10" s="415"/>
      <c r="DP10" s="415"/>
      <c r="DQ10" s="415"/>
      <c r="DR10" s="415"/>
      <c r="DS10" s="415"/>
      <c r="DT10" s="415"/>
      <c r="DU10" s="415"/>
      <c r="DV10" s="410">
        <f>SUM(DJ10:DU10)</f>
        <v>0</v>
      </c>
      <c r="DW10" s="415"/>
      <c r="DX10" s="415"/>
      <c r="DY10" s="415"/>
      <c r="DZ10" s="415"/>
      <c r="EA10" s="415"/>
      <c r="EB10" s="415"/>
      <c r="EC10" s="415"/>
      <c r="ED10" s="415"/>
      <c r="EE10" s="415"/>
      <c r="EF10" s="415"/>
      <c r="EG10" s="415"/>
      <c r="EH10" s="415"/>
      <c r="EI10" s="410">
        <f>SUM(DW10:EH10)</f>
        <v>0</v>
      </c>
      <c r="EJ10" s="415"/>
      <c r="EK10" s="415"/>
      <c r="EL10" s="415"/>
      <c r="EM10" s="415"/>
      <c r="EN10" s="415"/>
      <c r="EO10" s="415"/>
      <c r="EP10" s="415"/>
      <c r="EQ10" s="415"/>
      <c r="ER10" s="415"/>
      <c r="ES10" s="415"/>
      <c r="ET10" s="415"/>
      <c r="EU10" s="415"/>
      <c r="EV10" s="410">
        <f>SUM(EJ10:EU10)</f>
        <v>0</v>
      </c>
      <c r="EW10" s="416">
        <f>SUM(EV10,EI10,DV10,DI10,CV10)</f>
        <v>150</v>
      </c>
      <c r="EX10" s="417">
        <f>IFERROR(VLOOKUP(H10,CEI_012018!$A$1:$U$509,9,FALSE),0)</f>
        <v>0</v>
      </c>
      <c r="EY10" s="417">
        <f>IFERROR(VLOOKUP(H10,CEI_022018!$A$1:$U$509,9,FALSE),0)</f>
        <v>0</v>
      </c>
      <c r="EZ10" s="417">
        <f>IFERROR(VLOOKUP(H10,CEI_032018!$A$1:$U$509,9,FALSE),0)</f>
        <v>0</v>
      </c>
      <c r="FA10" s="417">
        <f>IFERROR(VLOOKUP(H10,CEI_042018!$A$1:$U$491,9,FALSE),0)</f>
        <v>0</v>
      </c>
      <c r="FB10" s="417">
        <f>IFERROR(VLOOKUP(H10,CEI_052018!$A$1:$U$489,9,FALSE),0)</f>
        <v>0</v>
      </c>
      <c r="FC10" s="417">
        <f>IFERROR(VLOOKUP(H10,CEI_062018!$A$1:$U$489,9,FALSE),0)</f>
        <v>0</v>
      </c>
      <c r="FD10" s="417">
        <f>IFERROR(VLOOKUP(H10,CEI_072018!$A$1:$U$489,9,FALSE),0)</f>
        <v>0</v>
      </c>
      <c r="FE10" s="417">
        <f>IFERROR(VLOOKUP(H10,CEI_082018!$A$1:$U$489,9,FALSE),0)</f>
        <v>0</v>
      </c>
      <c r="FF10" s="417">
        <f>IFERROR(VLOOKUP(H10,CEI_092018!$A$1:$U$489,9,FALSE),0)</f>
        <v>0</v>
      </c>
      <c r="FG10" s="417"/>
      <c r="FH10" s="417"/>
      <c r="FI10" s="417"/>
      <c r="FJ10" s="418">
        <f>IFERROR(VLOOKUP(H10,CEI_092018!$A$1:$U$489,12,FALSE),0)</f>
        <v>387.6432056427002</v>
      </c>
      <c r="FK10" s="418">
        <f t="shared" si="11"/>
        <v>387.6432056427002</v>
      </c>
      <c r="FL10" s="418">
        <f t="shared" si="12"/>
        <v>17.356794357299805</v>
      </c>
      <c r="FM10" s="417"/>
      <c r="FN10" s="417"/>
      <c r="FO10" s="417"/>
      <c r="FP10" s="417"/>
      <c r="FQ10" s="417"/>
      <c r="FR10" s="417"/>
      <c r="FS10" s="417"/>
      <c r="FT10" s="417"/>
      <c r="FU10" s="417"/>
      <c r="FV10" s="417"/>
      <c r="FW10" s="417"/>
      <c r="FX10" s="417"/>
      <c r="FY10" s="418"/>
      <c r="FZ10" s="418"/>
      <c r="GA10" s="418"/>
      <c r="GB10" s="417"/>
      <c r="GC10" s="417"/>
      <c r="GD10" s="417"/>
      <c r="GE10" s="417"/>
      <c r="GF10" s="417"/>
      <c r="GG10" s="417"/>
      <c r="GH10" s="417"/>
      <c r="GI10" s="417"/>
      <c r="GJ10" s="417"/>
      <c r="GK10" s="417"/>
      <c r="GL10" s="417"/>
      <c r="GM10" s="417"/>
      <c r="GN10" s="418"/>
      <c r="GO10" s="418"/>
      <c r="GP10" s="418"/>
      <c r="GQ10" s="417"/>
      <c r="GR10" s="417"/>
      <c r="GS10" s="417"/>
      <c r="GT10" s="417"/>
      <c r="GU10" s="417"/>
      <c r="GV10" s="417"/>
      <c r="GW10" s="417"/>
      <c r="GX10" s="417"/>
      <c r="GY10" s="417"/>
      <c r="GZ10" s="417"/>
      <c r="HA10" s="417"/>
      <c r="HB10" s="417"/>
      <c r="HC10" s="418"/>
      <c r="HD10" s="418"/>
      <c r="HE10" s="418"/>
      <c r="HF10" s="417"/>
      <c r="HG10" s="417"/>
      <c r="HH10" s="417"/>
      <c r="HI10" s="417"/>
      <c r="HJ10" s="417"/>
      <c r="HK10" s="417"/>
      <c r="HL10" s="417"/>
      <c r="HM10" s="417"/>
      <c r="HN10" s="417"/>
      <c r="HO10" s="417"/>
      <c r="HP10" s="417"/>
      <c r="HQ10" s="417"/>
      <c r="HR10" s="418"/>
      <c r="HS10" s="418"/>
      <c r="HT10" s="418"/>
    </row>
    <row r="11" spans="1:228" s="387" customFormat="1" ht="12.95" customHeight="1" x14ac:dyDescent="0.2">
      <c r="A11" s="406" t="s">
        <v>55</v>
      </c>
      <c r="B11" s="407" t="s">
        <v>39</v>
      </c>
      <c r="C11" s="406" t="s">
        <v>471</v>
      </c>
      <c r="D11" s="407" t="s">
        <v>1673</v>
      </c>
      <c r="E11" s="407" t="s">
        <v>471</v>
      </c>
      <c r="F11" s="407" t="s">
        <v>1673</v>
      </c>
      <c r="G11" s="406" t="s">
        <v>60</v>
      </c>
      <c r="H11" s="408" t="s">
        <v>1676</v>
      </c>
      <c r="I11" s="408" t="s">
        <v>1678</v>
      </c>
      <c r="J11" s="406" t="s">
        <v>1674</v>
      </c>
      <c r="K11" s="406"/>
      <c r="L11" s="406"/>
      <c r="M11" s="406"/>
      <c r="N11" s="452">
        <v>0</v>
      </c>
      <c r="O11" s="452">
        <v>0</v>
      </c>
      <c r="P11" s="452">
        <v>0</v>
      </c>
      <c r="Q11" s="452">
        <v>0</v>
      </c>
      <c r="R11" s="452">
        <v>0</v>
      </c>
      <c r="S11" s="452">
        <v>0</v>
      </c>
      <c r="T11" s="452">
        <v>0</v>
      </c>
      <c r="U11" s="409">
        <v>0</v>
      </c>
      <c r="V11" s="409"/>
      <c r="W11" s="409"/>
      <c r="X11" s="409">
        <v>115.20000123977661</v>
      </c>
      <c r="Y11" s="409">
        <f>125-115.200001239776</f>
        <v>9.7999987602239997</v>
      </c>
      <c r="Z11" s="453">
        <f t="shared" si="13"/>
        <v>125.00000000000061</v>
      </c>
      <c r="AA11" s="452"/>
      <c r="AB11" s="452"/>
      <c r="AC11" s="452"/>
      <c r="AD11" s="452"/>
      <c r="AE11" s="452"/>
      <c r="AF11" s="452"/>
      <c r="AG11" s="452"/>
      <c r="AH11" s="409"/>
      <c r="AI11" s="409"/>
      <c r="AJ11" s="409"/>
      <c r="AK11" s="409"/>
      <c r="AL11" s="409"/>
      <c r="AM11" s="453">
        <f t="shared" si="0"/>
        <v>0</v>
      </c>
      <c r="AN11" s="452"/>
      <c r="AO11" s="452"/>
      <c r="AP11" s="452"/>
      <c r="AQ11" s="452"/>
      <c r="AR11" s="452"/>
      <c r="AS11" s="452"/>
      <c r="AT11" s="452"/>
      <c r="AU11" s="409"/>
      <c r="AV11" s="409"/>
      <c r="AW11" s="409"/>
      <c r="AX11" s="409"/>
      <c r="AY11" s="409"/>
      <c r="AZ11" s="453">
        <f t="shared" si="1"/>
        <v>0</v>
      </c>
      <c r="BA11" s="452"/>
      <c r="BB11" s="452"/>
      <c r="BC11" s="452"/>
      <c r="BD11" s="452"/>
      <c r="BE11" s="452"/>
      <c r="BF11" s="452"/>
      <c r="BG11" s="452"/>
      <c r="BH11" s="409"/>
      <c r="BI11" s="409"/>
      <c r="BJ11" s="409"/>
      <c r="BK11" s="409"/>
      <c r="BL11" s="409"/>
      <c r="BM11" s="453">
        <f t="shared" si="2"/>
        <v>0</v>
      </c>
      <c r="BN11" s="452"/>
      <c r="BO11" s="452"/>
      <c r="BP11" s="452"/>
      <c r="BQ11" s="452"/>
      <c r="BR11" s="452"/>
      <c r="BS11" s="452"/>
      <c r="BT11" s="452"/>
      <c r="BU11" s="409"/>
      <c r="BV11" s="409"/>
      <c r="BW11" s="409"/>
      <c r="BX11" s="409"/>
      <c r="BY11" s="409"/>
      <c r="BZ11" s="453">
        <f t="shared" si="3"/>
        <v>0</v>
      </c>
      <c r="CA11" s="454">
        <f t="shared" si="4"/>
        <v>125.00000000000061</v>
      </c>
      <c r="CB11" s="419"/>
      <c r="CC11" s="419">
        <v>1</v>
      </c>
      <c r="CD11" s="419">
        <v>1</v>
      </c>
      <c r="CE11" s="419">
        <v>1</v>
      </c>
      <c r="CF11" s="419">
        <v>-1</v>
      </c>
      <c r="CG11" s="420">
        <f>IFERROR((FE11/Z11%),0)</f>
        <v>0</v>
      </c>
      <c r="CH11" s="421">
        <f>IFERROR((FK11/Z11%),0)</f>
        <v>92.160000991820837</v>
      </c>
      <c r="CI11" s="414" t="s">
        <v>71</v>
      </c>
      <c r="CJ11" s="415"/>
      <c r="CK11" s="415"/>
      <c r="CL11" s="415"/>
      <c r="CM11" s="415"/>
      <c r="CN11" s="415"/>
      <c r="CO11" s="415"/>
      <c r="CP11" s="415"/>
      <c r="CQ11" s="415"/>
      <c r="CR11" s="415"/>
      <c r="CS11" s="415"/>
      <c r="CT11" s="415"/>
      <c r="CU11" s="415">
        <v>48</v>
      </c>
      <c r="CV11" s="410">
        <f>SUM(CJ11:CU11)</f>
        <v>48</v>
      </c>
      <c r="CW11" s="415"/>
      <c r="CX11" s="415"/>
      <c r="CY11" s="415"/>
      <c r="CZ11" s="415"/>
      <c r="DA11" s="415"/>
      <c r="DB11" s="415"/>
      <c r="DC11" s="415"/>
      <c r="DD11" s="415"/>
      <c r="DE11" s="415"/>
      <c r="DF11" s="415"/>
      <c r="DG11" s="415"/>
      <c r="DH11" s="415"/>
      <c r="DI11" s="410">
        <f>SUM(CW11:DH11)</f>
        <v>0</v>
      </c>
      <c r="DJ11" s="415"/>
      <c r="DK11" s="415"/>
      <c r="DL11" s="415"/>
      <c r="DM11" s="415"/>
      <c r="DN11" s="415"/>
      <c r="DO11" s="415"/>
      <c r="DP11" s="415"/>
      <c r="DQ11" s="415"/>
      <c r="DR11" s="415"/>
      <c r="DS11" s="415"/>
      <c r="DT11" s="415"/>
      <c r="DU11" s="415"/>
      <c r="DV11" s="410">
        <f>SUM(DJ11:DU11)</f>
        <v>0</v>
      </c>
      <c r="DW11" s="415"/>
      <c r="DX11" s="415"/>
      <c r="DY11" s="415"/>
      <c r="DZ11" s="415"/>
      <c r="EA11" s="415"/>
      <c r="EB11" s="415"/>
      <c r="EC11" s="415"/>
      <c r="ED11" s="415"/>
      <c r="EE11" s="415"/>
      <c r="EF11" s="415"/>
      <c r="EG11" s="415"/>
      <c r="EH11" s="415"/>
      <c r="EI11" s="410">
        <f>SUM(DW11:EH11)</f>
        <v>0</v>
      </c>
      <c r="EJ11" s="415"/>
      <c r="EK11" s="415"/>
      <c r="EL11" s="415"/>
      <c r="EM11" s="415"/>
      <c r="EN11" s="415"/>
      <c r="EO11" s="415"/>
      <c r="EP11" s="415"/>
      <c r="EQ11" s="415"/>
      <c r="ER11" s="415"/>
      <c r="ES11" s="415"/>
      <c r="ET11" s="415"/>
      <c r="EU11" s="415"/>
      <c r="EV11" s="410">
        <f>SUM(EJ11:EU11)</f>
        <v>0</v>
      </c>
      <c r="EW11" s="416">
        <f>SUM(EV11,EI11,DV11,DI11,CV11)</f>
        <v>48</v>
      </c>
      <c r="EX11" s="417">
        <f>IFERROR(VLOOKUP(H11,CEI_012018!$A$1:$U$509,9,FALSE),0)</f>
        <v>0</v>
      </c>
      <c r="EY11" s="417">
        <f>IFERROR(VLOOKUP(H11,CEI_022018!$A$1:$U$509,9,FALSE),0)</f>
        <v>0</v>
      </c>
      <c r="EZ11" s="417">
        <f>IFERROR(VLOOKUP(H11,CEI_032018!$A$1:$U$509,9,FALSE),0)</f>
        <v>0</v>
      </c>
      <c r="FA11" s="417">
        <f>IFERROR(VLOOKUP(H11,CEI_042018!$A$1:$U$491,9,FALSE),0)</f>
        <v>0</v>
      </c>
      <c r="FB11" s="417">
        <f>IFERROR(VLOOKUP(H11,CEI_052018!$A$1:$U$489,9,FALSE),0)</f>
        <v>0</v>
      </c>
      <c r="FC11" s="417">
        <f>IFERROR(VLOOKUP(H11,CEI_062018!$A$1:$U$489,9,FALSE),0)</f>
        <v>0</v>
      </c>
      <c r="FD11" s="417">
        <f>IFERROR(VLOOKUP(H11,CEI_072018!$A$1:$U$489,9,FALSE),0)</f>
        <v>0</v>
      </c>
      <c r="FE11" s="417">
        <f>IFERROR(VLOOKUP(H11,CEI_082018!$A$1:$U$489,9,FALSE),0)</f>
        <v>0</v>
      </c>
      <c r="FF11" s="417">
        <f>IFERROR(VLOOKUP(H11,CEI_092018!$A$1:$U$489,9,FALSE),0)</f>
        <v>0</v>
      </c>
      <c r="FG11" s="417"/>
      <c r="FH11" s="417"/>
      <c r="FI11" s="417"/>
      <c r="FJ11" s="418">
        <f>IFERROR(VLOOKUP(H11,CEI_092018!$A$1:$U$489,12,FALSE),0)</f>
        <v>115.20000123977661</v>
      </c>
      <c r="FK11" s="418">
        <f t="shared" si="11"/>
        <v>115.20000123977661</v>
      </c>
      <c r="FL11" s="418">
        <f t="shared" si="12"/>
        <v>9.7999987602239997</v>
      </c>
      <c r="FM11" s="417"/>
      <c r="FN11" s="417"/>
      <c r="FO11" s="417"/>
      <c r="FP11" s="417"/>
      <c r="FQ11" s="417"/>
      <c r="FR11" s="417"/>
      <c r="FS11" s="417"/>
      <c r="FT11" s="417"/>
      <c r="FU11" s="417"/>
      <c r="FV11" s="417"/>
      <c r="FW11" s="417"/>
      <c r="FX11" s="417"/>
      <c r="FY11" s="418"/>
      <c r="FZ11" s="418"/>
      <c r="GA11" s="418"/>
      <c r="GB11" s="417"/>
      <c r="GC11" s="417"/>
      <c r="GD11" s="417"/>
      <c r="GE11" s="417"/>
      <c r="GF11" s="417"/>
      <c r="GG11" s="417"/>
      <c r="GH11" s="417"/>
      <c r="GI11" s="417"/>
      <c r="GJ11" s="417"/>
      <c r="GK11" s="417"/>
      <c r="GL11" s="417"/>
      <c r="GM11" s="417"/>
      <c r="GN11" s="418"/>
      <c r="GO11" s="418"/>
      <c r="GP11" s="418"/>
      <c r="GQ11" s="417"/>
      <c r="GR11" s="417"/>
      <c r="GS11" s="417"/>
      <c r="GT11" s="417"/>
      <c r="GU11" s="417"/>
      <c r="GV11" s="417"/>
      <c r="GW11" s="417"/>
      <c r="GX11" s="417"/>
      <c r="GY11" s="417"/>
      <c r="GZ11" s="417"/>
      <c r="HA11" s="417"/>
      <c r="HB11" s="417"/>
      <c r="HC11" s="418"/>
      <c r="HD11" s="418"/>
      <c r="HE11" s="418"/>
      <c r="HF11" s="417"/>
      <c r="HG11" s="417"/>
      <c r="HH11" s="417"/>
      <c r="HI11" s="417"/>
      <c r="HJ11" s="417"/>
      <c r="HK11" s="417"/>
      <c r="HL11" s="417"/>
      <c r="HM11" s="417"/>
      <c r="HN11" s="417"/>
      <c r="HO11" s="417"/>
      <c r="HP11" s="417"/>
      <c r="HQ11" s="417"/>
      <c r="HR11" s="418"/>
      <c r="HS11" s="418"/>
      <c r="HT11" s="418"/>
    </row>
    <row r="12" spans="1:228" s="387" customFormat="1" ht="12.95" customHeight="1" x14ac:dyDescent="0.2">
      <c r="A12" s="406" t="s">
        <v>52</v>
      </c>
      <c r="B12" s="407" t="s">
        <v>27</v>
      </c>
      <c r="C12" s="406" t="s">
        <v>53</v>
      </c>
      <c r="D12" s="407" t="s">
        <v>566</v>
      </c>
      <c r="E12" s="407" t="s">
        <v>53</v>
      </c>
      <c r="F12" s="407" t="s">
        <v>566</v>
      </c>
      <c r="G12" s="406" t="s">
        <v>54</v>
      </c>
      <c r="H12" s="408" t="s">
        <v>520</v>
      </c>
      <c r="I12" s="408"/>
      <c r="J12" s="406" t="s">
        <v>567</v>
      </c>
      <c r="K12" s="406" t="s">
        <v>80</v>
      </c>
      <c r="L12" s="406" t="s">
        <v>568</v>
      </c>
      <c r="M12" s="406" t="s">
        <v>1672</v>
      </c>
      <c r="N12" s="452">
        <v>0</v>
      </c>
      <c r="O12" s="452">
        <v>0</v>
      </c>
      <c r="P12" s="452">
        <v>0</v>
      </c>
      <c r="Q12" s="452">
        <v>0</v>
      </c>
      <c r="R12" s="452">
        <v>0</v>
      </c>
      <c r="S12" s="452">
        <v>0</v>
      </c>
      <c r="T12" s="452">
        <v>0</v>
      </c>
      <c r="U12" s="409">
        <v>0</v>
      </c>
      <c r="V12" s="409"/>
      <c r="W12" s="409"/>
      <c r="X12" s="409"/>
      <c r="Y12" s="409"/>
      <c r="Z12" s="453">
        <f t="shared" si="13"/>
        <v>0</v>
      </c>
      <c r="AA12" s="452"/>
      <c r="AB12" s="452"/>
      <c r="AC12" s="452"/>
      <c r="AD12" s="452"/>
      <c r="AE12" s="452"/>
      <c r="AF12" s="452"/>
      <c r="AG12" s="452">
        <v>94.416799999999995</v>
      </c>
      <c r="AH12" s="409"/>
      <c r="AI12" s="409"/>
      <c r="AJ12" s="409"/>
      <c r="AK12" s="409"/>
      <c r="AL12" s="409">
        <v>208.5</v>
      </c>
      <c r="AM12" s="453">
        <f t="shared" si="0"/>
        <v>302.91679999999997</v>
      </c>
      <c r="AN12" s="452"/>
      <c r="AO12" s="452"/>
      <c r="AP12" s="452"/>
      <c r="AQ12" s="452"/>
      <c r="AR12" s="452"/>
      <c r="AS12" s="452"/>
      <c r="AT12" s="452"/>
      <c r="AU12" s="409"/>
      <c r="AV12" s="409"/>
      <c r="AW12" s="409"/>
      <c r="AX12" s="409">
        <v>158.5</v>
      </c>
      <c r="AY12" s="409">
        <v>57</v>
      </c>
      <c r="AZ12" s="453">
        <f t="shared" si="1"/>
        <v>215.5</v>
      </c>
      <c r="BA12" s="452"/>
      <c r="BB12" s="452"/>
      <c r="BC12" s="452"/>
      <c r="BD12" s="452"/>
      <c r="BE12" s="452"/>
      <c r="BF12" s="452"/>
      <c r="BG12" s="452"/>
      <c r="BH12" s="409"/>
      <c r="BI12" s="409"/>
      <c r="BJ12" s="409"/>
      <c r="BK12" s="409"/>
      <c r="BL12" s="409">
        <v>158.5</v>
      </c>
      <c r="BM12" s="453">
        <f t="shared" si="2"/>
        <v>158.5</v>
      </c>
      <c r="BN12" s="452"/>
      <c r="BO12" s="452"/>
      <c r="BP12" s="452"/>
      <c r="BQ12" s="452"/>
      <c r="BR12" s="452"/>
      <c r="BS12" s="452"/>
      <c r="BT12" s="452"/>
      <c r="BU12" s="409"/>
      <c r="BV12" s="409"/>
      <c r="BW12" s="409"/>
      <c r="BX12" s="409">
        <v>158.5</v>
      </c>
      <c r="BY12" s="409">
        <v>110.65115833000019</v>
      </c>
      <c r="BZ12" s="453">
        <f t="shared" si="3"/>
        <v>269.15115833000016</v>
      </c>
      <c r="CA12" s="454">
        <f t="shared" si="4"/>
        <v>946.06795833000012</v>
      </c>
      <c r="CB12" s="411"/>
      <c r="CC12" s="411"/>
      <c r="CD12" s="411"/>
      <c r="CE12" s="411"/>
      <c r="CF12" s="411"/>
      <c r="CG12" s="412"/>
      <c r="CH12" s="413"/>
      <c r="CI12" s="414" t="s">
        <v>70</v>
      </c>
      <c r="CJ12" s="422">
        <v>0</v>
      </c>
      <c r="CK12" s="422">
        <v>0</v>
      </c>
      <c r="CL12" s="422">
        <v>0</v>
      </c>
      <c r="CM12" s="422">
        <v>0</v>
      </c>
      <c r="CN12" s="422">
        <v>0</v>
      </c>
      <c r="CO12" s="422">
        <v>0</v>
      </c>
      <c r="CP12" s="422">
        <v>0</v>
      </c>
      <c r="CQ12" s="422">
        <v>0</v>
      </c>
      <c r="CR12" s="422">
        <v>0</v>
      </c>
      <c r="CS12" s="422">
        <v>0</v>
      </c>
      <c r="CT12" s="422">
        <v>0</v>
      </c>
      <c r="CU12" s="422">
        <v>0</v>
      </c>
      <c r="CV12" s="410">
        <f>SUM(CJ12:CU12)</f>
        <v>0</v>
      </c>
      <c r="CW12" s="422">
        <v>0</v>
      </c>
      <c r="CX12" s="422">
        <v>0</v>
      </c>
      <c r="CY12" s="422">
        <v>0</v>
      </c>
      <c r="CZ12" s="422">
        <v>0</v>
      </c>
      <c r="DA12" s="422">
        <v>0</v>
      </c>
      <c r="DB12" s="422">
        <v>0</v>
      </c>
      <c r="DC12" s="422">
        <v>0.14892239747634067</v>
      </c>
      <c r="DD12" s="422">
        <v>0</v>
      </c>
      <c r="DE12" s="422">
        <v>0</v>
      </c>
      <c r="DF12" s="422">
        <v>0</v>
      </c>
      <c r="DG12" s="422">
        <v>0</v>
      </c>
      <c r="DH12" s="422">
        <v>0.32886435331230285</v>
      </c>
      <c r="DI12" s="410">
        <f>SUM(CW12:DH12)</f>
        <v>0.47778675078864352</v>
      </c>
      <c r="DJ12" s="422">
        <v>0</v>
      </c>
      <c r="DK12" s="422">
        <v>0</v>
      </c>
      <c r="DL12" s="422">
        <v>0</v>
      </c>
      <c r="DM12" s="422">
        <v>0</v>
      </c>
      <c r="DN12" s="422">
        <v>0</v>
      </c>
      <c r="DO12" s="422">
        <v>0</v>
      </c>
      <c r="DP12" s="422">
        <v>0</v>
      </c>
      <c r="DQ12" s="422">
        <v>0</v>
      </c>
      <c r="DR12" s="422">
        <v>0</v>
      </c>
      <c r="DS12" s="422">
        <v>0</v>
      </c>
      <c r="DT12" s="422">
        <v>2.7807017543859649</v>
      </c>
      <c r="DU12" s="422">
        <v>1</v>
      </c>
      <c r="DV12" s="410">
        <f>SUM(DJ12:DU12)</f>
        <v>3.7807017543859649</v>
      </c>
      <c r="DW12" s="422">
        <v>0</v>
      </c>
      <c r="DX12" s="422">
        <v>0</v>
      </c>
      <c r="DY12" s="422">
        <v>0</v>
      </c>
      <c r="DZ12" s="422">
        <v>0</v>
      </c>
      <c r="EA12" s="422">
        <v>0</v>
      </c>
      <c r="EB12" s="422">
        <v>0</v>
      </c>
      <c r="EC12" s="422">
        <v>0</v>
      </c>
      <c r="ED12" s="422">
        <v>0</v>
      </c>
      <c r="EE12" s="422">
        <v>0</v>
      </c>
      <c r="EF12" s="422">
        <v>0</v>
      </c>
      <c r="EG12" s="422">
        <v>0</v>
      </c>
      <c r="EH12" s="422">
        <v>0</v>
      </c>
      <c r="EI12" s="410">
        <f>SUM(DW12:EH12)</f>
        <v>0</v>
      </c>
      <c r="EJ12" s="422">
        <v>0</v>
      </c>
      <c r="EK12" s="422">
        <v>0</v>
      </c>
      <c r="EL12" s="422">
        <v>0</v>
      </c>
      <c r="EM12" s="422">
        <v>0</v>
      </c>
      <c r="EN12" s="422">
        <v>0</v>
      </c>
      <c r="EO12" s="422">
        <v>0</v>
      </c>
      <c r="EP12" s="422">
        <v>0</v>
      </c>
      <c r="EQ12" s="422">
        <v>0</v>
      </c>
      <c r="ER12" s="422">
        <v>0</v>
      </c>
      <c r="ES12" s="422">
        <v>0</v>
      </c>
      <c r="ET12" s="422">
        <v>1.4356884057971013</v>
      </c>
      <c r="EU12" s="422">
        <v>1.00227498487319</v>
      </c>
      <c r="EV12" s="410">
        <f>SUM(EJ12:EU12)</f>
        <v>2.4379633906702916</v>
      </c>
      <c r="EW12" s="416">
        <f>SUM(EV12,EI12,DV12,DI12,CV12)</f>
        <v>6.6964518958449002</v>
      </c>
      <c r="EX12" s="417">
        <f>IFERROR(VLOOKUP(H12,CEI_012018!$A$1:$U$509,9,FALSE),0)</f>
        <v>0</v>
      </c>
      <c r="EY12" s="417">
        <f>IFERROR(VLOOKUP(H12,CEI_022018!$A$1:$U$509,9,FALSE),0)</f>
        <v>0</v>
      </c>
      <c r="EZ12" s="417">
        <f>IFERROR(VLOOKUP(H12,CEI_032018!$A$1:$U$509,9,FALSE),0)</f>
        <v>0</v>
      </c>
      <c r="FA12" s="417">
        <f>IFERROR(VLOOKUP(H12,CEI_042018!$A$1:$U$491,9,FALSE),0)</f>
        <v>0</v>
      </c>
      <c r="FB12" s="417">
        <f>IFERROR(VLOOKUP(H12,CEI_052018!$A$1:$U$489,9,FALSE),0)</f>
        <v>0</v>
      </c>
      <c r="FC12" s="417">
        <f>IFERROR(VLOOKUP(H12,CEI_062018!$A$1:$U$489,9,FALSE),0)</f>
        <v>0</v>
      </c>
      <c r="FD12" s="417">
        <f>IFERROR(VLOOKUP(H12,CEI_072018!$A$1:$U$489,9,FALSE),0)</f>
        <v>0</v>
      </c>
      <c r="FE12" s="417">
        <f>IFERROR(VLOOKUP(H12,CEI_082018!$A$1:$U$489,9,FALSE),0)</f>
        <v>0</v>
      </c>
      <c r="FF12" s="417">
        <f>IFERROR(VLOOKUP(H12,CEI_092018!$A$1:$U$489,9,FALSE),0)</f>
        <v>0</v>
      </c>
      <c r="FG12" s="417"/>
      <c r="FH12" s="417"/>
      <c r="FI12" s="417"/>
      <c r="FJ12" s="418">
        <f>IFERROR(VLOOKUP(H12,CEI_092018!$A$1:$U$489,12,FALSE),0)</f>
        <v>0</v>
      </c>
      <c r="FK12" s="418">
        <f t="shared" si="11"/>
        <v>0</v>
      </c>
      <c r="FL12" s="418">
        <f t="shared" si="12"/>
        <v>0</v>
      </c>
      <c r="FM12" s="417"/>
      <c r="FN12" s="417"/>
      <c r="FO12" s="417"/>
      <c r="FP12" s="417"/>
      <c r="FQ12" s="417"/>
      <c r="FR12" s="417"/>
      <c r="FS12" s="417"/>
      <c r="FT12" s="417"/>
      <c r="FU12" s="417"/>
      <c r="FV12" s="417"/>
      <c r="FW12" s="417"/>
      <c r="FX12" s="417"/>
      <c r="FY12" s="418"/>
      <c r="FZ12" s="418"/>
      <c r="GA12" s="418"/>
      <c r="GB12" s="417"/>
      <c r="GC12" s="417"/>
      <c r="GD12" s="417"/>
      <c r="GE12" s="417"/>
      <c r="GF12" s="417"/>
      <c r="GG12" s="417"/>
      <c r="GH12" s="417"/>
      <c r="GI12" s="417"/>
      <c r="GJ12" s="417"/>
      <c r="GK12" s="417"/>
      <c r="GL12" s="417"/>
      <c r="GM12" s="417"/>
      <c r="GN12" s="418"/>
      <c r="GO12" s="418"/>
      <c r="GP12" s="418"/>
      <c r="GQ12" s="417"/>
      <c r="GR12" s="417"/>
      <c r="GS12" s="417"/>
      <c r="GT12" s="417"/>
      <c r="GU12" s="417"/>
      <c r="GV12" s="417"/>
      <c r="GW12" s="417"/>
      <c r="GX12" s="417"/>
      <c r="GY12" s="417"/>
      <c r="GZ12" s="417"/>
      <c r="HA12" s="417"/>
      <c r="HB12" s="417"/>
      <c r="HC12" s="418"/>
      <c r="HD12" s="418"/>
      <c r="HE12" s="418"/>
      <c r="HF12" s="417"/>
      <c r="HG12" s="417"/>
      <c r="HH12" s="417"/>
      <c r="HI12" s="417"/>
      <c r="HJ12" s="417"/>
      <c r="HK12" s="417"/>
      <c r="HL12" s="417"/>
      <c r="HM12" s="417"/>
      <c r="HN12" s="417"/>
      <c r="HO12" s="417"/>
      <c r="HP12" s="417"/>
      <c r="HQ12" s="417"/>
      <c r="HR12" s="418"/>
      <c r="HS12" s="418"/>
      <c r="HT12" s="418"/>
    </row>
    <row r="13" spans="1:228" s="387" customFormat="1" ht="12.95" customHeight="1" x14ac:dyDescent="0.2">
      <c r="A13" s="406" t="s">
        <v>55</v>
      </c>
      <c r="B13" s="407" t="s">
        <v>39</v>
      </c>
      <c r="C13" s="406" t="s">
        <v>53</v>
      </c>
      <c r="D13" s="407" t="s">
        <v>1736</v>
      </c>
      <c r="E13" s="407" t="s">
        <v>53</v>
      </c>
      <c r="F13" s="407" t="s">
        <v>1736</v>
      </c>
      <c r="G13" s="406" t="s">
        <v>54</v>
      </c>
      <c r="H13" s="408" t="s">
        <v>1942</v>
      </c>
      <c r="I13" s="408" t="s">
        <v>1943</v>
      </c>
      <c r="J13" s="406" t="s">
        <v>1737</v>
      </c>
      <c r="K13" s="406"/>
      <c r="L13" s="406"/>
      <c r="M13" s="406"/>
      <c r="N13" s="452">
        <v>0</v>
      </c>
      <c r="O13" s="452">
        <v>0</v>
      </c>
      <c r="P13" s="452">
        <v>0</v>
      </c>
      <c r="Q13" s="452">
        <v>0</v>
      </c>
      <c r="R13" s="452">
        <v>0</v>
      </c>
      <c r="S13" s="452">
        <v>0</v>
      </c>
      <c r="T13" s="452">
        <v>0</v>
      </c>
      <c r="U13" s="409">
        <v>0</v>
      </c>
      <c r="V13" s="409"/>
      <c r="W13" s="409"/>
      <c r="X13" s="409"/>
      <c r="Y13" s="409">
        <v>585</v>
      </c>
      <c r="Z13" s="453">
        <f t="shared" si="13"/>
        <v>585</v>
      </c>
      <c r="AA13" s="452"/>
      <c r="AB13" s="452"/>
      <c r="AC13" s="452"/>
      <c r="AD13" s="452"/>
      <c r="AE13" s="452"/>
      <c r="AF13" s="452"/>
      <c r="AG13" s="452"/>
      <c r="AH13" s="409"/>
      <c r="AI13" s="409"/>
      <c r="AJ13" s="409"/>
      <c r="AK13" s="409"/>
      <c r="AL13" s="409"/>
      <c r="AM13" s="453">
        <f t="shared" si="0"/>
        <v>0</v>
      </c>
      <c r="AN13" s="452"/>
      <c r="AO13" s="452"/>
      <c r="AP13" s="452"/>
      <c r="AQ13" s="452"/>
      <c r="AR13" s="452"/>
      <c r="AS13" s="452"/>
      <c r="AT13" s="452"/>
      <c r="AU13" s="409"/>
      <c r="AV13" s="409"/>
      <c r="AW13" s="409"/>
      <c r="AX13" s="409"/>
      <c r="AY13" s="409"/>
      <c r="AZ13" s="453">
        <f t="shared" si="1"/>
        <v>0</v>
      </c>
      <c r="BA13" s="452"/>
      <c r="BB13" s="452"/>
      <c r="BC13" s="452"/>
      <c r="BD13" s="452"/>
      <c r="BE13" s="452"/>
      <c r="BF13" s="452"/>
      <c r="BG13" s="452"/>
      <c r="BH13" s="409"/>
      <c r="BI13" s="409"/>
      <c r="BJ13" s="409"/>
      <c r="BK13" s="409"/>
      <c r="BL13" s="409"/>
      <c r="BM13" s="453">
        <f t="shared" si="2"/>
        <v>0</v>
      </c>
      <c r="BN13" s="452"/>
      <c r="BO13" s="452"/>
      <c r="BP13" s="452"/>
      <c r="BQ13" s="452"/>
      <c r="BR13" s="452"/>
      <c r="BS13" s="452"/>
      <c r="BT13" s="452"/>
      <c r="BU13" s="409"/>
      <c r="BV13" s="409"/>
      <c r="BW13" s="409"/>
      <c r="BX13" s="409"/>
      <c r="BY13" s="409"/>
      <c r="BZ13" s="453">
        <f t="shared" si="3"/>
        <v>0</v>
      </c>
      <c r="CA13" s="454">
        <f t="shared" si="4"/>
        <v>585</v>
      </c>
      <c r="CB13" s="419"/>
      <c r="CC13" s="419">
        <v>1</v>
      </c>
      <c r="CD13" s="419">
        <v>0</v>
      </c>
      <c r="CE13" s="419">
        <v>-1</v>
      </c>
      <c r="CF13" s="419">
        <v>-1</v>
      </c>
      <c r="CG13" s="420">
        <f>IFERROR((FE13/Z13%),0)</f>
        <v>0</v>
      </c>
      <c r="CH13" s="421">
        <f>IFERROR((FK13/Z13%),0)</f>
        <v>0</v>
      </c>
      <c r="CI13" s="414"/>
      <c r="CJ13" s="415"/>
      <c r="CK13" s="415"/>
      <c r="CL13" s="415"/>
      <c r="CM13" s="415"/>
      <c r="CN13" s="415"/>
      <c r="CO13" s="415"/>
      <c r="CP13" s="415"/>
      <c r="CQ13" s="415"/>
      <c r="CR13" s="415"/>
      <c r="CS13" s="415"/>
      <c r="CT13" s="415"/>
      <c r="CU13" s="415"/>
      <c r="CV13" s="410"/>
      <c r="CW13" s="415"/>
      <c r="CX13" s="415"/>
      <c r="CY13" s="415"/>
      <c r="CZ13" s="415"/>
      <c r="DA13" s="415"/>
      <c r="DB13" s="415"/>
      <c r="DC13" s="415"/>
      <c r="DD13" s="415"/>
      <c r="DE13" s="415"/>
      <c r="DF13" s="415"/>
      <c r="DG13" s="415"/>
      <c r="DH13" s="415"/>
      <c r="DI13" s="410"/>
      <c r="DJ13" s="415"/>
      <c r="DK13" s="415"/>
      <c r="DL13" s="415"/>
      <c r="DM13" s="415"/>
      <c r="DN13" s="415"/>
      <c r="DO13" s="415"/>
      <c r="DP13" s="415"/>
      <c r="DQ13" s="415"/>
      <c r="DR13" s="415"/>
      <c r="DS13" s="415"/>
      <c r="DT13" s="415"/>
      <c r="DU13" s="415"/>
      <c r="DV13" s="410"/>
      <c r="DW13" s="415"/>
      <c r="DX13" s="415"/>
      <c r="DY13" s="415"/>
      <c r="DZ13" s="415"/>
      <c r="EA13" s="415"/>
      <c r="EB13" s="415"/>
      <c r="EC13" s="415"/>
      <c r="ED13" s="415"/>
      <c r="EE13" s="415"/>
      <c r="EF13" s="415"/>
      <c r="EG13" s="415"/>
      <c r="EH13" s="415"/>
      <c r="EI13" s="410"/>
      <c r="EJ13" s="415"/>
      <c r="EK13" s="415"/>
      <c r="EL13" s="415"/>
      <c r="EM13" s="415"/>
      <c r="EN13" s="415"/>
      <c r="EO13" s="415"/>
      <c r="EP13" s="415"/>
      <c r="EQ13" s="415"/>
      <c r="ER13" s="415"/>
      <c r="ES13" s="415"/>
      <c r="ET13" s="415"/>
      <c r="EU13" s="415"/>
      <c r="EV13" s="410"/>
      <c r="EW13" s="416"/>
      <c r="EX13" s="417">
        <f>IFERROR(VLOOKUP(H13,CEI_012018!$A$1:$U$509,9,FALSE),0)</f>
        <v>0</v>
      </c>
      <c r="EY13" s="417">
        <f>IFERROR(VLOOKUP(H13,CEI_022018!$A$1:$U$509,9,FALSE),0)</f>
        <v>0</v>
      </c>
      <c r="EZ13" s="417">
        <f>IFERROR(VLOOKUP(H13,CEI_032018!$A$1:$U$509,9,FALSE),0)</f>
        <v>0</v>
      </c>
      <c r="FA13" s="417">
        <f>IFERROR(VLOOKUP(H13,CEI_042018!$A$1:$U$491,9,FALSE),0)</f>
        <v>0</v>
      </c>
      <c r="FB13" s="417">
        <f>IFERROR(VLOOKUP(H13,CEI_052018!$A$1:$U$489,9,FALSE),0)</f>
        <v>0</v>
      </c>
      <c r="FC13" s="417">
        <f>IFERROR(VLOOKUP(H13,CEI_062018!$A$1:$U$489,9,FALSE),0)</f>
        <v>0</v>
      </c>
      <c r="FD13" s="417">
        <f>IFERROR(VLOOKUP(H13,CEI_072018!$A$1:$U$489,9,FALSE),0)</f>
        <v>0</v>
      </c>
      <c r="FE13" s="417">
        <f>IFERROR(VLOOKUP(H13,CEI_082018!$A$1:$U$489,9,FALSE),0)</f>
        <v>0</v>
      </c>
      <c r="FF13" s="417">
        <f>IFERROR(VLOOKUP(H13,CEI_092018!$A$1:$U$489,9,FALSE),0)</f>
        <v>0</v>
      </c>
      <c r="FG13" s="417"/>
      <c r="FH13" s="417"/>
      <c r="FI13" s="417"/>
      <c r="FJ13" s="418">
        <f>IFERROR(VLOOKUP(H13,CEI_092018!$A$1:$U$489,12,FALSE),0)</f>
        <v>0</v>
      </c>
      <c r="FK13" s="418">
        <f t="shared" si="11"/>
        <v>0</v>
      </c>
      <c r="FL13" s="418">
        <f t="shared" si="12"/>
        <v>585</v>
      </c>
      <c r="FM13" s="417"/>
      <c r="FN13" s="417"/>
      <c r="FO13" s="417"/>
      <c r="FP13" s="417"/>
      <c r="FQ13" s="417"/>
      <c r="FR13" s="417"/>
      <c r="FS13" s="417"/>
      <c r="FT13" s="417"/>
      <c r="FU13" s="417"/>
      <c r="FV13" s="417"/>
      <c r="FW13" s="417"/>
      <c r="FX13" s="417"/>
      <c r="FY13" s="418"/>
      <c r="FZ13" s="418"/>
      <c r="GA13" s="418"/>
      <c r="GB13" s="417"/>
      <c r="GC13" s="417"/>
      <c r="GD13" s="417"/>
      <c r="GE13" s="417"/>
      <c r="GF13" s="417"/>
      <c r="GG13" s="417"/>
      <c r="GH13" s="417"/>
      <c r="GI13" s="417"/>
      <c r="GJ13" s="417"/>
      <c r="GK13" s="417"/>
      <c r="GL13" s="417"/>
      <c r="GM13" s="417"/>
      <c r="GN13" s="418"/>
      <c r="GO13" s="418"/>
      <c r="GP13" s="418"/>
      <c r="GQ13" s="417"/>
      <c r="GR13" s="417"/>
      <c r="GS13" s="417"/>
      <c r="GT13" s="417"/>
      <c r="GU13" s="417"/>
      <c r="GV13" s="417"/>
      <c r="GW13" s="417"/>
      <c r="GX13" s="417"/>
      <c r="GY13" s="417"/>
      <c r="GZ13" s="417"/>
      <c r="HA13" s="417"/>
      <c r="HB13" s="417"/>
      <c r="HC13" s="418"/>
      <c r="HD13" s="418"/>
      <c r="HE13" s="418"/>
      <c r="HF13" s="417"/>
      <c r="HG13" s="417"/>
      <c r="HH13" s="417"/>
      <c r="HI13" s="417"/>
      <c r="HJ13" s="417"/>
      <c r="HK13" s="417"/>
      <c r="HL13" s="417"/>
      <c r="HM13" s="417"/>
      <c r="HN13" s="417"/>
      <c r="HO13" s="417"/>
      <c r="HP13" s="417"/>
      <c r="HQ13" s="417"/>
      <c r="HR13" s="418"/>
      <c r="HS13" s="418"/>
      <c r="HT13" s="418"/>
    </row>
    <row r="14" spans="1:228" s="387" customFormat="1" ht="12.95" customHeight="1" x14ac:dyDescent="0.2">
      <c r="A14" s="406" t="s">
        <v>55</v>
      </c>
      <c r="B14" s="407" t="s">
        <v>39</v>
      </c>
      <c r="C14" s="406" t="s">
        <v>53</v>
      </c>
      <c r="D14" s="407" t="s">
        <v>569</v>
      </c>
      <c r="E14" s="407" t="s">
        <v>53</v>
      </c>
      <c r="F14" s="407" t="s">
        <v>569</v>
      </c>
      <c r="G14" s="406" t="s">
        <v>54</v>
      </c>
      <c r="H14" s="408" t="s">
        <v>520</v>
      </c>
      <c r="I14" s="408"/>
      <c r="J14" s="406" t="s">
        <v>83</v>
      </c>
      <c r="K14" s="406" t="s">
        <v>84</v>
      </c>
      <c r="L14" s="406" t="s">
        <v>77</v>
      </c>
      <c r="M14" s="406"/>
      <c r="N14" s="452">
        <v>0</v>
      </c>
      <c r="O14" s="452">
        <v>0</v>
      </c>
      <c r="P14" s="452">
        <v>0</v>
      </c>
      <c r="Q14" s="452">
        <v>0</v>
      </c>
      <c r="R14" s="452">
        <v>0</v>
      </c>
      <c r="S14" s="452">
        <v>0</v>
      </c>
      <c r="T14" s="452">
        <v>0</v>
      </c>
      <c r="U14" s="409">
        <v>0</v>
      </c>
      <c r="V14" s="409"/>
      <c r="W14" s="409"/>
      <c r="X14" s="409"/>
      <c r="Y14" s="409"/>
      <c r="Z14" s="453">
        <f t="shared" si="13"/>
        <v>0</v>
      </c>
      <c r="AA14" s="452"/>
      <c r="AB14" s="452">
        <v>51.1</v>
      </c>
      <c r="AC14" s="452"/>
      <c r="AD14" s="452"/>
      <c r="AE14" s="452"/>
      <c r="AF14" s="452"/>
      <c r="AG14" s="452"/>
      <c r="AH14" s="409"/>
      <c r="AI14" s="409"/>
      <c r="AJ14" s="409"/>
      <c r="AK14" s="409"/>
      <c r="AL14" s="409"/>
      <c r="AM14" s="453">
        <f t="shared" si="0"/>
        <v>51.1</v>
      </c>
      <c r="AN14" s="452"/>
      <c r="AO14" s="452"/>
      <c r="AP14" s="452"/>
      <c r="AQ14" s="452"/>
      <c r="AR14" s="452"/>
      <c r="AS14" s="452"/>
      <c r="AT14" s="452"/>
      <c r="AU14" s="409"/>
      <c r="AV14" s="409"/>
      <c r="AW14" s="409"/>
      <c r="AX14" s="409"/>
      <c r="AY14" s="409"/>
      <c r="AZ14" s="453">
        <f t="shared" si="1"/>
        <v>0</v>
      </c>
      <c r="BA14" s="452"/>
      <c r="BB14" s="452"/>
      <c r="BC14" s="452"/>
      <c r="BD14" s="452"/>
      <c r="BE14" s="452"/>
      <c r="BF14" s="452"/>
      <c r="BG14" s="452"/>
      <c r="BH14" s="409"/>
      <c r="BI14" s="409"/>
      <c r="BJ14" s="409"/>
      <c r="BK14" s="409"/>
      <c r="BL14" s="409"/>
      <c r="BM14" s="453">
        <f t="shared" si="2"/>
        <v>0</v>
      </c>
      <c r="BN14" s="452"/>
      <c r="BO14" s="452"/>
      <c r="BP14" s="452"/>
      <c r="BQ14" s="452"/>
      <c r="BR14" s="452"/>
      <c r="BS14" s="452"/>
      <c r="BT14" s="452"/>
      <c r="BU14" s="409"/>
      <c r="BV14" s="409"/>
      <c r="BW14" s="409"/>
      <c r="BX14" s="409"/>
      <c r="BY14" s="409"/>
      <c r="BZ14" s="453">
        <f t="shared" si="3"/>
        <v>0</v>
      </c>
      <c r="CA14" s="454">
        <f t="shared" si="4"/>
        <v>51.1</v>
      </c>
      <c r="CB14" s="411"/>
      <c r="CC14" s="411"/>
      <c r="CD14" s="411"/>
      <c r="CE14" s="411"/>
      <c r="CF14" s="411"/>
      <c r="CG14" s="412"/>
      <c r="CH14" s="413"/>
      <c r="CI14" s="414" t="s">
        <v>70</v>
      </c>
      <c r="CJ14" s="422">
        <v>0</v>
      </c>
      <c r="CK14" s="422">
        <v>0</v>
      </c>
      <c r="CL14" s="422">
        <v>0</v>
      </c>
      <c r="CM14" s="422">
        <v>0</v>
      </c>
      <c r="CN14" s="423">
        <v>0</v>
      </c>
      <c r="CO14" s="423">
        <v>0</v>
      </c>
      <c r="CP14" s="423">
        <v>0</v>
      </c>
      <c r="CQ14" s="423">
        <v>0</v>
      </c>
      <c r="CR14" s="423">
        <v>0</v>
      </c>
      <c r="CS14" s="423">
        <v>0</v>
      </c>
      <c r="CT14" s="423">
        <v>0</v>
      </c>
      <c r="CU14" s="423">
        <v>0</v>
      </c>
      <c r="CV14" s="410">
        <f t="shared" ref="CV14:CV29" si="14">SUM(CJ14:CU14)</f>
        <v>0</v>
      </c>
      <c r="CW14" s="422">
        <v>0</v>
      </c>
      <c r="CX14" s="422">
        <v>7.2148807352892582E-3</v>
      </c>
      <c r="CY14" s="422">
        <v>0</v>
      </c>
      <c r="CZ14" s="422">
        <v>0</v>
      </c>
      <c r="DA14" s="423">
        <v>0</v>
      </c>
      <c r="DB14" s="423">
        <v>0</v>
      </c>
      <c r="DC14" s="423">
        <v>0</v>
      </c>
      <c r="DD14" s="423">
        <v>0</v>
      </c>
      <c r="DE14" s="423">
        <v>0</v>
      </c>
      <c r="DF14" s="423">
        <v>0</v>
      </c>
      <c r="DG14" s="423">
        <v>0</v>
      </c>
      <c r="DH14" s="423">
        <v>0</v>
      </c>
      <c r="DI14" s="410">
        <f t="shared" ref="DI14:DI29" si="15">SUM(CW14:DH14)</f>
        <v>7.2148807352892582E-3</v>
      </c>
      <c r="DJ14" s="422">
        <v>0</v>
      </c>
      <c r="DK14" s="422">
        <v>0</v>
      </c>
      <c r="DL14" s="422">
        <v>0</v>
      </c>
      <c r="DM14" s="422">
        <v>0</v>
      </c>
      <c r="DN14" s="423">
        <v>0</v>
      </c>
      <c r="DO14" s="423">
        <v>0</v>
      </c>
      <c r="DP14" s="423">
        <v>0</v>
      </c>
      <c r="DQ14" s="423">
        <v>0</v>
      </c>
      <c r="DR14" s="423">
        <v>0</v>
      </c>
      <c r="DS14" s="423">
        <v>0</v>
      </c>
      <c r="DT14" s="423">
        <v>0</v>
      </c>
      <c r="DU14" s="423">
        <v>0</v>
      </c>
      <c r="DV14" s="410">
        <f t="shared" ref="DV14:DV29" si="16">SUM(DJ14:DU14)</f>
        <v>0</v>
      </c>
      <c r="DW14" s="422">
        <v>0</v>
      </c>
      <c r="DX14" s="422">
        <v>0</v>
      </c>
      <c r="DY14" s="422">
        <v>0</v>
      </c>
      <c r="DZ14" s="422">
        <v>0</v>
      </c>
      <c r="EA14" s="423">
        <v>0</v>
      </c>
      <c r="EB14" s="423">
        <v>0</v>
      </c>
      <c r="EC14" s="423">
        <v>0</v>
      </c>
      <c r="ED14" s="423">
        <v>0</v>
      </c>
      <c r="EE14" s="423">
        <v>0</v>
      </c>
      <c r="EF14" s="423">
        <v>0</v>
      </c>
      <c r="EG14" s="423">
        <v>0</v>
      </c>
      <c r="EH14" s="423">
        <v>0</v>
      </c>
      <c r="EI14" s="410">
        <f t="shared" ref="EI14:EI29" si="17">SUM(DW14:EH14)</f>
        <v>0</v>
      </c>
      <c r="EJ14" s="422">
        <v>0</v>
      </c>
      <c r="EK14" s="422">
        <v>0</v>
      </c>
      <c r="EL14" s="422">
        <v>0</v>
      </c>
      <c r="EM14" s="422">
        <v>0</v>
      </c>
      <c r="EN14" s="423">
        <v>0</v>
      </c>
      <c r="EO14" s="423">
        <v>0</v>
      </c>
      <c r="EP14" s="423">
        <v>0</v>
      </c>
      <c r="EQ14" s="423">
        <v>0</v>
      </c>
      <c r="ER14" s="423">
        <v>0</v>
      </c>
      <c r="ES14" s="423">
        <v>0</v>
      </c>
      <c r="ET14" s="423">
        <v>0</v>
      </c>
      <c r="EU14" s="423">
        <v>0</v>
      </c>
      <c r="EV14" s="410">
        <f t="shared" ref="EV14:EV29" si="18">SUM(EJ14:EU14)</f>
        <v>0</v>
      </c>
      <c r="EW14" s="416">
        <f t="shared" ref="EW14:EW29" si="19">SUM(EV14,EI14,DV14,DI14,CV14)</f>
        <v>7.2148807352892582E-3</v>
      </c>
      <c r="EX14" s="417">
        <f>IFERROR(VLOOKUP(H14,CEI_012018!$A$1:$U$509,9,FALSE),0)</f>
        <v>0</v>
      </c>
      <c r="EY14" s="417">
        <f>IFERROR(VLOOKUP(H14,CEI_022018!$A$1:$U$509,9,FALSE),0)</f>
        <v>0</v>
      </c>
      <c r="EZ14" s="417">
        <f>IFERROR(VLOOKUP(H14,CEI_032018!$A$1:$U$509,9,FALSE),0)</f>
        <v>0</v>
      </c>
      <c r="FA14" s="417">
        <f>IFERROR(VLOOKUP(H14,CEI_042018!$A$1:$U$491,9,FALSE),0)</f>
        <v>0</v>
      </c>
      <c r="FB14" s="417">
        <f>IFERROR(VLOOKUP(H14,CEI_052018!$A$1:$U$489,9,FALSE),0)</f>
        <v>0</v>
      </c>
      <c r="FC14" s="417">
        <f>IFERROR(VLOOKUP(H14,CEI_062018!$A$1:$U$489,9,FALSE),0)</f>
        <v>0</v>
      </c>
      <c r="FD14" s="417">
        <f>IFERROR(VLOOKUP(H14,CEI_072018!$A$1:$U$489,9,FALSE),0)</f>
        <v>0</v>
      </c>
      <c r="FE14" s="417">
        <f>IFERROR(VLOOKUP(H14,CEI_082018!$A$1:$U$489,9,FALSE),0)</f>
        <v>0</v>
      </c>
      <c r="FF14" s="417">
        <f>IFERROR(VLOOKUP(H14,CEI_092018!$A$1:$U$489,9,FALSE),0)</f>
        <v>0</v>
      </c>
      <c r="FG14" s="417"/>
      <c r="FH14" s="417"/>
      <c r="FI14" s="417"/>
      <c r="FJ14" s="418">
        <f>IFERROR(VLOOKUP(H14,CEI_092018!$A$1:$U$489,12,FALSE),0)</f>
        <v>0</v>
      </c>
      <c r="FK14" s="418">
        <f t="shared" si="11"/>
        <v>0</v>
      </c>
      <c r="FL14" s="418">
        <f t="shared" si="12"/>
        <v>0</v>
      </c>
      <c r="FM14" s="417"/>
      <c r="FN14" s="417"/>
      <c r="FO14" s="417"/>
      <c r="FP14" s="417"/>
      <c r="FQ14" s="417"/>
      <c r="FR14" s="417"/>
      <c r="FS14" s="417"/>
      <c r="FT14" s="417"/>
      <c r="FU14" s="417"/>
      <c r="FV14" s="417"/>
      <c r="FW14" s="417"/>
      <c r="FX14" s="417"/>
      <c r="FY14" s="418"/>
      <c r="FZ14" s="418"/>
      <c r="GA14" s="418"/>
      <c r="GB14" s="417"/>
      <c r="GC14" s="417"/>
      <c r="GD14" s="417"/>
      <c r="GE14" s="417"/>
      <c r="GF14" s="417"/>
      <c r="GG14" s="417"/>
      <c r="GH14" s="417"/>
      <c r="GI14" s="417"/>
      <c r="GJ14" s="417"/>
      <c r="GK14" s="417"/>
      <c r="GL14" s="417"/>
      <c r="GM14" s="417"/>
      <c r="GN14" s="418"/>
      <c r="GO14" s="418"/>
      <c r="GP14" s="418"/>
      <c r="GQ14" s="417"/>
      <c r="GR14" s="417"/>
      <c r="GS14" s="417"/>
      <c r="GT14" s="417"/>
      <c r="GU14" s="417"/>
      <c r="GV14" s="417"/>
      <c r="GW14" s="417"/>
      <c r="GX14" s="417"/>
      <c r="GY14" s="417"/>
      <c r="GZ14" s="417"/>
      <c r="HA14" s="417"/>
      <c r="HB14" s="417"/>
      <c r="HC14" s="418"/>
      <c r="HD14" s="418"/>
      <c r="HE14" s="418"/>
      <c r="HF14" s="417"/>
      <c r="HG14" s="417"/>
      <c r="HH14" s="417"/>
      <c r="HI14" s="417"/>
      <c r="HJ14" s="417"/>
      <c r="HK14" s="417"/>
      <c r="HL14" s="417"/>
      <c r="HM14" s="417"/>
      <c r="HN14" s="417"/>
      <c r="HO14" s="417"/>
      <c r="HP14" s="417"/>
      <c r="HQ14" s="417"/>
      <c r="HR14" s="418"/>
      <c r="HS14" s="418"/>
      <c r="HT14" s="418"/>
    </row>
    <row r="15" spans="1:228" s="387" customFormat="1" ht="12.95" customHeight="1" x14ac:dyDescent="0.2">
      <c r="A15" s="406" t="s">
        <v>55</v>
      </c>
      <c r="B15" s="407" t="s">
        <v>39</v>
      </c>
      <c r="C15" s="406" t="s">
        <v>53</v>
      </c>
      <c r="D15" s="407" t="s">
        <v>566</v>
      </c>
      <c r="E15" s="407" t="s">
        <v>53</v>
      </c>
      <c r="F15" s="407" t="s">
        <v>566</v>
      </c>
      <c r="G15" s="406" t="s">
        <v>54</v>
      </c>
      <c r="H15" s="408" t="s">
        <v>520</v>
      </c>
      <c r="I15" s="408"/>
      <c r="J15" s="406" t="s">
        <v>81</v>
      </c>
      <c r="K15" s="406" t="s">
        <v>82</v>
      </c>
      <c r="L15" s="406" t="s">
        <v>77</v>
      </c>
      <c r="M15" s="406"/>
      <c r="N15" s="452">
        <v>0</v>
      </c>
      <c r="O15" s="452">
        <v>0</v>
      </c>
      <c r="P15" s="452">
        <v>0</v>
      </c>
      <c r="Q15" s="452">
        <v>0</v>
      </c>
      <c r="R15" s="452">
        <v>0</v>
      </c>
      <c r="S15" s="452">
        <v>0</v>
      </c>
      <c r="T15" s="452">
        <v>0</v>
      </c>
      <c r="U15" s="409">
        <v>0</v>
      </c>
      <c r="V15" s="409"/>
      <c r="W15" s="409"/>
      <c r="X15" s="409"/>
      <c r="Y15" s="409"/>
      <c r="Z15" s="453">
        <f t="shared" si="13"/>
        <v>0</v>
      </c>
      <c r="AA15" s="452"/>
      <c r="AB15" s="452"/>
      <c r="AC15" s="452"/>
      <c r="AD15" s="452"/>
      <c r="AE15" s="452"/>
      <c r="AF15" s="452"/>
      <c r="AG15" s="452">
        <v>5</v>
      </c>
      <c r="AH15" s="409">
        <v>6</v>
      </c>
      <c r="AI15" s="409">
        <v>10</v>
      </c>
      <c r="AJ15" s="409">
        <v>10</v>
      </c>
      <c r="AK15" s="409">
        <v>10</v>
      </c>
      <c r="AL15" s="409">
        <v>10</v>
      </c>
      <c r="AM15" s="453">
        <f t="shared" si="0"/>
        <v>51</v>
      </c>
      <c r="AN15" s="452"/>
      <c r="AO15" s="452"/>
      <c r="AP15" s="452"/>
      <c r="AQ15" s="452"/>
      <c r="AR15" s="452"/>
      <c r="AS15" s="452">
        <v>190</v>
      </c>
      <c r="AT15" s="452">
        <v>190</v>
      </c>
      <c r="AU15" s="409">
        <v>190</v>
      </c>
      <c r="AV15" s="409">
        <v>190</v>
      </c>
      <c r="AW15" s="409">
        <v>190</v>
      </c>
      <c r="AX15" s="409">
        <f>186-0.107158338999852</f>
        <v>185.89284166100015</v>
      </c>
      <c r="AY15" s="409"/>
      <c r="AZ15" s="453">
        <f t="shared" si="1"/>
        <v>1135.8928416610001</v>
      </c>
      <c r="BA15" s="452"/>
      <c r="BB15" s="452"/>
      <c r="BC15" s="452"/>
      <c r="BD15" s="452"/>
      <c r="BE15" s="452"/>
      <c r="BF15" s="452"/>
      <c r="BG15" s="452"/>
      <c r="BH15" s="409"/>
      <c r="BI15" s="409"/>
      <c r="BJ15" s="409"/>
      <c r="BK15" s="409"/>
      <c r="BL15" s="409"/>
      <c r="BM15" s="453">
        <f t="shared" si="2"/>
        <v>0</v>
      </c>
      <c r="BN15" s="452"/>
      <c r="BO15" s="452"/>
      <c r="BP15" s="452"/>
      <c r="BQ15" s="452"/>
      <c r="BR15" s="452"/>
      <c r="BS15" s="452"/>
      <c r="BT15" s="452"/>
      <c r="BU15" s="409"/>
      <c r="BV15" s="409"/>
      <c r="BW15" s="409"/>
      <c r="BX15" s="409"/>
      <c r="BY15" s="409"/>
      <c r="BZ15" s="453">
        <f t="shared" si="3"/>
        <v>0</v>
      </c>
      <c r="CA15" s="454">
        <f t="shared" si="4"/>
        <v>1186.8928416610001</v>
      </c>
      <c r="CB15" s="419"/>
      <c r="CC15" s="419">
        <v>-1</v>
      </c>
      <c r="CD15" s="419">
        <v>-1</v>
      </c>
      <c r="CE15" s="419">
        <v>-1</v>
      </c>
      <c r="CF15" s="419">
        <v>-1</v>
      </c>
      <c r="CG15" s="420">
        <f>IFERROR((FE15/Z15%),0)</f>
        <v>0</v>
      </c>
      <c r="CH15" s="421">
        <f>IFERROR((FK15/Z15%),0)</f>
        <v>0</v>
      </c>
      <c r="CI15" s="414" t="s">
        <v>70</v>
      </c>
      <c r="CJ15" s="423">
        <v>0</v>
      </c>
      <c r="CK15" s="423">
        <v>0</v>
      </c>
      <c r="CL15" s="423">
        <v>0</v>
      </c>
      <c r="CM15" s="423">
        <v>0</v>
      </c>
      <c r="CN15" s="423">
        <v>0</v>
      </c>
      <c r="CO15" s="423">
        <v>0</v>
      </c>
      <c r="CP15" s="423">
        <v>0</v>
      </c>
      <c r="CQ15" s="423">
        <v>0</v>
      </c>
      <c r="CR15" s="423">
        <v>0</v>
      </c>
      <c r="CS15" s="423">
        <v>0</v>
      </c>
      <c r="CT15" s="423">
        <v>0</v>
      </c>
      <c r="CU15" s="423">
        <v>4.1232416307214487E-3</v>
      </c>
      <c r="CV15" s="410">
        <f t="shared" si="14"/>
        <v>4.1232416307214487E-3</v>
      </c>
      <c r="CW15" s="423">
        <v>0</v>
      </c>
      <c r="CX15" s="423">
        <v>9.3708734716467339E-3</v>
      </c>
      <c r="CY15" s="423">
        <v>0</v>
      </c>
      <c r="CZ15" s="423">
        <v>0</v>
      </c>
      <c r="DA15" s="423">
        <v>0</v>
      </c>
      <c r="DB15" s="423">
        <v>0</v>
      </c>
      <c r="DC15" s="423">
        <v>0</v>
      </c>
      <c r="DD15" s="423">
        <v>0</v>
      </c>
      <c r="DE15" s="423">
        <v>0</v>
      </c>
      <c r="DF15" s="423">
        <v>1.4543115811741659E-2</v>
      </c>
      <c r="DG15" s="423">
        <v>1.7675751844439574E-2</v>
      </c>
      <c r="DH15" s="423">
        <v>3.2054283191536484E-2</v>
      </c>
      <c r="DI15" s="410">
        <f t="shared" si="15"/>
        <v>7.3644024319364454E-2</v>
      </c>
      <c r="DJ15" s="423">
        <v>1.6929396779736157E-2</v>
      </c>
      <c r="DK15" s="423">
        <v>2.8535756542102223E-2</v>
      </c>
      <c r="DL15" s="423">
        <v>1.4267878271051112E-2</v>
      </c>
      <c r="DM15" s="423">
        <v>1.4267878271051112E-2</v>
      </c>
      <c r="DN15" s="423">
        <v>0</v>
      </c>
      <c r="DO15" s="423">
        <v>0</v>
      </c>
      <c r="DP15" s="423">
        <v>0</v>
      </c>
      <c r="DQ15" s="423">
        <v>0</v>
      </c>
      <c r="DR15" s="423">
        <v>0</v>
      </c>
      <c r="DS15" s="423">
        <v>0</v>
      </c>
      <c r="DT15" s="423">
        <v>0</v>
      </c>
      <c r="DU15" s="423">
        <v>0</v>
      </c>
      <c r="DV15" s="410">
        <f t="shared" si="16"/>
        <v>7.4000909863940603E-2</v>
      </c>
      <c r="DW15" s="423">
        <v>0</v>
      </c>
      <c r="DX15" s="423">
        <v>0</v>
      </c>
      <c r="DY15" s="423">
        <v>0</v>
      </c>
      <c r="DZ15" s="423">
        <v>0</v>
      </c>
      <c r="EA15" s="423">
        <v>0</v>
      </c>
      <c r="EB15" s="423">
        <v>0</v>
      </c>
      <c r="EC15" s="423">
        <v>0</v>
      </c>
      <c r="ED15" s="423">
        <v>0</v>
      </c>
      <c r="EE15" s="423">
        <v>0</v>
      </c>
      <c r="EF15" s="423">
        <v>0</v>
      </c>
      <c r="EG15" s="423">
        <v>0</v>
      </c>
      <c r="EH15" s="423">
        <v>0</v>
      </c>
      <c r="EI15" s="410">
        <f t="shared" si="17"/>
        <v>0</v>
      </c>
      <c r="EJ15" s="423">
        <v>0</v>
      </c>
      <c r="EK15" s="423">
        <v>0</v>
      </c>
      <c r="EL15" s="423">
        <v>0</v>
      </c>
      <c r="EM15" s="423">
        <v>0</v>
      </c>
      <c r="EN15" s="423">
        <v>0</v>
      </c>
      <c r="EO15" s="423">
        <v>0</v>
      </c>
      <c r="EP15" s="423">
        <v>0</v>
      </c>
      <c r="EQ15" s="423">
        <v>0</v>
      </c>
      <c r="ER15" s="423">
        <v>0</v>
      </c>
      <c r="ES15" s="423">
        <v>0</v>
      </c>
      <c r="ET15" s="423">
        <v>0</v>
      </c>
      <c r="EU15" s="423">
        <v>0</v>
      </c>
      <c r="EV15" s="410">
        <f t="shared" si="18"/>
        <v>0</v>
      </c>
      <c r="EW15" s="416">
        <f t="shared" si="19"/>
        <v>0.15176817581402649</v>
      </c>
      <c r="EX15" s="417">
        <f>IFERROR(VLOOKUP(H15,CEI_012018!$A$1:$U$509,9,FALSE),0)</f>
        <v>0</v>
      </c>
      <c r="EY15" s="417">
        <f>IFERROR(VLOOKUP(H15,CEI_022018!$A$1:$U$509,9,FALSE),0)</f>
        <v>0</v>
      </c>
      <c r="EZ15" s="417">
        <f>IFERROR(VLOOKUP(H15,CEI_032018!$A$1:$U$509,9,FALSE),0)</f>
        <v>0</v>
      </c>
      <c r="FA15" s="417">
        <f>IFERROR(VLOOKUP(H15,CEI_042018!$A$1:$U$491,9,FALSE),0)</f>
        <v>0</v>
      </c>
      <c r="FB15" s="417">
        <f>IFERROR(VLOOKUP(H15,CEI_052018!$A$1:$U$489,9,FALSE),0)</f>
        <v>0</v>
      </c>
      <c r="FC15" s="417">
        <f>IFERROR(VLOOKUP(H15,CEI_062018!$A$1:$U$489,9,FALSE),0)</f>
        <v>0</v>
      </c>
      <c r="FD15" s="417">
        <f>IFERROR(VLOOKUP(H15,CEI_072018!$A$1:$U$489,9,FALSE),0)</f>
        <v>0</v>
      </c>
      <c r="FE15" s="417">
        <f>IFERROR(VLOOKUP(H15,CEI_082018!$A$1:$U$489,9,FALSE),0)</f>
        <v>0</v>
      </c>
      <c r="FF15" s="417">
        <f>IFERROR(VLOOKUP(H15,CEI_092018!$A$1:$U$489,9,FALSE),0)</f>
        <v>0</v>
      </c>
      <c r="FG15" s="417"/>
      <c r="FH15" s="417"/>
      <c r="FI15" s="417"/>
      <c r="FJ15" s="418">
        <f>IFERROR(VLOOKUP(H15,CEI_092018!$A$1:$U$489,12,FALSE),0)</f>
        <v>0</v>
      </c>
      <c r="FK15" s="418">
        <f t="shared" si="11"/>
        <v>0</v>
      </c>
      <c r="FL15" s="418">
        <f t="shared" si="12"/>
        <v>0</v>
      </c>
      <c r="FM15" s="417"/>
      <c r="FN15" s="417"/>
      <c r="FO15" s="417"/>
      <c r="FP15" s="417"/>
      <c r="FQ15" s="417"/>
      <c r="FR15" s="417"/>
      <c r="FS15" s="417"/>
      <c r="FT15" s="417"/>
      <c r="FU15" s="417"/>
      <c r="FV15" s="417"/>
      <c r="FW15" s="417"/>
      <c r="FX15" s="417"/>
      <c r="FY15" s="418"/>
      <c r="FZ15" s="418"/>
      <c r="GA15" s="418"/>
      <c r="GB15" s="417"/>
      <c r="GC15" s="417"/>
      <c r="GD15" s="417"/>
      <c r="GE15" s="417"/>
      <c r="GF15" s="417"/>
      <c r="GG15" s="417"/>
      <c r="GH15" s="417"/>
      <c r="GI15" s="417"/>
      <c r="GJ15" s="417"/>
      <c r="GK15" s="417"/>
      <c r="GL15" s="417"/>
      <c r="GM15" s="417"/>
      <c r="GN15" s="418"/>
      <c r="GO15" s="418"/>
      <c r="GP15" s="418"/>
      <c r="GQ15" s="417"/>
      <c r="GR15" s="417"/>
      <c r="GS15" s="417"/>
      <c r="GT15" s="417"/>
      <c r="GU15" s="417"/>
      <c r="GV15" s="417"/>
      <c r="GW15" s="417"/>
      <c r="GX15" s="417"/>
      <c r="GY15" s="417"/>
      <c r="GZ15" s="417"/>
      <c r="HA15" s="417"/>
      <c r="HB15" s="417"/>
      <c r="HC15" s="418"/>
      <c r="HD15" s="418"/>
      <c r="HE15" s="418"/>
      <c r="HF15" s="417"/>
      <c r="HG15" s="417"/>
      <c r="HH15" s="417"/>
      <c r="HI15" s="417"/>
      <c r="HJ15" s="417"/>
      <c r="HK15" s="417"/>
      <c r="HL15" s="417"/>
      <c r="HM15" s="417"/>
      <c r="HN15" s="417"/>
      <c r="HO15" s="417"/>
      <c r="HP15" s="417"/>
      <c r="HQ15" s="417"/>
      <c r="HR15" s="418"/>
      <c r="HS15" s="418"/>
      <c r="HT15" s="418"/>
    </row>
    <row r="16" spans="1:228" s="387" customFormat="1" ht="12.95" customHeight="1" x14ac:dyDescent="0.2">
      <c r="A16" s="406" t="s">
        <v>55</v>
      </c>
      <c r="B16" s="407" t="s">
        <v>39</v>
      </c>
      <c r="C16" s="406" t="s">
        <v>53</v>
      </c>
      <c r="D16" s="407" t="s">
        <v>566</v>
      </c>
      <c r="E16" s="407" t="s">
        <v>53</v>
      </c>
      <c r="F16" s="407" t="s">
        <v>566</v>
      </c>
      <c r="G16" s="406" t="s">
        <v>54</v>
      </c>
      <c r="H16" s="408" t="s">
        <v>520</v>
      </c>
      <c r="I16" s="408"/>
      <c r="J16" s="406" t="s">
        <v>78</v>
      </c>
      <c r="K16" s="406" t="s">
        <v>79</v>
      </c>
      <c r="L16" s="406" t="s">
        <v>77</v>
      </c>
      <c r="M16" s="406"/>
      <c r="N16" s="452">
        <v>0</v>
      </c>
      <c r="O16" s="452">
        <v>0</v>
      </c>
      <c r="P16" s="452">
        <v>0</v>
      </c>
      <c r="Q16" s="452">
        <v>0</v>
      </c>
      <c r="R16" s="452">
        <v>0</v>
      </c>
      <c r="S16" s="452">
        <v>0</v>
      </c>
      <c r="T16" s="452">
        <v>0</v>
      </c>
      <c r="U16" s="409">
        <v>0</v>
      </c>
      <c r="V16" s="409"/>
      <c r="W16" s="409"/>
      <c r="X16" s="409"/>
      <c r="Y16" s="409"/>
      <c r="Z16" s="453">
        <f t="shared" si="13"/>
        <v>0</v>
      </c>
      <c r="AA16" s="452"/>
      <c r="AB16" s="452"/>
      <c r="AC16" s="452"/>
      <c r="AD16" s="452"/>
      <c r="AE16" s="452"/>
      <c r="AF16" s="452"/>
      <c r="AG16" s="452">
        <v>30</v>
      </c>
      <c r="AH16" s="409"/>
      <c r="AI16" s="409"/>
      <c r="AJ16" s="409">
        <v>70</v>
      </c>
      <c r="AK16" s="409"/>
      <c r="AL16" s="409"/>
      <c r="AM16" s="453">
        <f t="shared" si="0"/>
        <v>100</v>
      </c>
      <c r="AN16" s="452"/>
      <c r="AO16" s="452"/>
      <c r="AP16" s="452"/>
      <c r="AQ16" s="452"/>
      <c r="AR16" s="452"/>
      <c r="AS16" s="452"/>
      <c r="AT16" s="452"/>
      <c r="AU16" s="409"/>
      <c r="AV16" s="409">
        <v>67.5</v>
      </c>
      <c r="AW16" s="409">
        <v>67.5</v>
      </c>
      <c r="AX16" s="409">
        <v>135</v>
      </c>
      <c r="AY16" s="409">
        <v>135</v>
      </c>
      <c r="AZ16" s="453">
        <f t="shared" si="1"/>
        <v>405</v>
      </c>
      <c r="BA16" s="452">
        <v>202.5</v>
      </c>
      <c r="BB16" s="452">
        <v>202.5</v>
      </c>
      <c r="BC16" s="452">
        <v>202.5</v>
      </c>
      <c r="BD16" s="452">
        <v>135</v>
      </c>
      <c r="BE16" s="452">
        <v>135</v>
      </c>
      <c r="BF16" s="452">
        <f>67.5-0.377641820523422</f>
        <v>67.122358179476578</v>
      </c>
      <c r="BG16" s="452"/>
      <c r="BH16" s="409"/>
      <c r="BI16" s="409"/>
      <c r="BJ16" s="409"/>
      <c r="BK16" s="409"/>
      <c r="BL16" s="409"/>
      <c r="BM16" s="453">
        <f t="shared" si="2"/>
        <v>944.62235817947658</v>
      </c>
      <c r="BN16" s="452"/>
      <c r="BO16" s="452"/>
      <c r="BP16" s="452"/>
      <c r="BQ16" s="452"/>
      <c r="BR16" s="452"/>
      <c r="BS16" s="452"/>
      <c r="BT16" s="452"/>
      <c r="BU16" s="409"/>
      <c r="BV16" s="409"/>
      <c r="BW16" s="409"/>
      <c r="BX16" s="409"/>
      <c r="BY16" s="409"/>
      <c r="BZ16" s="453">
        <f t="shared" si="3"/>
        <v>0</v>
      </c>
      <c r="CA16" s="454">
        <f t="shared" si="4"/>
        <v>1449.6223581794766</v>
      </c>
      <c r="CB16" s="411"/>
      <c r="CC16" s="411"/>
      <c r="CD16" s="411"/>
      <c r="CE16" s="411"/>
      <c r="CF16" s="411"/>
      <c r="CG16" s="412"/>
      <c r="CH16" s="413"/>
      <c r="CI16" s="414" t="s">
        <v>70</v>
      </c>
      <c r="CJ16" s="422">
        <v>0</v>
      </c>
      <c r="CK16" s="422">
        <v>0</v>
      </c>
      <c r="CL16" s="422">
        <v>0</v>
      </c>
      <c r="CM16" s="422">
        <v>0</v>
      </c>
      <c r="CN16" s="423">
        <v>0</v>
      </c>
      <c r="CO16" s="423">
        <v>0</v>
      </c>
      <c r="CP16" s="423">
        <v>0</v>
      </c>
      <c r="CQ16" s="423">
        <v>0</v>
      </c>
      <c r="CR16" s="423">
        <v>0</v>
      </c>
      <c r="CS16" s="423">
        <v>0</v>
      </c>
      <c r="CT16" s="423">
        <v>0</v>
      </c>
      <c r="CU16" s="423">
        <v>0</v>
      </c>
      <c r="CV16" s="410">
        <f t="shared" si="14"/>
        <v>0</v>
      </c>
      <c r="CW16" s="422">
        <v>0</v>
      </c>
      <c r="CX16" s="422">
        <v>0</v>
      </c>
      <c r="CY16" s="422">
        <v>0</v>
      </c>
      <c r="CZ16" s="422">
        <v>0</v>
      </c>
      <c r="DA16" s="423">
        <v>0</v>
      </c>
      <c r="DB16" s="423">
        <v>0</v>
      </c>
      <c r="DC16" s="423">
        <v>4.2357421146512276E-3</v>
      </c>
      <c r="DD16" s="423">
        <v>0</v>
      </c>
      <c r="DE16" s="423">
        <v>0</v>
      </c>
      <c r="DF16" s="423">
        <v>9.8833982675195324E-3</v>
      </c>
      <c r="DG16" s="423">
        <v>0</v>
      </c>
      <c r="DH16" s="423">
        <v>0</v>
      </c>
      <c r="DI16" s="410">
        <f t="shared" si="15"/>
        <v>1.4119140382170759E-2</v>
      </c>
      <c r="DJ16" s="422">
        <v>0</v>
      </c>
      <c r="DK16" s="422">
        <v>0</v>
      </c>
      <c r="DL16" s="422">
        <v>0</v>
      </c>
      <c r="DM16" s="422">
        <v>0</v>
      </c>
      <c r="DN16" s="423">
        <v>0</v>
      </c>
      <c r="DO16" s="423">
        <v>0</v>
      </c>
      <c r="DP16" s="423">
        <v>0</v>
      </c>
      <c r="DQ16" s="423">
        <v>0</v>
      </c>
      <c r="DR16" s="423">
        <v>7.6929609656997367E-3</v>
      </c>
      <c r="DS16" s="423">
        <v>7.6929609656997367E-3</v>
      </c>
      <c r="DT16" s="423">
        <v>1.5385921931399473E-2</v>
      </c>
      <c r="DU16" s="423">
        <v>1.5385921931399473E-2</v>
      </c>
      <c r="DV16" s="410">
        <f t="shared" si="16"/>
        <v>4.6157765794198419E-2</v>
      </c>
      <c r="DW16" s="422">
        <v>2.4103372401031553E-2</v>
      </c>
      <c r="DX16" s="422">
        <v>2.4103372401031553E-2</v>
      </c>
      <c r="DY16" s="422">
        <v>2.4103372401031553E-2</v>
      </c>
      <c r="DZ16" s="422">
        <v>1.6068914934021034E-2</v>
      </c>
      <c r="EA16" s="423">
        <v>1.6068914934021034E-2</v>
      </c>
      <c r="EB16" s="423">
        <v>8.0344574670105171E-3</v>
      </c>
      <c r="EC16" s="423">
        <v>0</v>
      </c>
      <c r="ED16" s="423">
        <v>0</v>
      </c>
      <c r="EE16" s="423">
        <v>0</v>
      </c>
      <c r="EF16" s="423">
        <v>0</v>
      </c>
      <c r="EG16" s="423">
        <v>0</v>
      </c>
      <c r="EH16" s="423">
        <v>0</v>
      </c>
      <c r="EI16" s="410">
        <f t="shared" si="17"/>
        <v>0.11248240453814724</v>
      </c>
      <c r="EJ16" s="422">
        <v>0</v>
      </c>
      <c r="EK16" s="422">
        <v>0</v>
      </c>
      <c r="EL16" s="422">
        <v>0</v>
      </c>
      <c r="EM16" s="422">
        <v>0</v>
      </c>
      <c r="EN16" s="423">
        <v>0</v>
      </c>
      <c r="EO16" s="423">
        <v>0</v>
      </c>
      <c r="EP16" s="423">
        <v>0</v>
      </c>
      <c r="EQ16" s="423">
        <v>0</v>
      </c>
      <c r="ER16" s="423">
        <v>0</v>
      </c>
      <c r="ES16" s="423">
        <v>0</v>
      </c>
      <c r="ET16" s="423">
        <v>0</v>
      </c>
      <c r="EU16" s="423">
        <v>0</v>
      </c>
      <c r="EV16" s="410">
        <f t="shared" si="18"/>
        <v>0</v>
      </c>
      <c r="EW16" s="416">
        <f t="shared" si="19"/>
        <v>0.17275931071451645</v>
      </c>
      <c r="EX16" s="417">
        <f>IFERROR(VLOOKUP(H16,CEI_012018!$A$1:$U$509,9,FALSE),0)</f>
        <v>0</v>
      </c>
      <c r="EY16" s="417">
        <f>IFERROR(VLOOKUP(H16,CEI_022018!$A$1:$U$509,9,FALSE),0)</f>
        <v>0</v>
      </c>
      <c r="EZ16" s="417">
        <f>IFERROR(VLOOKUP(H16,CEI_032018!$A$1:$U$509,9,FALSE),0)</f>
        <v>0</v>
      </c>
      <c r="FA16" s="417">
        <f>IFERROR(VLOOKUP(H16,CEI_042018!$A$1:$U$491,9,FALSE),0)</f>
        <v>0</v>
      </c>
      <c r="FB16" s="417">
        <f>IFERROR(VLOOKUP(H16,CEI_052018!$A$1:$U$489,9,FALSE),0)</f>
        <v>0</v>
      </c>
      <c r="FC16" s="417">
        <f>IFERROR(VLOOKUP(H16,CEI_062018!$A$1:$U$489,9,FALSE),0)</f>
        <v>0</v>
      </c>
      <c r="FD16" s="417">
        <f>IFERROR(VLOOKUP(H16,CEI_072018!$A$1:$U$489,9,FALSE),0)</f>
        <v>0</v>
      </c>
      <c r="FE16" s="417">
        <f>IFERROR(VLOOKUP(H16,CEI_082018!$A$1:$U$489,9,FALSE),0)</f>
        <v>0</v>
      </c>
      <c r="FF16" s="417">
        <f>IFERROR(VLOOKUP(H16,CEI_092018!$A$1:$U$489,9,FALSE),0)</f>
        <v>0</v>
      </c>
      <c r="FG16" s="417"/>
      <c r="FH16" s="417"/>
      <c r="FI16" s="417"/>
      <c r="FJ16" s="418">
        <f>IFERROR(VLOOKUP(H16,CEI_092018!$A$1:$U$489,12,FALSE),0)</f>
        <v>0</v>
      </c>
      <c r="FK16" s="418">
        <f t="shared" si="11"/>
        <v>0</v>
      </c>
      <c r="FL16" s="418">
        <f t="shared" si="12"/>
        <v>0</v>
      </c>
      <c r="FM16" s="417"/>
      <c r="FN16" s="417"/>
      <c r="FO16" s="417"/>
      <c r="FP16" s="417"/>
      <c r="FQ16" s="417"/>
      <c r="FR16" s="417"/>
      <c r="FS16" s="417"/>
      <c r="FT16" s="417"/>
      <c r="FU16" s="417"/>
      <c r="FV16" s="417"/>
      <c r="FW16" s="417"/>
      <c r="FX16" s="417"/>
      <c r="FY16" s="418"/>
      <c r="FZ16" s="418"/>
      <c r="GA16" s="418"/>
      <c r="GB16" s="417"/>
      <c r="GC16" s="417"/>
      <c r="GD16" s="417"/>
      <c r="GE16" s="417"/>
      <c r="GF16" s="417"/>
      <c r="GG16" s="417"/>
      <c r="GH16" s="417"/>
      <c r="GI16" s="417"/>
      <c r="GJ16" s="417"/>
      <c r="GK16" s="417"/>
      <c r="GL16" s="417"/>
      <c r="GM16" s="417"/>
      <c r="GN16" s="418"/>
      <c r="GO16" s="418"/>
      <c r="GP16" s="418"/>
      <c r="GQ16" s="417"/>
      <c r="GR16" s="417"/>
      <c r="GS16" s="417"/>
      <c r="GT16" s="417"/>
      <c r="GU16" s="417"/>
      <c r="GV16" s="417"/>
      <c r="GW16" s="417"/>
      <c r="GX16" s="417"/>
      <c r="GY16" s="417"/>
      <c r="GZ16" s="417"/>
      <c r="HA16" s="417"/>
      <c r="HB16" s="417"/>
      <c r="HC16" s="418"/>
      <c r="HD16" s="418"/>
      <c r="HE16" s="418"/>
      <c r="HF16" s="417"/>
      <c r="HG16" s="417"/>
      <c r="HH16" s="417"/>
      <c r="HI16" s="417"/>
      <c r="HJ16" s="417"/>
      <c r="HK16" s="417"/>
      <c r="HL16" s="417"/>
      <c r="HM16" s="417"/>
      <c r="HN16" s="417"/>
      <c r="HO16" s="417"/>
      <c r="HP16" s="417"/>
      <c r="HQ16" s="417"/>
      <c r="HR16" s="418"/>
      <c r="HS16" s="418"/>
      <c r="HT16" s="418"/>
    </row>
    <row r="17" spans="1:228" s="387" customFormat="1" ht="12.95" customHeight="1" x14ac:dyDescent="0.2">
      <c r="A17" s="406" t="s">
        <v>55</v>
      </c>
      <c r="B17" s="407" t="s">
        <v>39</v>
      </c>
      <c r="C17" s="406" t="s">
        <v>53</v>
      </c>
      <c r="D17" s="407" t="s">
        <v>564</v>
      </c>
      <c r="E17" s="407" t="s">
        <v>53</v>
      </c>
      <c r="F17" s="407" t="s">
        <v>564</v>
      </c>
      <c r="G17" s="406" t="s">
        <v>54</v>
      </c>
      <c r="H17" s="408" t="s">
        <v>1945</v>
      </c>
      <c r="I17" s="408" t="s">
        <v>1947</v>
      </c>
      <c r="J17" s="406" t="s">
        <v>1702</v>
      </c>
      <c r="K17" s="406" t="s">
        <v>1948</v>
      </c>
      <c r="L17" s="406"/>
      <c r="M17" s="406"/>
      <c r="N17" s="452">
        <v>0</v>
      </c>
      <c r="O17" s="452">
        <v>0</v>
      </c>
      <c r="P17" s="452">
        <v>0</v>
      </c>
      <c r="Q17" s="452">
        <v>0</v>
      </c>
      <c r="R17" s="452">
        <v>0</v>
      </c>
      <c r="S17" s="452">
        <v>0</v>
      </c>
      <c r="T17" s="452">
        <v>0</v>
      </c>
      <c r="U17" s="409">
        <v>0</v>
      </c>
      <c r="V17" s="409"/>
      <c r="W17" s="409"/>
      <c r="X17" s="409">
        <v>20</v>
      </c>
      <c r="Y17" s="409"/>
      <c r="Z17" s="453">
        <f t="shared" si="13"/>
        <v>20</v>
      </c>
      <c r="AA17" s="452">
        <v>30</v>
      </c>
      <c r="AB17" s="452">
        <v>10</v>
      </c>
      <c r="AC17" s="452"/>
      <c r="AD17" s="452"/>
      <c r="AE17" s="452"/>
      <c r="AF17" s="452"/>
      <c r="AG17" s="452">
        <v>93</v>
      </c>
      <c r="AH17" s="409">
        <v>93</v>
      </c>
      <c r="AI17" s="409">
        <v>93</v>
      </c>
      <c r="AJ17" s="409">
        <v>93</v>
      </c>
      <c r="AK17" s="409">
        <v>93</v>
      </c>
      <c r="AL17" s="409">
        <v>97</v>
      </c>
      <c r="AM17" s="453">
        <f t="shared" si="0"/>
        <v>602</v>
      </c>
      <c r="AN17" s="452"/>
      <c r="AO17" s="452"/>
      <c r="AP17" s="452"/>
      <c r="AQ17" s="452"/>
      <c r="AR17" s="452"/>
      <c r="AS17" s="452"/>
      <c r="AT17" s="452"/>
      <c r="AU17" s="409"/>
      <c r="AV17" s="409"/>
      <c r="AW17" s="409"/>
      <c r="AX17" s="409"/>
      <c r="AY17" s="409"/>
      <c r="AZ17" s="453">
        <f t="shared" si="1"/>
        <v>0</v>
      </c>
      <c r="BA17" s="452"/>
      <c r="BB17" s="452"/>
      <c r="BC17" s="452"/>
      <c r="BD17" s="452"/>
      <c r="BE17" s="452"/>
      <c r="BF17" s="452"/>
      <c r="BG17" s="452"/>
      <c r="BH17" s="409"/>
      <c r="BI17" s="409"/>
      <c r="BJ17" s="409"/>
      <c r="BK17" s="409"/>
      <c r="BL17" s="409"/>
      <c r="BM17" s="453">
        <f t="shared" si="2"/>
        <v>0</v>
      </c>
      <c r="BN17" s="452"/>
      <c r="BO17" s="452"/>
      <c r="BP17" s="452"/>
      <c r="BQ17" s="452"/>
      <c r="BR17" s="452"/>
      <c r="BS17" s="452"/>
      <c r="BT17" s="452"/>
      <c r="BU17" s="409"/>
      <c r="BV17" s="409"/>
      <c r="BW17" s="409"/>
      <c r="BX17" s="409"/>
      <c r="BY17" s="409"/>
      <c r="BZ17" s="453">
        <f t="shared" si="3"/>
        <v>0</v>
      </c>
      <c r="CA17" s="454">
        <f t="shared" si="4"/>
        <v>622</v>
      </c>
      <c r="CB17" s="419"/>
      <c r="CC17" s="419">
        <v>1</v>
      </c>
      <c r="CD17" s="419">
        <v>1</v>
      </c>
      <c r="CE17" s="419">
        <v>-1</v>
      </c>
      <c r="CF17" s="419">
        <v>-1</v>
      </c>
      <c r="CG17" s="420">
        <f>IFERROR((FE17/Z17%),0)</f>
        <v>0</v>
      </c>
      <c r="CH17" s="421">
        <f>IFERROR((FK17/Z17%),0)</f>
        <v>72.824997901916504</v>
      </c>
      <c r="CI17" s="414" t="s">
        <v>70</v>
      </c>
      <c r="CJ17" s="423"/>
      <c r="CK17" s="423"/>
      <c r="CL17" s="423"/>
      <c r="CM17" s="423"/>
      <c r="CN17" s="423"/>
      <c r="CO17" s="423"/>
      <c r="CP17" s="423"/>
      <c r="CQ17" s="423"/>
      <c r="CR17" s="423"/>
      <c r="CS17" s="423"/>
      <c r="CT17" s="423"/>
      <c r="CU17" s="423"/>
      <c r="CV17" s="410">
        <f t="shared" si="14"/>
        <v>0</v>
      </c>
      <c r="CW17" s="423"/>
      <c r="CX17" s="423"/>
      <c r="CY17" s="423"/>
      <c r="CZ17" s="423"/>
      <c r="DA17" s="423"/>
      <c r="DB17" s="423"/>
      <c r="DC17" s="423"/>
      <c r="DD17" s="423"/>
      <c r="DE17" s="423"/>
      <c r="DF17" s="423"/>
      <c r="DG17" s="423"/>
      <c r="DH17" s="423"/>
      <c r="DI17" s="410">
        <f t="shared" si="15"/>
        <v>0</v>
      </c>
      <c r="DJ17" s="423"/>
      <c r="DK17" s="423"/>
      <c r="DL17" s="423"/>
      <c r="DM17" s="423"/>
      <c r="DN17" s="423"/>
      <c r="DO17" s="423"/>
      <c r="DP17" s="423"/>
      <c r="DQ17" s="423"/>
      <c r="DR17" s="423"/>
      <c r="DS17" s="423"/>
      <c r="DT17" s="423"/>
      <c r="DU17" s="423"/>
      <c r="DV17" s="410">
        <f t="shared" si="16"/>
        <v>0</v>
      </c>
      <c r="DW17" s="423"/>
      <c r="DX17" s="423"/>
      <c r="DY17" s="423"/>
      <c r="DZ17" s="423"/>
      <c r="EA17" s="423"/>
      <c r="EB17" s="423"/>
      <c r="EC17" s="423"/>
      <c r="ED17" s="423"/>
      <c r="EE17" s="423"/>
      <c r="EF17" s="423"/>
      <c r="EG17" s="423"/>
      <c r="EH17" s="423"/>
      <c r="EI17" s="410">
        <f t="shared" si="17"/>
        <v>0</v>
      </c>
      <c r="EJ17" s="423"/>
      <c r="EK17" s="423"/>
      <c r="EL17" s="423"/>
      <c r="EM17" s="423"/>
      <c r="EN17" s="423"/>
      <c r="EO17" s="423"/>
      <c r="EP17" s="423"/>
      <c r="EQ17" s="423"/>
      <c r="ER17" s="423"/>
      <c r="ES17" s="423"/>
      <c r="ET17" s="423"/>
      <c r="EU17" s="423"/>
      <c r="EV17" s="410">
        <f t="shared" si="18"/>
        <v>0</v>
      </c>
      <c r="EW17" s="416">
        <f t="shared" si="19"/>
        <v>0</v>
      </c>
      <c r="EX17" s="417">
        <f>IFERROR(VLOOKUP(H17,CEI_012018!$A$1:$U$509,9,FALSE),0)</f>
        <v>0</v>
      </c>
      <c r="EY17" s="417">
        <f>IFERROR(VLOOKUP(H17,CEI_022018!$A$1:$U$509,9,FALSE),0)</f>
        <v>0</v>
      </c>
      <c r="EZ17" s="417">
        <f>IFERROR(VLOOKUP(H17,CEI_032018!$A$1:$U$509,9,FALSE),0)</f>
        <v>0</v>
      </c>
      <c r="FA17" s="417">
        <f>IFERROR(VLOOKUP(H17,CEI_042018!$A$1:$U$491,9,FALSE),0)</f>
        <v>0</v>
      </c>
      <c r="FB17" s="417">
        <f>IFERROR(VLOOKUP(H17,CEI_052018!$A$1:$U$489,9,FALSE),0)</f>
        <v>0</v>
      </c>
      <c r="FC17" s="417">
        <f>IFERROR(VLOOKUP(H17,CEI_062018!$A$1:$U$489,9,FALSE),0)</f>
        <v>0</v>
      </c>
      <c r="FD17" s="417">
        <f>IFERROR(VLOOKUP(H17,CEI_072018!$A$1:$U$489,9,FALSE),0)</f>
        <v>0</v>
      </c>
      <c r="FE17" s="417">
        <f>IFERROR(VLOOKUP(H17,CEI_082018!$A$1:$U$489,9,FALSE),0)</f>
        <v>0</v>
      </c>
      <c r="FF17" s="417">
        <f>IFERROR(VLOOKUP(H17,CEI_092018!$A$1:$U$489,9,FALSE),0)</f>
        <v>0</v>
      </c>
      <c r="FG17" s="417"/>
      <c r="FH17" s="417"/>
      <c r="FI17" s="417"/>
      <c r="FJ17" s="418">
        <f>IFERROR(VLOOKUP(H17,CEI_092018!$A$1:$U$489,12,FALSE),0)</f>
        <v>14.564999580383301</v>
      </c>
      <c r="FK17" s="418">
        <f t="shared" si="11"/>
        <v>14.564999580383301</v>
      </c>
      <c r="FL17" s="418">
        <f t="shared" si="12"/>
        <v>5.4350004196166992</v>
      </c>
      <c r="FM17" s="417"/>
      <c r="FN17" s="417"/>
      <c r="FO17" s="417"/>
      <c r="FP17" s="417"/>
      <c r="FQ17" s="417"/>
      <c r="FR17" s="417"/>
      <c r="FS17" s="417"/>
      <c r="FT17" s="417"/>
      <c r="FU17" s="417"/>
      <c r="FV17" s="417"/>
      <c r="FW17" s="417"/>
      <c r="FX17" s="417"/>
      <c r="FY17" s="418"/>
      <c r="FZ17" s="418"/>
      <c r="GA17" s="418"/>
      <c r="GB17" s="417"/>
      <c r="GC17" s="417"/>
      <c r="GD17" s="417"/>
      <c r="GE17" s="417"/>
      <c r="GF17" s="417"/>
      <c r="GG17" s="417"/>
      <c r="GH17" s="417"/>
      <c r="GI17" s="417"/>
      <c r="GJ17" s="417"/>
      <c r="GK17" s="417"/>
      <c r="GL17" s="417"/>
      <c r="GM17" s="417"/>
      <c r="GN17" s="418"/>
      <c r="GO17" s="418"/>
      <c r="GP17" s="418"/>
      <c r="GQ17" s="417"/>
      <c r="GR17" s="417"/>
      <c r="GS17" s="417"/>
      <c r="GT17" s="417"/>
      <c r="GU17" s="417"/>
      <c r="GV17" s="417"/>
      <c r="GW17" s="417"/>
      <c r="GX17" s="417"/>
      <c r="GY17" s="417"/>
      <c r="GZ17" s="417"/>
      <c r="HA17" s="417"/>
      <c r="HB17" s="417"/>
      <c r="HC17" s="418"/>
      <c r="HD17" s="418"/>
      <c r="HE17" s="418"/>
      <c r="HF17" s="417"/>
      <c r="HG17" s="417"/>
      <c r="HH17" s="417"/>
      <c r="HI17" s="417"/>
      <c r="HJ17" s="417"/>
      <c r="HK17" s="417"/>
      <c r="HL17" s="417"/>
      <c r="HM17" s="417"/>
      <c r="HN17" s="417"/>
      <c r="HO17" s="417"/>
      <c r="HP17" s="417"/>
      <c r="HQ17" s="417"/>
      <c r="HR17" s="418"/>
      <c r="HS17" s="418"/>
      <c r="HT17" s="418"/>
    </row>
    <row r="18" spans="1:228" s="387" customFormat="1" ht="12.95" customHeight="1" x14ac:dyDescent="0.2">
      <c r="A18" s="406" t="s">
        <v>55</v>
      </c>
      <c r="B18" s="407" t="s">
        <v>39</v>
      </c>
      <c r="C18" s="406" t="s">
        <v>53</v>
      </c>
      <c r="D18" s="407" t="s">
        <v>564</v>
      </c>
      <c r="E18" s="407" t="s">
        <v>53</v>
      </c>
      <c r="F18" s="407" t="s">
        <v>564</v>
      </c>
      <c r="G18" s="406" t="s">
        <v>54</v>
      </c>
      <c r="H18" s="408" t="s">
        <v>1545</v>
      </c>
      <c r="I18" s="408" t="s">
        <v>1546</v>
      </c>
      <c r="J18" s="406" t="s">
        <v>58</v>
      </c>
      <c r="K18" s="406" t="s">
        <v>542</v>
      </c>
      <c r="L18" s="406" t="s">
        <v>72</v>
      </c>
      <c r="M18" s="406"/>
      <c r="N18" s="452">
        <v>0</v>
      </c>
      <c r="O18" s="452">
        <v>0</v>
      </c>
      <c r="P18" s="452">
        <v>0</v>
      </c>
      <c r="Q18" s="452">
        <v>0</v>
      </c>
      <c r="R18" s="452">
        <v>0</v>
      </c>
      <c r="S18" s="452">
        <v>0</v>
      </c>
      <c r="T18" s="452">
        <v>0</v>
      </c>
      <c r="U18" s="409">
        <v>0</v>
      </c>
      <c r="V18" s="409"/>
      <c r="W18" s="409"/>
      <c r="X18" s="409">
        <v>10</v>
      </c>
      <c r="Y18" s="409">
        <v>20</v>
      </c>
      <c r="Z18" s="453">
        <f t="shared" si="13"/>
        <v>30</v>
      </c>
      <c r="AA18" s="452">
        <v>145</v>
      </c>
      <c r="AB18" s="452">
        <v>65</v>
      </c>
      <c r="AC18" s="452">
        <v>65</v>
      </c>
      <c r="AD18" s="452">
        <v>65</v>
      </c>
      <c r="AE18" s="452">
        <v>65</v>
      </c>
      <c r="AF18" s="452">
        <v>69</v>
      </c>
      <c r="AG18" s="452"/>
      <c r="AH18" s="409"/>
      <c r="AI18" s="409"/>
      <c r="AJ18" s="409"/>
      <c r="AK18" s="409"/>
      <c r="AL18" s="409">
        <v>2</v>
      </c>
      <c r="AM18" s="453">
        <f t="shared" si="0"/>
        <v>476</v>
      </c>
      <c r="AN18" s="452">
        <v>207</v>
      </c>
      <c r="AO18" s="452">
        <v>237.01</v>
      </c>
      <c r="AP18" s="452">
        <v>161.41999999999999</v>
      </c>
      <c r="AQ18" s="452">
        <v>252.32</v>
      </c>
      <c r="AR18" s="452">
        <v>202.53</v>
      </c>
      <c r="AS18" s="452">
        <v>158.07</v>
      </c>
      <c r="AT18" s="452">
        <v>233.24</v>
      </c>
      <c r="AU18" s="409">
        <v>118.07</v>
      </c>
      <c r="AV18" s="409">
        <v>100.29</v>
      </c>
      <c r="AW18" s="409">
        <v>118.07</v>
      </c>
      <c r="AX18" s="409">
        <v>104.73</v>
      </c>
      <c r="AY18" s="409">
        <f>86.95-2</f>
        <v>84.95</v>
      </c>
      <c r="AZ18" s="453">
        <f t="shared" si="1"/>
        <v>1977.6999999999998</v>
      </c>
      <c r="BA18" s="452"/>
      <c r="BB18" s="452"/>
      <c r="BC18" s="452"/>
      <c r="BD18" s="452"/>
      <c r="BE18" s="452"/>
      <c r="BF18" s="452"/>
      <c r="BG18" s="452"/>
      <c r="BH18" s="409"/>
      <c r="BI18" s="409"/>
      <c r="BJ18" s="409"/>
      <c r="BK18" s="409"/>
      <c r="BL18" s="409"/>
      <c r="BM18" s="453">
        <f t="shared" si="2"/>
        <v>0</v>
      </c>
      <c r="BN18" s="452"/>
      <c r="BO18" s="452"/>
      <c r="BP18" s="452"/>
      <c r="BQ18" s="452"/>
      <c r="BR18" s="452"/>
      <c r="BS18" s="452"/>
      <c r="BT18" s="452"/>
      <c r="BU18" s="409"/>
      <c r="BV18" s="409"/>
      <c r="BW18" s="409"/>
      <c r="BX18" s="409"/>
      <c r="BY18" s="409"/>
      <c r="BZ18" s="453">
        <f t="shared" si="3"/>
        <v>0</v>
      </c>
      <c r="CA18" s="454">
        <f t="shared" si="4"/>
        <v>2483.6999999999998</v>
      </c>
      <c r="CB18" s="419"/>
      <c r="CC18" s="419">
        <v>1</v>
      </c>
      <c r="CD18" s="419">
        <v>1</v>
      </c>
      <c r="CE18" s="419">
        <v>1</v>
      </c>
      <c r="CF18" s="419">
        <v>1</v>
      </c>
      <c r="CG18" s="420">
        <f>IFERROR((FE18/Z18%),0)</f>
        <v>0</v>
      </c>
      <c r="CH18" s="421">
        <f>IFERROR((FK18/Z18%),0)</f>
        <v>96.199531555175781</v>
      </c>
      <c r="CI18" s="414" t="s">
        <v>70</v>
      </c>
      <c r="CJ18" s="422">
        <v>0</v>
      </c>
      <c r="CK18" s="422">
        <v>0</v>
      </c>
      <c r="CL18" s="422">
        <v>0</v>
      </c>
      <c r="CM18" s="422">
        <v>0</v>
      </c>
      <c r="CN18" s="423">
        <v>0</v>
      </c>
      <c r="CO18" s="423">
        <v>0</v>
      </c>
      <c r="CP18" s="423">
        <v>0</v>
      </c>
      <c r="CQ18" s="423">
        <v>0</v>
      </c>
      <c r="CR18" s="423">
        <v>2.5770260192009052E-3</v>
      </c>
      <c r="CS18" s="423">
        <v>1.8039182134406338E-2</v>
      </c>
      <c r="CT18" s="423">
        <v>0</v>
      </c>
      <c r="CU18" s="423">
        <v>5.1540520384018105E-3</v>
      </c>
      <c r="CV18" s="410">
        <f t="shared" si="14"/>
        <v>2.5770260192009051E-2</v>
      </c>
      <c r="CW18" s="422">
        <v>0</v>
      </c>
      <c r="CX18" s="422">
        <v>2.5572022294572394E-2</v>
      </c>
      <c r="CY18" s="422">
        <v>0</v>
      </c>
      <c r="CZ18" s="422">
        <v>3.482118877612482E-2</v>
      </c>
      <c r="DA18" s="423">
        <v>0</v>
      </c>
      <c r="DB18" s="423">
        <v>0</v>
      </c>
      <c r="DC18" s="423">
        <v>0</v>
      </c>
      <c r="DD18" s="423">
        <v>0</v>
      </c>
      <c r="DE18" s="423">
        <v>0</v>
      </c>
      <c r="DF18" s="423">
        <v>2.9170144029564762E-3</v>
      </c>
      <c r="DG18" s="423">
        <v>8.6070279769712953E-3</v>
      </c>
      <c r="DH18" s="423">
        <v>1.4163310935461283E-2</v>
      </c>
      <c r="DI18" s="410">
        <f t="shared" si="15"/>
        <v>8.6080564386086272E-2</v>
      </c>
      <c r="DJ18" s="422">
        <v>1.3326163924920288E-2</v>
      </c>
      <c r="DK18" s="422">
        <v>1.3838212154892771E-2</v>
      </c>
      <c r="DL18" s="422">
        <v>1.8397003838270389E-2</v>
      </c>
      <c r="DM18" s="422">
        <v>2.8756317909183926E-2</v>
      </c>
      <c r="DN18" s="423">
        <v>2.3082062084905281E-2</v>
      </c>
      <c r="DO18" s="423">
        <v>1.801576224187669E-2</v>
      </c>
      <c r="DP18" s="423">
        <v>2.6582342098448397E-2</v>
      </c>
      <c r="DQ18" s="423">
        <v>1.3456092383185148E-2</v>
      </c>
      <c r="DR18" s="423">
        <v>1.1429572445950916E-2</v>
      </c>
      <c r="DS18" s="423">
        <v>1.3456092383185148E-2</v>
      </c>
      <c r="DT18" s="423">
        <v>1.1936202430173999E-2</v>
      </c>
      <c r="DU18" s="423">
        <v>9.9096824930537362E-3</v>
      </c>
      <c r="DV18" s="410">
        <f t="shared" si="16"/>
        <v>0.20218550638804669</v>
      </c>
      <c r="DW18" s="422">
        <v>0</v>
      </c>
      <c r="DX18" s="422">
        <v>0</v>
      </c>
      <c r="DY18" s="422">
        <v>0</v>
      </c>
      <c r="DZ18" s="422">
        <v>0</v>
      </c>
      <c r="EA18" s="423">
        <v>0</v>
      </c>
      <c r="EB18" s="423">
        <v>0</v>
      </c>
      <c r="EC18" s="423">
        <v>0</v>
      </c>
      <c r="ED18" s="423">
        <v>0</v>
      </c>
      <c r="EE18" s="423">
        <v>0</v>
      </c>
      <c r="EF18" s="423">
        <v>0</v>
      </c>
      <c r="EG18" s="423">
        <v>0</v>
      </c>
      <c r="EH18" s="423">
        <v>0</v>
      </c>
      <c r="EI18" s="410">
        <f t="shared" si="17"/>
        <v>0</v>
      </c>
      <c r="EJ18" s="422">
        <v>0</v>
      </c>
      <c r="EK18" s="422">
        <v>0</v>
      </c>
      <c r="EL18" s="422">
        <v>0</v>
      </c>
      <c r="EM18" s="422">
        <v>0</v>
      </c>
      <c r="EN18" s="423">
        <v>0</v>
      </c>
      <c r="EO18" s="423">
        <v>0</v>
      </c>
      <c r="EP18" s="423">
        <v>0</v>
      </c>
      <c r="EQ18" s="423">
        <v>0</v>
      </c>
      <c r="ER18" s="423">
        <v>0</v>
      </c>
      <c r="ES18" s="423">
        <v>0</v>
      </c>
      <c r="ET18" s="423">
        <v>0</v>
      </c>
      <c r="EU18" s="423">
        <v>0</v>
      </c>
      <c r="EV18" s="410">
        <f t="shared" si="18"/>
        <v>0</v>
      </c>
      <c r="EW18" s="416">
        <f t="shared" si="19"/>
        <v>0.31403633096614203</v>
      </c>
      <c r="EX18" s="417">
        <f>IFERROR(VLOOKUP(H18,CEI_012018!$A$1:$U$509,9,FALSE),0)</f>
        <v>0</v>
      </c>
      <c r="EY18" s="417">
        <f>IFERROR(VLOOKUP(H18,CEI_022018!$A$1:$U$509,9,FALSE),0)</f>
        <v>0</v>
      </c>
      <c r="EZ18" s="417">
        <f>IFERROR(VLOOKUP(H18,CEI_032018!$A$1:$U$509,9,FALSE),0)</f>
        <v>0</v>
      </c>
      <c r="FA18" s="417">
        <f>IFERROR(VLOOKUP(H18,CEI_042018!$A$1:$U$491,9,FALSE),0)</f>
        <v>0</v>
      </c>
      <c r="FB18" s="417">
        <f>IFERROR(VLOOKUP(H18,CEI_052018!$A$1:$U$489,9,FALSE),0)</f>
        <v>0</v>
      </c>
      <c r="FC18" s="417">
        <f>IFERROR(VLOOKUP(H18,CEI_062018!$A$1:$U$489,9,FALSE),0)</f>
        <v>0</v>
      </c>
      <c r="FD18" s="417">
        <f>IFERROR(VLOOKUP(H18,CEI_072018!$A$1:$U$489,9,FALSE),0)</f>
        <v>0</v>
      </c>
      <c r="FE18" s="417">
        <f>IFERROR(VLOOKUP(H18,CEI_082018!$A$1:$U$489,9,FALSE),0)</f>
        <v>0</v>
      </c>
      <c r="FF18" s="417">
        <f>IFERROR(VLOOKUP(H18,CEI_092018!$A$1:$U$489,9,FALSE),0)</f>
        <v>10.5</v>
      </c>
      <c r="FG18" s="417"/>
      <c r="FH18" s="417"/>
      <c r="FI18" s="417"/>
      <c r="FJ18" s="418">
        <f>IFERROR(VLOOKUP(H18,CEI_092018!$A$1:$U$489,12,FALSE),0)</f>
        <v>18.359859466552734</v>
      </c>
      <c r="FK18" s="418">
        <f t="shared" si="11"/>
        <v>28.859859466552734</v>
      </c>
      <c r="FL18" s="418">
        <f t="shared" si="12"/>
        <v>1.1401405334472656</v>
      </c>
      <c r="FM18" s="417"/>
      <c r="FN18" s="417"/>
      <c r="FO18" s="417"/>
      <c r="FP18" s="417"/>
      <c r="FQ18" s="417"/>
      <c r="FR18" s="417"/>
      <c r="FS18" s="417"/>
      <c r="FT18" s="417"/>
      <c r="FU18" s="417"/>
      <c r="FV18" s="417"/>
      <c r="FW18" s="417"/>
      <c r="FX18" s="417"/>
      <c r="FY18" s="418"/>
      <c r="FZ18" s="418"/>
      <c r="GA18" s="418"/>
      <c r="GB18" s="417"/>
      <c r="GC18" s="417"/>
      <c r="GD18" s="417"/>
      <c r="GE18" s="417"/>
      <c r="GF18" s="417"/>
      <c r="GG18" s="417"/>
      <c r="GH18" s="417"/>
      <c r="GI18" s="417"/>
      <c r="GJ18" s="417"/>
      <c r="GK18" s="417"/>
      <c r="GL18" s="417"/>
      <c r="GM18" s="417"/>
      <c r="GN18" s="418"/>
      <c r="GO18" s="418"/>
      <c r="GP18" s="418"/>
      <c r="GQ18" s="417"/>
      <c r="GR18" s="417"/>
      <c r="GS18" s="417"/>
      <c r="GT18" s="417"/>
      <c r="GU18" s="417"/>
      <c r="GV18" s="417"/>
      <c r="GW18" s="417"/>
      <c r="GX18" s="417"/>
      <c r="GY18" s="417"/>
      <c r="GZ18" s="417"/>
      <c r="HA18" s="417"/>
      <c r="HB18" s="417"/>
      <c r="HC18" s="418"/>
      <c r="HD18" s="418"/>
      <c r="HE18" s="418"/>
      <c r="HF18" s="417"/>
      <c r="HG18" s="417"/>
      <c r="HH18" s="417"/>
      <c r="HI18" s="417"/>
      <c r="HJ18" s="417"/>
      <c r="HK18" s="417"/>
      <c r="HL18" s="417"/>
      <c r="HM18" s="417"/>
      <c r="HN18" s="417"/>
      <c r="HO18" s="417"/>
      <c r="HP18" s="417"/>
      <c r="HQ18" s="417"/>
      <c r="HR18" s="418"/>
      <c r="HS18" s="418"/>
      <c r="HT18" s="418"/>
    </row>
    <row r="19" spans="1:228" s="387" customFormat="1" ht="12.95" customHeight="1" x14ac:dyDescent="0.2">
      <c r="A19" s="406" t="s">
        <v>55</v>
      </c>
      <c r="B19" s="407" t="s">
        <v>39</v>
      </c>
      <c r="C19" s="406" t="s">
        <v>53</v>
      </c>
      <c r="D19" s="407" t="s">
        <v>569</v>
      </c>
      <c r="E19" s="407" t="s">
        <v>53</v>
      </c>
      <c r="F19" s="407" t="s">
        <v>569</v>
      </c>
      <c r="G19" s="406" t="s">
        <v>54</v>
      </c>
      <c r="H19" s="408" t="s">
        <v>520</v>
      </c>
      <c r="I19" s="408"/>
      <c r="J19" s="406" t="s">
        <v>85</v>
      </c>
      <c r="K19" s="406" t="s">
        <v>86</v>
      </c>
      <c r="L19" s="406" t="s">
        <v>77</v>
      </c>
      <c r="M19" s="406"/>
      <c r="N19" s="452">
        <v>0</v>
      </c>
      <c r="O19" s="452">
        <v>0</v>
      </c>
      <c r="P19" s="452">
        <v>0</v>
      </c>
      <c r="Q19" s="452">
        <v>0</v>
      </c>
      <c r="R19" s="452">
        <v>0</v>
      </c>
      <c r="S19" s="452">
        <v>0</v>
      </c>
      <c r="T19" s="452">
        <v>0</v>
      </c>
      <c r="U19" s="409">
        <v>0</v>
      </c>
      <c r="V19" s="409"/>
      <c r="W19" s="409"/>
      <c r="X19" s="409"/>
      <c r="Y19" s="409"/>
      <c r="Z19" s="453">
        <f t="shared" si="13"/>
        <v>0</v>
      </c>
      <c r="AA19" s="452"/>
      <c r="AB19" s="452"/>
      <c r="AC19" s="452"/>
      <c r="AD19" s="452"/>
      <c r="AE19" s="452"/>
      <c r="AF19" s="452">
        <v>28</v>
      </c>
      <c r="AG19" s="452">
        <v>29</v>
      </c>
      <c r="AH19" s="409"/>
      <c r="AI19" s="409"/>
      <c r="AJ19" s="409"/>
      <c r="AK19" s="409">
        <v>154</v>
      </c>
      <c r="AL19" s="409">
        <v>100</v>
      </c>
      <c r="AM19" s="453">
        <f t="shared" si="0"/>
        <v>311</v>
      </c>
      <c r="AN19" s="452">
        <v>126</v>
      </c>
      <c r="AO19" s="452">
        <v>197</v>
      </c>
      <c r="AP19" s="452">
        <v>185</v>
      </c>
      <c r="AQ19" s="452">
        <v>130</v>
      </c>
      <c r="AR19" s="452">
        <v>140</v>
      </c>
      <c r="AS19" s="452"/>
      <c r="AT19" s="452"/>
      <c r="AU19" s="409"/>
      <c r="AV19" s="409"/>
      <c r="AW19" s="409"/>
      <c r="AX19" s="409"/>
      <c r="AY19" s="409"/>
      <c r="AZ19" s="453">
        <f t="shared" si="1"/>
        <v>778</v>
      </c>
      <c r="BA19" s="452"/>
      <c r="BB19" s="452"/>
      <c r="BC19" s="452"/>
      <c r="BD19" s="452"/>
      <c r="BE19" s="452"/>
      <c r="BF19" s="452"/>
      <c r="BG19" s="452"/>
      <c r="BH19" s="409"/>
      <c r="BI19" s="409"/>
      <c r="BJ19" s="409"/>
      <c r="BK19" s="409"/>
      <c r="BL19" s="409"/>
      <c r="BM19" s="453">
        <f t="shared" si="2"/>
        <v>0</v>
      </c>
      <c r="BN19" s="452"/>
      <c r="BO19" s="452"/>
      <c r="BP19" s="452"/>
      <c r="BQ19" s="452"/>
      <c r="BR19" s="452"/>
      <c r="BS19" s="452"/>
      <c r="BT19" s="452"/>
      <c r="BU19" s="409"/>
      <c r="BV19" s="409"/>
      <c r="BW19" s="409"/>
      <c r="BX19" s="409"/>
      <c r="BY19" s="409"/>
      <c r="BZ19" s="453">
        <f t="shared" si="3"/>
        <v>0</v>
      </c>
      <c r="CA19" s="454">
        <f t="shared" si="4"/>
        <v>1089</v>
      </c>
      <c r="CB19" s="419"/>
      <c r="CC19" s="419">
        <v>-1</v>
      </c>
      <c r="CD19" s="419">
        <v>-1</v>
      </c>
      <c r="CE19" s="419">
        <v>-1</v>
      </c>
      <c r="CF19" s="419">
        <v>-1</v>
      </c>
      <c r="CG19" s="420">
        <f>IFERROR((FE19/Z19%),0)</f>
        <v>0</v>
      </c>
      <c r="CH19" s="421">
        <f>IFERROR((FK19/Z19%),0)</f>
        <v>0</v>
      </c>
      <c r="CI19" s="414" t="s">
        <v>70</v>
      </c>
      <c r="CJ19" s="423">
        <v>0</v>
      </c>
      <c r="CK19" s="423">
        <v>0</v>
      </c>
      <c r="CL19" s="423">
        <v>0</v>
      </c>
      <c r="CM19" s="423">
        <v>0</v>
      </c>
      <c r="CN19" s="423">
        <v>0</v>
      </c>
      <c r="CO19" s="423">
        <v>0</v>
      </c>
      <c r="CP19" s="423">
        <v>0</v>
      </c>
      <c r="CQ19" s="423">
        <v>0</v>
      </c>
      <c r="CR19" s="423">
        <v>0</v>
      </c>
      <c r="CS19" s="423">
        <v>0</v>
      </c>
      <c r="CT19" s="423">
        <v>0</v>
      </c>
      <c r="CU19" s="423">
        <v>1.7266074328646068E-2</v>
      </c>
      <c r="CV19" s="410">
        <f t="shared" si="14"/>
        <v>1.7266074328646068E-2</v>
      </c>
      <c r="CW19" s="423">
        <v>0</v>
      </c>
      <c r="CX19" s="423">
        <v>0</v>
      </c>
      <c r="CY19" s="423">
        <v>0</v>
      </c>
      <c r="CZ19" s="423">
        <v>0</v>
      </c>
      <c r="DA19" s="423">
        <v>0</v>
      </c>
      <c r="DB19" s="423">
        <v>0</v>
      </c>
      <c r="DC19" s="423">
        <v>0</v>
      </c>
      <c r="DD19" s="423">
        <v>1.4430326236193803E-2</v>
      </c>
      <c r="DE19" s="423">
        <v>1.4430326236193803E-2</v>
      </c>
      <c r="DF19" s="423">
        <v>1.4430326236193803E-2</v>
      </c>
      <c r="DG19" s="423">
        <v>1.4430326236193803E-2</v>
      </c>
      <c r="DH19" s="423">
        <v>2.8860652472387605E-2</v>
      </c>
      <c r="DI19" s="410">
        <f t="shared" si="15"/>
        <v>8.6581957417162819E-2</v>
      </c>
      <c r="DJ19" s="423">
        <v>2.3296337260396319E-2</v>
      </c>
      <c r="DK19" s="423">
        <v>1.1636771650989718E-2</v>
      </c>
      <c r="DL19" s="423">
        <v>1.164816863019816E-2</v>
      </c>
      <c r="DM19" s="423">
        <v>0</v>
      </c>
      <c r="DN19" s="423">
        <v>0</v>
      </c>
      <c r="DO19" s="423">
        <v>0</v>
      </c>
      <c r="DP19" s="423">
        <v>0</v>
      </c>
      <c r="DQ19" s="423">
        <v>0</v>
      </c>
      <c r="DR19" s="423">
        <v>0</v>
      </c>
      <c r="DS19" s="423">
        <v>0</v>
      </c>
      <c r="DT19" s="423">
        <v>0</v>
      </c>
      <c r="DU19" s="423">
        <v>0</v>
      </c>
      <c r="DV19" s="410">
        <f t="shared" si="16"/>
        <v>4.6581277541584198E-2</v>
      </c>
      <c r="DW19" s="423">
        <v>0</v>
      </c>
      <c r="DX19" s="423">
        <v>0</v>
      </c>
      <c r="DY19" s="423">
        <v>0</v>
      </c>
      <c r="DZ19" s="423">
        <v>0</v>
      </c>
      <c r="EA19" s="423">
        <v>0</v>
      </c>
      <c r="EB19" s="423">
        <v>0</v>
      </c>
      <c r="EC19" s="423">
        <v>0</v>
      </c>
      <c r="ED19" s="423">
        <v>0</v>
      </c>
      <c r="EE19" s="423">
        <v>0</v>
      </c>
      <c r="EF19" s="423">
        <v>0</v>
      </c>
      <c r="EG19" s="423">
        <v>0</v>
      </c>
      <c r="EH19" s="423">
        <v>0</v>
      </c>
      <c r="EI19" s="410">
        <f t="shared" si="17"/>
        <v>0</v>
      </c>
      <c r="EJ19" s="423">
        <v>0</v>
      </c>
      <c r="EK19" s="423">
        <v>0</v>
      </c>
      <c r="EL19" s="423">
        <v>0</v>
      </c>
      <c r="EM19" s="423">
        <v>0</v>
      </c>
      <c r="EN19" s="423">
        <v>0</v>
      </c>
      <c r="EO19" s="423">
        <v>0</v>
      </c>
      <c r="EP19" s="423">
        <v>0</v>
      </c>
      <c r="EQ19" s="423">
        <v>0</v>
      </c>
      <c r="ER19" s="423">
        <v>0</v>
      </c>
      <c r="ES19" s="423">
        <v>0</v>
      </c>
      <c r="ET19" s="423">
        <v>0</v>
      </c>
      <c r="EU19" s="423">
        <v>0</v>
      </c>
      <c r="EV19" s="410">
        <f t="shared" si="18"/>
        <v>0</v>
      </c>
      <c r="EW19" s="416">
        <f t="shared" si="19"/>
        <v>0.15042930928739309</v>
      </c>
      <c r="EX19" s="417">
        <f>IFERROR(VLOOKUP(H19,CEI_012018!$A$1:$U$509,9,FALSE),0)</f>
        <v>0</v>
      </c>
      <c r="EY19" s="417">
        <f>IFERROR(VLOOKUP(H19,CEI_022018!$A$1:$U$509,9,FALSE),0)</f>
        <v>0</v>
      </c>
      <c r="EZ19" s="417">
        <f>IFERROR(VLOOKUP(H19,CEI_032018!$A$1:$U$509,9,FALSE),0)</f>
        <v>0</v>
      </c>
      <c r="FA19" s="417">
        <f>IFERROR(VLOOKUP(H19,CEI_042018!$A$1:$U$491,9,FALSE),0)</f>
        <v>0</v>
      </c>
      <c r="FB19" s="417">
        <f>IFERROR(VLOOKUP(H19,CEI_052018!$A$1:$U$489,9,FALSE),0)</f>
        <v>0</v>
      </c>
      <c r="FC19" s="417">
        <f>IFERROR(VLOOKUP(H19,CEI_062018!$A$1:$U$489,9,FALSE),0)</f>
        <v>0</v>
      </c>
      <c r="FD19" s="417">
        <f>IFERROR(VLOOKUP(H19,CEI_072018!$A$1:$U$489,9,FALSE),0)</f>
        <v>0</v>
      </c>
      <c r="FE19" s="417">
        <f>IFERROR(VLOOKUP(H19,CEI_082018!$A$1:$U$489,9,FALSE),0)</f>
        <v>0</v>
      </c>
      <c r="FF19" s="417">
        <f>IFERROR(VLOOKUP(H19,CEI_092018!$A$1:$U$489,9,FALSE),0)</f>
        <v>0</v>
      </c>
      <c r="FG19" s="417"/>
      <c r="FH19" s="417"/>
      <c r="FI19" s="417"/>
      <c r="FJ19" s="418">
        <f>IFERROR(VLOOKUP(H19,CEI_092018!$A$1:$U$489,12,FALSE),0)</f>
        <v>0</v>
      </c>
      <c r="FK19" s="418">
        <f t="shared" si="11"/>
        <v>0</v>
      </c>
      <c r="FL19" s="418">
        <f t="shared" si="12"/>
        <v>0</v>
      </c>
      <c r="FM19" s="417"/>
      <c r="FN19" s="417"/>
      <c r="FO19" s="417"/>
      <c r="FP19" s="417"/>
      <c r="FQ19" s="417"/>
      <c r="FR19" s="417"/>
      <c r="FS19" s="417"/>
      <c r="FT19" s="417"/>
      <c r="FU19" s="417"/>
      <c r="FV19" s="417"/>
      <c r="FW19" s="417"/>
      <c r="FX19" s="417"/>
      <c r="FY19" s="418"/>
      <c r="FZ19" s="418"/>
      <c r="GA19" s="418"/>
      <c r="GB19" s="417"/>
      <c r="GC19" s="417"/>
      <c r="GD19" s="417"/>
      <c r="GE19" s="417"/>
      <c r="GF19" s="417"/>
      <c r="GG19" s="417"/>
      <c r="GH19" s="417"/>
      <c r="GI19" s="417"/>
      <c r="GJ19" s="417"/>
      <c r="GK19" s="417"/>
      <c r="GL19" s="417"/>
      <c r="GM19" s="417"/>
      <c r="GN19" s="418"/>
      <c r="GO19" s="418"/>
      <c r="GP19" s="418"/>
      <c r="GQ19" s="417"/>
      <c r="GR19" s="417"/>
      <c r="GS19" s="417"/>
      <c r="GT19" s="417"/>
      <c r="GU19" s="417"/>
      <c r="GV19" s="417"/>
      <c r="GW19" s="417"/>
      <c r="GX19" s="417"/>
      <c r="GY19" s="417"/>
      <c r="GZ19" s="417"/>
      <c r="HA19" s="417"/>
      <c r="HB19" s="417"/>
      <c r="HC19" s="418"/>
      <c r="HD19" s="418"/>
      <c r="HE19" s="418"/>
      <c r="HF19" s="417"/>
      <c r="HG19" s="417"/>
      <c r="HH19" s="417"/>
      <c r="HI19" s="417"/>
      <c r="HJ19" s="417"/>
      <c r="HK19" s="417"/>
      <c r="HL19" s="417"/>
      <c r="HM19" s="417"/>
      <c r="HN19" s="417"/>
      <c r="HO19" s="417"/>
      <c r="HP19" s="417"/>
      <c r="HQ19" s="417"/>
      <c r="HR19" s="418"/>
      <c r="HS19" s="418"/>
      <c r="HT19" s="418"/>
    </row>
    <row r="20" spans="1:228" s="387" customFormat="1" ht="12.95" customHeight="1" x14ac:dyDescent="0.2">
      <c r="A20" s="406" t="s">
        <v>55</v>
      </c>
      <c r="B20" s="407" t="s">
        <v>39</v>
      </c>
      <c r="C20" s="406" t="s">
        <v>53</v>
      </c>
      <c r="D20" s="407" t="s">
        <v>564</v>
      </c>
      <c r="E20" s="407" t="s">
        <v>53</v>
      </c>
      <c r="F20" s="407" t="s">
        <v>564</v>
      </c>
      <c r="G20" s="406" t="s">
        <v>54</v>
      </c>
      <c r="H20" s="408" t="s">
        <v>520</v>
      </c>
      <c r="I20" s="408"/>
      <c r="J20" s="406" t="s">
        <v>73</v>
      </c>
      <c r="K20" s="406" t="s">
        <v>74</v>
      </c>
      <c r="L20" s="406" t="s">
        <v>75</v>
      </c>
      <c r="M20" s="406"/>
      <c r="N20" s="452">
        <v>0</v>
      </c>
      <c r="O20" s="452">
        <v>0</v>
      </c>
      <c r="P20" s="452">
        <v>0</v>
      </c>
      <c r="Q20" s="452">
        <v>0</v>
      </c>
      <c r="R20" s="452">
        <v>0</v>
      </c>
      <c r="S20" s="452">
        <v>0</v>
      </c>
      <c r="T20" s="452">
        <v>0</v>
      </c>
      <c r="U20" s="409">
        <v>0</v>
      </c>
      <c r="V20" s="409">
        <v>0</v>
      </c>
      <c r="W20" s="409">
        <v>0</v>
      </c>
      <c r="X20" s="409">
        <v>0</v>
      </c>
      <c r="Y20" s="409"/>
      <c r="Z20" s="453">
        <f t="shared" si="13"/>
        <v>0</v>
      </c>
      <c r="AA20" s="452"/>
      <c r="AB20" s="452"/>
      <c r="AC20" s="452"/>
      <c r="AD20" s="452"/>
      <c r="AE20" s="452"/>
      <c r="AF20" s="452"/>
      <c r="AG20" s="452">
        <v>20</v>
      </c>
      <c r="AH20" s="409">
        <v>60</v>
      </c>
      <c r="AI20" s="409">
        <v>32</v>
      </c>
      <c r="AJ20" s="409"/>
      <c r="AK20" s="409"/>
      <c r="AL20" s="409"/>
      <c r="AM20" s="453">
        <f t="shared" si="0"/>
        <v>112</v>
      </c>
      <c r="AN20" s="452"/>
      <c r="AO20" s="452"/>
      <c r="AP20" s="452"/>
      <c r="AQ20" s="452"/>
      <c r="AR20" s="452"/>
      <c r="AS20" s="452"/>
      <c r="AT20" s="452"/>
      <c r="AU20" s="409"/>
      <c r="AV20" s="409"/>
      <c r="AW20" s="409"/>
      <c r="AX20" s="409"/>
      <c r="AY20" s="409"/>
      <c r="AZ20" s="453">
        <f t="shared" si="1"/>
        <v>0</v>
      </c>
      <c r="BA20" s="452"/>
      <c r="BB20" s="452"/>
      <c r="BC20" s="452"/>
      <c r="BD20" s="452"/>
      <c r="BE20" s="452"/>
      <c r="BF20" s="452"/>
      <c r="BG20" s="452"/>
      <c r="BH20" s="409"/>
      <c r="BI20" s="409"/>
      <c r="BJ20" s="409"/>
      <c r="BK20" s="409"/>
      <c r="BL20" s="409"/>
      <c r="BM20" s="453">
        <f t="shared" si="2"/>
        <v>0</v>
      </c>
      <c r="BN20" s="452"/>
      <c r="BO20" s="452"/>
      <c r="BP20" s="452"/>
      <c r="BQ20" s="452"/>
      <c r="BR20" s="452"/>
      <c r="BS20" s="452"/>
      <c r="BT20" s="452"/>
      <c r="BU20" s="409"/>
      <c r="BV20" s="409"/>
      <c r="BW20" s="409"/>
      <c r="BX20" s="409"/>
      <c r="BY20" s="409"/>
      <c r="BZ20" s="453">
        <f t="shared" si="3"/>
        <v>0</v>
      </c>
      <c r="CA20" s="454">
        <f t="shared" si="4"/>
        <v>112</v>
      </c>
      <c r="CB20" s="411"/>
      <c r="CC20" s="411"/>
      <c r="CD20" s="411"/>
      <c r="CE20" s="411"/>
      <c r="CF20" s="411"/>
      <c r="CG20" s="412"/>
      <c r="CH20" s="413"/>
      <c r="CI20" s="414" t="s">
        <v>70</v>
      </c>
      <c r="CJ20" s="422">
        <v>0</v>
      </c>
      <c r="CK20" s="422">
        <v>0</v>
      </c>
      <c r="CL20" s="422">
        <v>0</v>
      </c>
      <c r="CM20" s="422">
        <v>0</v>
      </c>
      <c r="CN20" s="423">
        <v>0</v>
      </c>
      <c r="CO20" s="423">
        <v>0</v>
      </c>
      <c r="CP20" s="423">
        <v>0</v>
      </c>
      <c r="CQ20" s="423">
        <v>0</v>
      </c>
      <c r="CR20" s="423">
        <v>0</v>
      </c>
      <c r="CS20" s="423">
        <v>0</v>
      </c>
      <c r="CT20" s="423">
        <v>0</v>
      </c>
      <c r="CU20" s="423">
        <v>0</v>
      </c>
      <c r="CV20" s="410">
        <f t="shared" si="14"/>
        <v>0</v>
      </c>
      <c r="CW20" s="422">
        <v>0</v>
      </c>
      <c r="CX20" s="422">
        <v>0</v>
      </c>
      <c r="CY20" s="422">
        <v>0</v>
      </c>
      <c r="CZ20" s="422">
        <v>0</v>
      </c>
      <c r="DA20" s="423">
        <v>0</v>
      </c>
      <c r="DB20" s="423">
        <v>0</v>
      </c>
      <c r="DC20" s="423">
        <v>2.823828076434152E-3</v>
      </c>
      <c r="DD20" s="423">
        <v>8.4714842293024551E-3</v>
      </c>
      <c r="DE20" s="423">
        <v>4.5181249222946427E-3</v>
      </c>
      <c r="DF20" s="423">
        <v>0</v>
      </c>
      <c r="DG20" s="423">
        <v>0</v>
      </c>
      <c r="DH20" s="423">
        <v>0</v>
      </c>
      <c r="DI20" s="410">
        <f t="shared" si="15"/>
        <v>1.581343722803125E-2</v>
      </c>
      <c r="DJ20" s="422">
        <v>0</v>
      </c>
      <c r="DK20" s="422">
        <v>0</v>
      </c>
      <c r="DL20" s="422">
        <v>0</v>
      </c>
      <c r="DM20" s="422">
        <v>0</v>
      </c>
      <c r="DN20" s="423">
        <v>0</v>
      </c>
      <c r="DO20" s="423">
        <v>0</v>
      </c>
      <c r="DP20" s="423">
        <v>0</v>
      </c>
      <c r="DQ20" s="423">
        <v>0</v>
      </c>
      <c r="DR20" s="423">
        <v>0</v>
      </c>
      <c r="DS20" s="423">
        <v>0</v>
      </c>
      <c r="DT20" s="423">
        <v>0</v>
      </c>
      <c r="DU20" s="423">
        <v>0</v>
      </c>
      <c r="DV20" s="410">
        <f t="shared" si="16"/>
        <v>0</v>
      </c>
      <c r="DW20" s="422">
        <v>0</v>
      </c>
      <c r="DX20" s="422">
        <v>0</v>
      </c>
      <c r="DY20" s="422">
        <v>0</v>
      </c>
      <c r="DZ20" s="422">
        <v>0</v>
      </c>
      <c r="EA20" s="423">
        <v>0</v>
      </c>
      <c r="EB20" s="423">
        <v>0</v>
      </c>
      <c r="EC20" s="423">
        <v>0</v>
      </c>
      <c r="ED20" s="423">
        <v>0</v>
      </c>
      <c r="EE20" s="423">
        <v>0</v>
      </c>
      <c r="EF20" s="423">
        <v>0</v>
      </c>
      <c r="EG20" s="423">
        <v>0</v>
      </c>
      <c r="EH20" s="423">
        <v>0</v>
      </c>
      <c r="EI20" s="410">
        <f t="shared" si="17"/>
        <v>0</v>
      </c>
      <c r="EJ20" s="422">
        <v>0</v>
      </c>
      <c r="EK20" s="422">
        <v>0</v>
      </c>
      <c r="EL20" s="422">
        <v>0</v>
      </c>
      <c r="EM20" s="422">
        <v>0</v>
      </c>
      <c r="EN20" s="423">
        <v>0</v>
      </c>
      <c r="EO20" s="423">
        <v>0</v>
      </c>
      <c r="EP20" s="423">
        <v>0</v>
      </c>
      <c r="EQ20" s="423">
        <v>0</v>
      </c>
      <c r="ER20" s="423">
        <v>0</v>
      </c>
      <c r="ES20" s="423">
        <v>0</v>
      </c>
      <c r="ET20" s="423">
        <v>0</v>
      </c>
      <c r="EU20" s="423">
        <v>0</v>
      </c>
      <c r="EV20" s="410">
        <f t="shared" si="18"/>
        <v>0</v>
      </c>
      <c r="EW20" s="416">
        <f t="shared" si="19"/>
        <v>1.581343722803125E-2</v>
      </c>
      <c r="EX20" s="417">
        <f>IFERROR(VLOOKUP(H20,CEI_012018!$A$1:$U$509,9,FALSE),0)</f>
        <v>0</v>
      </c>
      <c r="EY20" s="417">
        <f>IFERROR(VLOOKUP(H20,CEI_022018!$A$1:$U$509,9,FALSE),0)</f>
        <v>0</v>
      </c>
      <c r="EZ20" s="417">
        <f>IFERROR(VLOOKUP(H20,CEI_032018!$A$1:$U$509,9,FALSE),0)</f>
        <v>0</v>
      </c>
      <c r="FA20" s="417">
        <f>IFERROR(VLOOKUP(H20,CEI_042018!$A$1:$U$491,9,FALSE),0)</f>
        <v>0</v>
      </c>
      <c r="FB20" s="417">
        <f>IFERROR(VLOOKUP(H20,CEI_052018!$A$1:$U$489,9,FALSE),0)</f>
        <v>0</v>
      </c>
      <c r="FC20" s="417">
        <f>IFERROR(VLOOKUP(H20,CEI_062018!$A$1:$U$489,9,FALSE),0)</f>
        <v>0</v>
      </c>
      <c r="FD20" s="417">
        <f>IFERROR(VLOOKUP(H20,CEI_072018!$A$1:$U$489,9,FALSE),0)</f>
        <v>0</v>
      </c>
      <c r="FE20" s="417">
        <f>IFERROR(VLOOKUP(H20,CEI_082018!$A$1:$U$489,9,FALSE),0)</f>
        <v>0</v>
      </c>
      <c r="FF20" s="417">
        <f>IFERROR(VLOOKUP(H20,CEI_092018!$A$1:$U$489,9,FALSE),0)</f>
        <v>0</v>
      </c>
      <c r="FG20" s="417"/>
      <c r="FH20" s="417"/>
      <c r="FI20" s="417"/>
      <c r="FJ20" s="418">
        <f>IFERROR(VLOOKUP(H20,CEI_092018!$A$1:$U$489,12,FALSE),0)</f>
        <v>0</v>
      </c>
      <c r="FK20" s="418">
        <f t="shared" si="11"/>
        <v>0</v>
      </c>
      <c r="FL20" s="418">
        <f t="shared" si="12"/>
        <v>0</v>
      </c>
      <c r="FM20" s="417"/>
      <c r="FN20" s="417"/>
      <c r="FO20" s="417"/>
      <c r="FP20" s="417"/>
      <c r="FQ20" s="417"/>
      <c r="FR20" s="417"/>
      <c r="FS20" s="417"/>
      <c r="FT20" s="417"/>
      <c r="FU20" s="417"/>
      <c r="FV20" s="417"/>
      <c r="FW20" s="417"/>
      <c r="FX20" s="417"/>
      <c r="FY20" s="418"/>
      <c r="FZ20" s="418"/>
      <c r="GA20" s="418"/>
      <c r="GB20" s="417"/>
      <c r="GC20" s="417"/>
      <c r="GD20" s="417"/>
      <c r="GE20" s="417"/>
      <c r="GF20" s="417"/>
      <c r="GG20" s="417"/>
      <c r="GH20" s="417"/>
      <c r="GI20" s="417"/>
      <c r="GJ20" s="417"/>
      <c r="GK20" s="417"/>
      <c r="GL20" s="417"/>
      <c r="GM20" s="417"/>
      <c r="GN20" s="418"/>
      <c r="GO20" s="418"/>
      <c r="GP20" s="418"/>
      <c r="GQ20" s="417"/>
      <c r="GR20" s="417"/>
      <c r="GS20" s="417"/>
      <c r="GT20" s="417"/>
      <c r="GU20" s="417"/>
      <c r="GV20" s="417"/>
      <c r="GW20" s="417"/>
      <c r="GX20" s="417"/>
      <c r="GY20" s="417"/>
      <c r="GZ20" s="417"/>
      <c r="HA20" s="417"/>
      <c r="HB20" s="417"/>
      <c r="HC20" s="418"/>
      <c r="HD20" s="418"/>
      <c r="HE20" s="418"/>
      <c r="HF20" s="417"/>
      <c r="HG20" s="417"/>
      <c r="HH20" s="417"/>
      <c r="HI20" s="417"/>
      <c r="HJ20" s="417"/>
      <c r="HK20" s="417"/>
      <c r="HL20" s="417"/>
      <c r="HM20" s="417"/>
      <c r="HN20" s="417"/>
      <c r="HO20" s="417"/>
      <c r="HP20" s="417"/>
      <c r="HQ20" s="417"/>
      <c r="HR20" s="418"/>
      <c r="HS20" s="418"/>
      <c r="HT20" s="418"/>
    </row>
    <row r="21" spans="1:228" s="387" customFormat="1" ht="12.95" customHeight="1" x14ac:dyDescent="0.2">
      <c r="A21" s="406" t="s">
        <v>55</v>
      </c>
      <c r="B21" s="407" t="s">
        <v>39</v>
      </c>
      <c r="C21" s="406" t="s">
        <v>53</v>
      </c>
      <c r="D21" s="407" t="s">
        <v>564</v>
      </c>
      <c r="E21" s="407" t="s">
        <v>53</v>
      </c>
      <c r="F21" s="407" t="s">
        <v>564</v>
      </c>
      <c r="G21" s="406" t="s">
        <v>54</v>
      </c>
      <c r="H21" s="408" t="s">
        <v>1596</v>
      </c>
      <c r="I21" s="424" t="s">
        <v>1950</v>
      </c>
      <c r="J21" s="425" t="s">
        <v>563</v>
      </c>
      <c r="K21" s="408" t="s">
        <v>76</v>
      </c>
      <c r="L21" s="406" t="s">
        <v>565</v>
      </c>
      <c r="M21" s="406"/>
      <c r="N21" s="452">
        <v>0</v>
      </c>
      <c r="O21" s="452">
        <v>0</v>
      </c>
      <c r="P21" s="452">
        <v>0</v>
      </c>
      <c r="Q21" s="452">
        <v>0</v>
      </c>
      <c r="R21" s="452">
        <v>0</v>
      </c>
      <c r="S21" s="452">
        <v>0</v>
      </c>
      <c r="T21" s="452">
        <v>0</v>
      </c>
      <c r="U21" s="409">
        <v>0</v>
      </c>
      <c r="V21" s="409"/>
      <c r="W21" s="409"/>
      <c r="X21" s="409">
        <v>25</v>
      </c>
      <c r="Y21" s="409">
        <v>10</v>
      </c>
      <c r="Z21" s="453">
        <f t="shared" si="13"/>
        <v>35</v>
      </c>
      <c r="AA21" s="452">
        <v>13</v>
      </c>
      <c r="AB21" s="452">
        <v>13</v>
      </c>
      <c r="AC21" s="452">
        <v>13</v>
      </c>
      <c r="AD21" s="452"/>
      <c r="AE21" s="452"/>
      <c r="AF21" s="452"/>
      <c r="AG21" s="452"/>
      <c r="AH21" s="409">
        <v>142</v>
      </c>
      <c r="AI21" s="409">
        <v>142</v>
      </c>
      <c r="AJ21" s="409">
        <v>142</v>
      </c>
      <c r="AK21" s="409">
        <v>142</v>
      </c>
      <c r="AL21" s="409">
        <v>145</v>
      </c>
      <c r="AM21" s="453">
        <f t="shared" si="0"/>
        <v>752</v>
      </c>
      <c r="AN21" s="452"/>
      <c r="AO21" s="452"/>
      <c r="AP21" s="452"/>
      <c r="AQ21" s="452"/>
      <c r="AR21" s="452"/>
      <c r="AS21" s="452"/>
      <c r="AT21" s="452"/>
      <c r="AU21" s="409"/>
      <c r="AV21" s="409"/>
      <c r="AW21" s="409"/>
      <c r="AX21" s="409"/>
      <c r="AY21" s="409"/>
      <c r="AZ21" s="453">
        <f t="shared" si="1"/>
        <v>0</v>
      </c>
      <c r="BA21" s="452"/>
      <c r="BB21" s="452"/>
      <c r="BC21" s="452"/>
      <c r="BD21" s="452"/>
      <c r="BE21" s="452"/>
      <c r="BF21" s="452"/>
      <c r="BG21" s="452"/>
      <c r="BH21" s="409"/>
      <c r="BI21" s="409"/>
      <c r="BJ21" s="409"/>
      <c r="BK21" s="409"/>
      <c r="BL21" s="409"/>
      <c r="BM21" s="453">
        <f t="shared" si="2"/>
        <v>0</v>
      </c>
      <c r="BN21" s="452"/>
      <c r="BO21" s="452"/>
      <c r="BP21" s="452"/>
      <c r="BQ21" s="452"/>
      <c r="BR21" s="452"/>
      <c r="BS21" s="452"/>
      <c r="BT21" s="452"/>
      <c r="BU21" s="409"/>
      <c r="BV21" s="409"/>
      <c r="BW21" s="409"/>
      <c r="BX21" s="409"/>
      <c r="BY21" s="409"/>
      <c r="BZ21" s="453">
        <f t="shared" si="3"/>
        <v>0</v>
      </c>
      <c r="CA21" s="454">
        <f t="shared" si="4"/>
        <v>787</v>
      </c>
      <c r="CB21" s="419"/>
      <c r="CC21" s="419">
        <v>1</v>
      </c>
      <c r="CD21" s="419">
        <v>1</v>
      </c>
      <c r="CE21" s="419">
        <v>1</v>
      </c>
      <c r="CF21" s="419">
        <v>-1</v>
      </c>
      <c r="CG21" s="420">
        <f>IFERROR((FE21/Z21%),0)</f>
        <v>0</v>
      </c>
      <c r="CH21" s="421">
        <f>IFERROR((FK21/Z21%),0)</f>
        <v>146.93499973842077</v>
      </c>
      <c r="CI21" s="414" t="s">
        <v>70</v>
      </c>
      <c r="CJ21" s="422">
        <v>0</v>
      </c>
      <c r="CK21" s="422">
        <v>0</v>
      </c>
      <c r="CL21" s="422">
        <v>0</v>
      </c>
      <c r="CM21" s="422">
        <v>0</v>
      </c>
      <c r="CN21" s="422">
        <v>0</v>
      </c>
      <c r="CO21" s="422">
        <v>0</v>
      </c>
      <c r="CP21" s="422">
        <v>0</v>
      </c>
      <c r="CQ21" s="422">
        <v>0</v>
      </c>
      <c r="CR21" s="422">
        <v>0</v>
      </c>
      <c r="CS21" s="422">
        <v>0.10386603220677927</v>
      </c>
      <c r="CT21" s="422">
        <v>0.13848804294237235</v>
      </c>
      <c r="CU21" s="422">
        <v>0.31852249876745642</v>
      </c>
      <c r="CV21" s="410">
        <f t="shared" si="14"/>
        <v>0.56087657391660806</v>
      </c>
      <c r="CW21" s="422">
        <v>0</v>
      </c>
      <c r="CX21" s="422">
        <v>0</v>
      </c>
      <c r="CY21" s="422">
        <v>0</v>
      </c>
      <c r="CZ21" s="422">
        <v>0</v>
      </c>
      <c r="DA21" s="422">
        <v>0</v>
      </c>
      <c r="DB21" s="422">
        <v>0</v>
      </c>
      <c r="DC21" s="422">
        <v>0.18406782334384858</v>
      </c>
      <c r="DD21" s="422">
        <v>0.17144952681388012</v>
      </c>
      <c r="DE21" s="422">
        <v>0.21671451104100944</v>
      </c>
      <c r="DF21" s="422">
        <v>0.3250725552050473</v>
      </c>
      <c r="DG21" s="422">
        <v>0.21671451104100944</v>
      </c>
      <c r="DH21" s="422">
        <v>0</v>
      </c>
      <c r="DI21" s="410">
        <f t="shared" si="15"/>
        <v>1.1140189274447949</v>
      </c>
      <c r="DJ21" s="422">
        <v>0</v>
      </c>
      <c r="DK21" s="422">
        <v>0</v>
      </c>
      <c r="DL21" s="422">
        <v>0</v>
      </c>
      <c r="DM21" s="422">
        <v>0</v>
      </c>
      <c r="DN21" s="422">
        <v>0</v>
      </c>
      <c r="DO21" s="422">
        <v>0</v>
      </c>
      <c r="DP21" s="422">
        <v>0</v>
      </c>
      <c r="DQ21" s="422">
        <v>0</v>
      </c>
      <c r="DR21" s="422">
        <v>0</v>
      </c>
      <c r="DS21" s="422">
        <v>0</v>
      </c>
      <c r="DT21" s="422">
        <v>0</v>
      </c>
      <c r="DU21" s="422">
        <v>0</v>
      </c>
      <c r="DV21" s="410">
        <f t="shared" si="16"/>
        <v>0</v>
      </c>
      <c r="DW21" s="422">
        <v>0</v>
      </c>
      <c r="DX21" s="422">
        <v>0</v>
      </c>
      <c r="DY21" s="422">
        <v>0</v>
      </c>
      <c r="DZ21" s="422">
        <v>0</v>
      </c>
      <c r="EA21" s="422">
        <v>0</v>
      </c>
      <c r="EB21" s="422">
        <v>0</v>
      </c>
      <c r="EC21" s="422">
        <v>0</v>
      </c>
      <c r="ED21" s="422">
        <v>0</v>
      </c>
      <c r="EE21" s="422">
        <v>0</v>
      </c>
      <c r="EF21" s="422">
        <v>0</v>
      </c>
      <c r="EG21" s="422">
        <v>0</v>
      </c>
      <c r="EH21" s="422">
        <v>0</v>
      </c>
      <c r="EI21" s="410">
        <f t="shared" si="17"/>
        <v>0</v>
      </c>
      <c r="EJ21" s="422">
        <v>0</v>
      </c>
      <c r="EK21" s="422">
        <v>0</v>
      </c>
      <c r="EL21" s="422">
        <v>0</v>
      </c>
      <c r="EM21" s="422">
        <v>0</v>
      </c>
      <c r="EN21" s="422">
        <v>0</v>
      </c>
      <c r="EO21" s="422">
        <v>0</v>
      </c>
      <c r="EP21" s="422">
        <v>0</v>
      </c>
      <c r="EQ21" s="422">
        <v>0</v>
      </c>
      <c r="ER21" s="422">
        <v>0</v>
      </c>
      <c r="ES21" s="422">
        <v>0</v>
      </c>
      <c r="ET21" s="422">
        <v>0</v>
      </c>
      <c r="EU21" s="422">
        <v>0</v>
      </c>
      <c r="EV21" s="410">
        <f t="shared" si="18"/>
        <v>0</v>
      </c>
      <c r="EW21" s="416">
        <f t="shared" si="19"/>
        <v>1.6748955013614029</v>
      </c>
      <c r="EX21" s="417">
        <f>IFERROR(VLOOKUP(H21,CEI_012018!$A$1:$U$509,9,FALSE),0)</f>
        <v>0</v>
      </c>
      <c r="EY21" s="417">
        <f>IFERROR(VLOOKUP(H21,CEI_022018!$A$1:$U$509,9,FALSE),0)</f>
        <v>0</v>
      </c>
      <c r="EZ21" s="417">
        <f>IFERROR(VLOOKUP(H21,CEI_032018!$A$1:$U$509,9,FALSE),0)</f>
        <v>0</v>
      </c>
      <c r="FA21" s="417">
        <f>IFERROR(VLOOKUP(H21,CEI_042018!$A$1:$U$491,9,FALSE),0)</f>
        <v>0</v>
      </c>
      <c r="FB21" s="417">
        <f>IFERROR(VLOOKUP(H21,CEI_052018!$A$1:$U$489,9,FALSE),0)</f>
        <v>0</v>
      </c>
      <c r="FC21" s="417">
        <f>IFERROR(VLOOKUP(H21,CEI_062018!$A$1:$U$489,9,FALSE),0)</f>
        <v>0</v>
      </c>
      <c r="FD21" s="417">
        <f>IFERROR(VLOOKUP(H21,CEI_072018!$A$1:$U$489,9,FALSE),0)</f>
        <v>0</v>
      </c>
      <c r="FE21" s="417">
        <f>IFERROR(VLOOKUP(H21,CEI_082018!$A$1:$U$489,9,FALSE),0)</f>
        <v>0</v>
      </c>
      <c r="FF21" s="417">
        <f>IFERROR(VLOOKUP(H21,CEI_092018!$A$1:$U$489,9,FALSE),0)</f>
        <v>0</v>
      </c>
      <c r="FG21" s="417"/>
      <c r="FH21" s="417"/>
      <c r="FI21" s="417"/>
      <c r="FJ21" s="418">
        <f>IFERROR(VLOOKUP(H21,CEI_092018!$A$1:$U$489,12,FALSE),0)</f>
        <v>51.427249908447266</v>
      </c>
      <c r="FK21" s="418">
        <f t="shared" si="11"/>
        <v>51.427249908447266</v>
      </c>
      <c r="FL21" s="418">
        <f t="shared" si="12"/>
        <v>-16.427249908447266</v>
      </c>
      <c r="FM21" s="417"/>
      <c r="FN21" s="417"/>
      <c r="FO21" s="417"/>
      <c r="FP21" s="417"/>
      <c r="FQ21" s="417"/>
      <c r="FR21" s="417"/>
      <c r="FS21" s="417"/>
      <c r="FT21" s="417"/>
      <c r="FU21" s="417"/>
      <c r="FV21" s="417"/>
      <c r="FW21" s="417"/>
      <c r="FX21" s="417"/>
      <c r="FY21" s="418"/>
      <c r="FZ21" s="418"/>
      <c r="GA21" s="418"/>
      <c r="GB21" s="417"/>
      <c r="GC21" s="417"/>
      <c r="GD21" s="417"/>
      <c r="GE21" s="417"/>
      <c r="GF21" s="417"/>
      <c r="GG21" s="417"/>
      <c r="GH21" s="417"/>
      <c r="GI21" s="417"/>
      <c r="GJ21" s="417"/>
      <c r="GK21" s="417"/>
      <c r="GL21" s="417"/>
      <c r="GM21" s="417"/>
      <c r="GN21" s="418"/>
      <c r="GO21" s="418"/>
      <c r="GP21" s="418"/>
      <c r="GQ21" s="417"/>
      <c r="GR21" s="417"/>
      <c r="GS21" s="417"/>
      <c r="GT21" s="417"/>
      <c r="GU21" s="417"/>
      <c r="GV21" s="417"/>
      <c r="GW21" s="417"/>
      <c r="GX21" s="417"/>
      <c r="GY21" s="417"/>
      <c r="GZ21" s="417"/>
      <c r="HA21" s="417"/>
      <c r="HB21" s="417"/>
      <c r="HC21" s="418"/>
      <c r="HD21" s="418"/>
      <c r="HE21" s="418"/>
      <c r="HF21" s="417"/>
      <c r="HG21" s="417"/>
      <c r="HH21" s="417"/>
      <c r="HI21" s="417"/>
      <c r="HJ21" s="417"/>
      <c r="HK21" s="417"/>
      <c r="HL21" s="417"/>
      <c r="HM21" s="417"/>
      <c r="HN21" s="417"/>
      <c r="HO21" s="417"/>
      <c r="HP21" s="417"/>
      <c r="HQ21" s="417"/>
      <c r="HR21" s="418"/>
      <c r="HS21" s="418"/>
      <c r="HT21" s="418"/>
    </row>
    <row r="22" spans="1:228" s="387" customFormat="1" ht="12.95" customHeight="1" x14ac:dyDescent="0.2">
      <c r="A22" s="406" t="s">
        <v>55</v>
      </c>
      <c r="B22" s="407" t="s">
        <v>39</v>
      </c>
      <c r="C22" s="406" t="s">
        <v>53</v>
      </c>
      <c r="D22" s="407" t="s">
        <v>566</v>
      </c>
      <c r="E22" s="407" t="s">
        <v>53</v>
      </c>
      <c r="F22" s="407" t="s">
        <v>566</v>
      </c>
      <c r="G22" s="406" t="s">
        <v>54</v>
      </c>
      <c r="H22" s="408" t="s">
        <v>520</v>
      </c>
      <c r="I22" s="408"/>
      <c r="J22" s="406" t="s">
        <v>544</v>
      </c>
      <c r="K22" s="406" t="s">
        <v>547</v>
      </c>
      <c r="L22" s="406" t="s">
        <v>77</v>
      </c>
      <c r="M22" s="406"/>
      <c r="N22" s="452">
        <v>0</v>
      </c>
      <c r="O22" s="452">
        <v>0</v>
      </c>
      <c r="P22" s="452">
        <v>0</v>
      </c>
      <c r="Q22" s="452">
        <v>0</v>
      </c>
      <c r="R22" s="452">
        <v>0</v>
      </c>
      <c r="S22" s="452">
        <v>0</v>
      </c>
      <c r="T22" s="452">
        <v>0</v>
      </c>
      <c r="U22" s="409">
        <v>0</v>
      </c>
      <c r="V22" s="409"/>
      <c r="W22" s="409"/>
      <c r="X22" s="409"/>
      <c r="Y22" s="409">
        <f>50-3.132</f>
        <v>46.868000000000002</v>
      </c>
      <c r="Z22" s="453">
        <f t="shared" si="13"/>
        <v>46.868000000000002</v>
      </c>
      <c r="AA22" s="452"/>
      <c r="AB22" s="452"/>
      <c r="AC22" s="452"/>
      <c r="AD22" s="452"/>
      <c r="AE22" s="452"/>
      <c r="AF22" s="452"/>
      <c r="AG22" s="452"/>
      <c r="AH22" s="409">
        <v>35</v>
      </c>
      <c r="AI22" s="409">
        <v>35</v>
      </c>
      <c r="AJ22" s="409">
        <v>70</v>
      </c>
      <c r="AK22" s="409">
        <v>70</v>
      </c>
      <c r="AL22" s="409">
        <v>49</v>
      </c>
      <c r="AM22" s="453">
        <f t="shared" si="0"/>
        <v>259</v>
      </c>
      <c r="AN22" s="452">
        <v>126</v>
      </c>
      <c r="AO22" s="452">
        <v>105</v>
      </c>
      <c r="AP22" s="452">
        <v>70</v>
      </c>
      <c r="AQ22" s="452">
        <v>70</v>
      </c>
      <c r="AR22" s="452">
        <v>70</v>
      </c>
      <c r="AS22" s="452"/>
      <c r="AT22" s="452"/>
      <c r="AU22" s="409"/>
      <c r="AV22" s="409"/>
      <c r="AW22" s="409"/>
      <c r="AX22" s="409"/>
      <c r="AY22" s="409"/>
      <c r="AZ22" s="453">
        <f t="shared" si="1"/>
        <v>441</v>
      </c>
      <c r="BA22" s="452"/>
      <c r="BB22" s="452"/>
      <c r="BC22" s="452"/>
      <c r="BD22" s="452"/>
      <c r="BE22" s="452"/>
      <c r="BF22" s="452"/>
      <c r="BG22" s="452"/>
      <c r="BH22" s="409"/>
      <c r="BI22" s="409"/>
      <c r="BJ22" s="409"/>
      <c r="BK22" s="409"/>
      <c r="BL22" s="409"/>
      <c r="BM22" s="453">
        <f t="shared" si="2"/>
        <v>0</v>
      </c>
      <c r="BN22" s="452"/>
      <c r="BO22" s="452"/>
      <c r="BP22" s="452"/>
      <c r="BQ22" s="452"/>
      <c r="BR22" s="452"/>
      <c r="BS22" s="452"/>
      <c r="BT22" s="452"/>
      <c r="BU22" s="409"/>
      <c r="BV22" s="409"/>
      <c r="BW22" s="409"/>
      <c r="BX22" s="409"/>
      <c r="BY22" s="409"/>
      <c r="BZ22" s="453">
        <f t="shared" si="3"/>
        <v>0</v>
      </c>
      <c r="CA22" s="454">
        <f t="shared" si="4"/>
        <v>746.86800000000005</v>
      </c>
      <c r="CB22" s="419"/>
      <c r="CC22" s="419">
        <v>-1</v>
      </c>
      <c r="CD22" s="419">
        <v>-1</v>
      </c>
      <c r="CE22" s="419">
        <v>-1</v>
      </c>
      <c r="CF22" s="419">
        <v>-1</v>
      </c>
      <c r="CG22" s="420">
        <f>IFERROR((FE22/Z22%),0)</f>
        <v>0</v>
      </c>
      <c r="CH22" s="421">
        <f>IFERROR((FK22/Z22%),0)</f>
        <v>0</v>
      </c>
      <c r="CI22" s="414" t="s">
        <v>70</v>
      </c>
      <c r="CJ22" s="423">
        <v>0</v>
      </c>
      <c r="CK22" s="423">
        <v>0</v>
      </c>
      <c r="CL22" s="423">
        <v>0</v>
      </c>
      <c r="CM22" s="423">
        <v>0</v>
      </c>
      <c r="CN22" s="423">
        <v>0</v>
      </c>
      <c r="CO22" s="423">
        <v>0</v>
      </c>
      <c r="CP22" s="423">
        <v>0</v>
      </c>
      <c r="CQ22" s="423">
        <v>0</v>
      </c>
      <c r="CR22" s="423">
        <v>0</v>
      </c>
      <c r="CS22" s="423">
        <v>0</v>
      </c>
      <c r="CT22" s="423">
        <v>0</v>
      </c>
      <c r="CU22" s="423">
        <v>1.2885130096004527E-2</v>
      </c>
      <c r="CV22" s="410">
        <f t="shared" si="14"/>
        <v>1.2885130096004527E-2</v>
      </c>
      <c r="CW22" s="423">
        <v>0</v>
      </c>
      <c r="CX22" s="423">
        <v>0</v>
      </c>
      <c r="CY22" s="423">
        <v>0</v>
      </c>
      <c r="CZ22" s="423">
        <v>0</v>
      </c>
      <c r="DA22" s="423">
        <v>0</v>
      </c>
      <c r="DB22" s="423">
        <v>0</v>
      </c>
      <c r="DC22" s="423">
        <v>0</v>
      </c>
      <c r="DD22" s="423">
        <v>4.9416991337597662E-3</v>
      </c>
      <c r="DE22" s="423">
        <v>4.9416991337597662E-3</v>
      </c>
      <c r="DF22" s="423">
        <v>9.8833982675195324E-3</v>
      </c>
      <c r="DG22" s="423">
        <v>9.8833982675195324E-3</v>
      </c>
      <c r="DH22" s="423">
        <v>1.4825097401279297E-2</v>
      </c>
      <c r="DI22" s="410">
        <f t="shared" si="15"/>
        <v>4.4475292203837891E-2</v>
      </c>
      <c r="DJ22" s="423">
        <v>1.1966828168866257E-2</v>
      </c>
      <c r="DK22" s="423">
        <v>1.1966828168866257E-2</v>
      </c>
      <c r="DL22" s="423">
        <v>7.9778854459108383E-3</v>
      </c>
      <c r="DM22" s="423">
        <v>7.9778854459108383E-3</v>
      </c>
      <c r="DN22" s="423">
        <v>3.9889427229554191E-3</v>
      </c>
      <c r="DO22" s="423">
        <v>0</v>
      </c>
      <c r="DP22" s="423">
        <v>0</v>
      </c>
      <c r="DQ22" s="423">
        <v>0</v>
      </c>
      <c r="DR22" s="423">
        <v>0</v>
      </c>
      <c r="DS22" s="423">
        <v>0</v>
      </c>
      <c r="DT22" s="423">
        <v>0</v>
      </c>
      <c r="DU22" s="423">
        <v>0</v>
      </c>
      <c r="DV22" s="410">
        <f t="shared" si="16"/>
        <v>4.3878369952509613E-2</v>
      </c>
      <c r="DW22" s="423">
        <v>0</v>
      </c>
      <c r="DX22" s="423">
        <v>0</v>
      </c>
      <c r="DY22" s="423">
        <v>0</v>
      </c>
      <c r="DZ22" s="423">
        <v>0</v>
      </c>
      <c r="EA22" s="423">
        <v>0</v>
      </c>
      <c r="EB22" s="423">
        <v>0</v>
      </c>
      <c r="EC22" s="423">
        <v>0</v>
      </c>
      <c r="ED22" s="423">
        <v>0</v>
      </c>
      <c r="EE22" s="423">
        <v>0</v>
      </c>
      <c r="EF22" s="423">
        <v>0</v>
      </c>
      <c r="EG22" s="423">
        <v>0</v>
      </c>
      <c r="EH22" s="423">
        <v>0</v>
      </c>
      <c r="EI22" s="410">
        <f t="shared" si="17"/>
        <v>0</v>
      </c>
      <c r="EJ22" s="423">
        <v>0</v>
      </c>
      <c r="EK22" s="423">
        <v>0</v>
      </c>
      <c r="EL22" s="423">
        <v>0</v>
      </c>
      <c r="EM22" s="423">
        <v>0</v>
      </c>
      <c r="EN22" s="423">
        <v>0</v>
      </c>
      <c r="EO22" s="423">
        <v>0</v>
      </c>
      <c r="EP22" s="423">
        <v>0</v>
      </c>
      <c r="EQ22" s="423">
        <v>0</v>
      </c>
      <c r="ER22" s="423">
        <v>0</v>
      </c>
      <c r="ES22" s="423">
        <v>0</v>
      </c>
      <c r="ET22" s="423">
        <v>0</v>
      </c>
      <c r="EU22" s="423">
        <v>0</v>
      </c>
      <c r="EV22" s="410">
        <f t="shared" si="18"/>
        <v>0</v>
      </c>
      <c r="EW22" s="416">
        <f t="shared" si="19"/>
        <v>0.10123879225235204</v>
      </c>
      <c r="EX22" s="417">
        <f>IFERROR(VLOOKUP(H22,CEI_012018!$A$1:$U$509,9,FALSE),0)</f>
        <v>0</v>
      </c>
      <c r="EY22" s="417">
        <f>IFERROR(VLOOKUP(H22,CEI_022018!$A$1:$U$509,9,FALSE),0)</f>
        <v>0</v>
      </c>
      <c r="EZ22" s="417">
        <f>IFERROR(VLOOKUP(H22,CEI_032018!$A$1:$U$509,9,FALSE),0)</f>
        <v>0</v>
      </c>
      <c r="FA22" s="417">
        <f>IFERROR(VLOOKUP(H22,CEI_042018!$A$1:$U$491,9,FALSE),0)</f>
        <v>0</v>
      </c>
      <c r="FB22" s="417">
        <f>IFERROR(VLOOKUP(H22,CEI_052018!$A$1:$U$489,9,FALSE),0)</f>
        <v>0</v>
      </c>
      <c r="FC22" s="417">
        <f>IFERROR(VLOOKUP(H22,CEI_062018!$A$1:$U$489,9,FALSE),0)</f>
        <v>0</v>
      </c>
      <c r="FD22" s="417">
        <f>IFERROR(VLOOKUP(H22,CEI_072018!$A$1:$U$489,9,FALSE),0)</f>
        <v>0</v>
      </c>
      <c r="FE22" s="417">
        <f>IFERROR(VLOOKUP(H22,CEI_082018!$A$1:$U$489,9,FALSE),0)</f>
        <v>0</v>
      </c>
      <c r="FF22" s="417">
        <f>IFERROR(VLOOKUP(H22,CEI_092018!$A$1:$U$489,9,FALSE),0)</f>
        <v>0</v>
      </c>
      <c r="FG22" s="417"/>
      <c r="FH22" s="417"/>
      <c r="FI22" s="417"/>
      <c r="FJ22" s="418">
        <f>IFERROR(VLOOKUP(H22,CEI_092018!$A$1:$U$489,12,FALSE),0)</f>
        <v>0</v>
      </c>
      <c r="FK22" s="418">
        <f t="shared" si="11"/>
        <v>0</v>
      </c>
      <c r="FL22" s="418">
        <f t="shared" si="12"/>
        <v>46.868000000000002</v>
      </c>
      <c r="FM22" s="417"/>
      <c r="FN22" s="417"/>
      <c r="FO22" s="417"/>
      <c r="FP22" s="417"/>
      <c r="FQ22" s="417"/>
      <c r="FR22" s="417"/>
      <c r="FS22" s="417"/>
      <c r="FT22" s="417"/>
      <c r="FU22" s="417"/>
      <c r="FV22" s="417"/>
      <c r="FW22" s="417"/>
      <c r="FX22" s="417"/>
      <c r="FY22" s="418"/>
      <c r="FZ22" s="418"/>
      <c r="GA22" s="418"/>
      <c r="GB22" s="417"/>
      <c r="GC22" s="417"/>
      <c r="GD22" s="417"/>
      <c r="GE22" s="417"/>
      <c r="GF22" s="417"/>
      <c r="GG22" s="417"/>
      <c r="GH22" s="417"/>
      <c r="GI22" s="417"/>
      <c r="GJ22" s="417"/>
      <c r="GK22" s="417"/>
      <c r="GL22" s="417"/>
      <c r="GM22" s="417"/>
      <c r="GN22" s="418"/>
      <c r="GO22" s="418"/>
      <c r="GP22" s="418"/>
      <c r="GQ22" s="417"/>
      <c r="GR22" s="417"/>
      <c r="GS22" s="417"/>
      <c r="GT22" s="417"/>
      <c r="GU22" s="417"/>
      <c r="GV22" s="417"/>
      <c r="GW22" s="417"/>
      <c r="GX22" s="417"/>
      <c r="GY22" s="417"/>
      <c r="GZ22" s="417"/>
      <c r="HA22" s="417"/>
      <c r="HB22" s="417"/>
      <c r="HC22" s="418"/>
      <c r="HD22" s="418"/>
      <c r="HE22" s="418"/>
      <c r="HF22" s="417"/>
      <c r="HG22" s="417"/>
      <c r="HH22" s="417"/>
      <c r="HI22" s="417"/>
      <c r="HJ22" s="417"/>
      <c r="HK22" s="417"/>
      <c r="HL22" s="417"/>
      <c r="HM22" s="417"/>
      <c r="HN22" s="417"/>
      <c r="HO22" s="417"/>
      <c r="HP22" s="417"/>
      <c r="HQ22" s="417"/>
      <c r="HR22" s="418"/>
      <c r="HS22" s="418"/>
      <c r="HT22" s="418"/>
    </row>
    <row r="23" spans="1:228" s="387" customFormat="1" ht="12.95" customHeight="1" x14ac:dyDescent="0.2">
      <c r="A23" s="406" t="s">
        <v>55</v>
      </c>
      <c r="B23" s="407" t="s">
        <v>39</v>
      </c>
      <c r="C23" s="406" t="s">
        <v>53</v>
      </c>
      <c r="D23" s="407" t="s">
        <v>569</v>
      </c>
      <c r="E23" s="407" t="s">
        <v>53</v>
      </c>
      <c r="F23" s="407" t="s">
        <v>569</v>
      </c>
      <c r="G23" s="406" t="s">
        <v>54</v>
      </c>
      <c r="H23" s="408" t="s">
        <v>520</v>
      </c>
      <c r="I23" s="408"/>
      <c r="J23" s="406" t="s">
        <v>87</v>
      </c>
      <c r="K23" s="406" t="s">
        <v>88</v>
      </c>
      <c r="L23" s="406" t="s">
        <v>77</v>
      </c>
      <c r="M23" s="406"/>
      <c r="N23" s="452">
        <v>0</v>
      </c>
      <c r="O23" s="452">
        <v>0</v>
      </c>
      <c r="P23" s="452">
        <v>0</v>
      </c>
      <c r="Q23" s="452">
        <v>0</v>
      </c>
      <c r="R23" s="452">
        <v>0</v>
      </c>
      <c r="S23" s="452">
        <v>0</v>
      </c>
      <c r="T23" s="452">
        <v>0</v>
      </c>
      <c r="U23" s="409">
        <v>0</v>
      </c>
      <c r="V23" s="409"/>
      <c r="W23" s="409"/>
      <c r="X23" s="409"/>
      <c r="Y23" s="409"/>
      <c r="Z23" s="453">
        <f t="shared" si="13"/>
        <v>0</v>
      </c>
      <c r="AA23" s="452"/>
      <c r="AB23" s="452">
        <v>50</v>
      </c>
      <c r="AC23" s="452"/>
      <c r="AD23" s="452"/>
      <c r="AE23" s="452"/>
      <c r="AF23" s="452"/>
      <c r="AG23" s="452">
        <v>90</v>
      </c>
      <c r="AH23" s="409"/>
      <c r="AI23" s="409"/>
      <c r="AJ23" s="409"/>
      <c r="AK23" s="409"/>
      <c r="AL23" s="409"/>
      <c r="AM23" s="453">
        <f t="shared" si="0"/>
        <v>140</v>
      </c>
      <c r="AN23" s="452"/>
      <c r="AO23" s="452"/>
      <c r="AP23" s="452"/>
      <c r="AQ23" s="452"/>
      <c r="AR23" s="452"/>
      <c r="AS23" s="452"/>
      <c r="AT23" s="452"/>
      <c r="AU23" s="409"/>
      <c r="AV23" s="409"/>
      <c r="AW23" s="409"/>
      <c r="AX23" s="409"/>
      <c r="AY23" s="409"/>
      <c r="AZ23" s="453">
        <f t="shared" si="1"/>
        <v>0</v>
      </c>
      <c r="BA23" s="452"/>
      <c r="BB23" s="452"/>
      <c r="BC23" s="452"/>
      <c r="BD23" s="452"/>
      <c r="BE23" s="452"/>
      <c r="BF23" s="452"/>
      <c r="BG23" s="452"/>
      <c r="BH23" s="409"/>
      <c r="BI23" s="409"/>
      <c r="BJ23" s="409"/>
      <c r="BK23" s="409"/>
      <c r="BL23" s="409"/>
      <c r="BM23" s="453">
        <f t="shared" si="2"/>
        <v>0</v>
      </c>
      <c r="BN23" s="452"/>
      <c r="BO23" s="452"/>
      <c r="BP23" s="452"/>
      <c r="BQ23" s="452"/>
      <c r="BR23" s="452"/>
      <c r="BS23" s="452"/>
      <c r="BT23" s="452"/>
      <c r="BU23" s="409"/>
      <c r="BV23" s="409"/>
      <c r="BW23" s="409"/>
      <c r="BX23" s="409"/>
      <c r="BY23" s="409"/>
      <c r="BZ23" s="453">
        <f t="shared" si="3"/>
        <v>0</v>
      </c>
      <c r="CA23" s="454">
        <f t="shared" si="4"/>
        <v>140</v>
      </c>
      <c r="CB23" s="411"/>
      <c r="CC23" s="411"/>
      <c r="CD23" s="411"/>
      <c r="CE23" s="411"/>
      <c r="CF23" s="411"/>
      <c r="CG23" s="412"/>
      <c r="CH23" s="413"/>
      <c r="CI23" s="414" t="s">
        <v>70</v>
      </c>
      <c r="CJ23" s="422">
        <v>0</v>
      </c>
      <c r="CK23" s="422">
        <v>0</v>
      </c>
      <c r="CL23" s="422">
        <v>0</v>
      </c>
      <c r="CM23" s="422">
        <v>0</v>
      </c>
      <c r="CN23" s="423">
        <v>0</v>
      </c>
      <c r="CO23" s="423">
        <v>0</v>
      </c>
      <c r="CP23" s="423">
        <v>0</v>
      </c>
      <c r="CQ23" s="423">
        <v>0</v>
      </c>
      <c r="CR23" s="423">
        <v>0</v>
      </c>
      <c r="CS23" s="423">
        <v>0</v>
      </c>
      <c r="CT23" s="423">
        <v>0</v>
      </c>
      <c r="CU23" s="423">
        <v>0</v>
      </c>
      <c r="CV23" s="410">
        <f t="shared" si="14"/>
        <v>0</v>
      </c>
      <c r="CW23" s="422">
        <v>0</v>
      </c>
      <c r="CX23" s="422">
        <v>7.0595701910853795E-3</v>
      </c>
      <c r="CY23" s="422">
        <v>0</v>
      </c>
      <c r="CZ23" s="422">
        <v>0</v>
      </c>
      <c r="DA23" s="423">
        <v>0</v>
      </c>
      <c r="DB23" s="423">
        <v>0</v>
      </c>
      <c r="DC23" s="423">
        <v>1.2707226343953684E-2</v>
      </c>
      <c r="DD23" s="423">
        <v>0</v>
      </c>
      <c r="DE23" s="423">
        <v>0</v>
      </c>
      <c r="DF23" s="423">
        <v>0</v>
      </c>
      <c r="DG23" s="423">
        <v>0</v>
      </c>
      <c r="DH23" s="423">
        <v>0</v>
      </c>
      <c r="DI23" s="410">
        <f t="shared" si="15"/>
        <v>1.9766796535039065E-2</v>
      </c>
      <c r="DJ23" s="422">
        <v>0</v>
      </c>
      <c r="DK23" s="422">
        <v>0</v>
      </c>
      <c r="DL23" s="422">
        <v>0</v>
      </c>
      <c r="DM23" s="422">
        <v>0</v>
      </c>
      <c r="DN23" s="423">
        <v>0</v>
      </c>
      <c r="DO23" s="423">
        <v>0</v>
      </c>
      <c r="DP23" s="423">
        <v>0</v>
      </c>
      <c r="DQ23" s="423">
        <v>0</v>
      </c>
      <c r="DR23" s="423">
        <v>0</v>
      </c>
      <c r="DS23" s="423">
        <v>0</v>
      </c>
      <c r="DT23" s="423">
        <v>0</v>
      </c>
      <c r="DU23" s="423">
        <v>0</v>
      </c>
      <c r="DV23" s="410">
        <f t="shared" si="16"/>
        <v>0</v>
      </c>
      <c r="DW23" s="422">
        <v>0</v>
      </c>
      <c r="DX23" s="422">
        <v>0</v>
      </c>
      <c r="DY23" s="422">
        <v>0</v>
      </c>
      <c r="DZ23" s="422">
        <v>0</v>
      </c>
      <c r="EA23" s="423">
        <v>0</v>
      </c>
      <c r="EB23" s="423">
        <v>0</v>
      </c>
      <c r="EC23" s="423">
        <v>0</v>
      </c>
      <c r="ED23" s="423">
        <v>0</v>
      </c>
      <c r="EE23" s="423">
        <v>0</v>
      </c>
      <c r="EF23" s="423">
        <v>0</v>
      </c>
      <c r="EG23" s="423">
        <v>0</v>
      </c>
      <c r="EH23" s="423">
        <v>0</v>
      </c>
      <c r="EI23" s="410">
        <f t="shared" si="17"/>
        <v>0</v>
      </c>
      <c r="EJ23" s="422">
        <v>0</v>
      </c>
      <c r="EK23" s="422">
        <v>0</v>
      </c>
      <c r="EL23" s="422">
        <v>0</v>
      </c>
      <c r="EM23" s="422">
        <v>0</v>
      </c>
      <c r="EN23" s="423">
        <v>0</v>
      </c>
      <c r="EO23" s="423">
        <v>0</v>
      </c>
      <c r="EP23" s="423">
        <v>0</v>
      </c>
      <c r="EQ23" s="423">
        <v>0</v>
      </c>
      <c r="ER23" s="423">
        <v>0</v>
      </c>
      <c r="ES23" s="423">
        <v>0</v>
      </c>
      <c r="ET23" s="423">
        <v>0</v>
      </c>
      <c r="EU23" s="423">
        <v>0</v>
      </c>
      <c r="EV23" s="410">
        <f t="shared" si="18"/>
        <v>0</v>
      </c>
      <c r="EW23" s="416">
        <f t="shared" si="19"/>
        <v>1.9766796535039065E-2</v>
      </c>
      <c r="EX23" s="417">
        <f>IFERROR(VLOOKUP(H23,CEI_012018!$A$1:$U$509,9,FALSE),0)</f>
        <v>0</v>
      </c>
      <c r="EY23" s="417">
        <f>IFERROR(VLOOKUP(H23,CEI_022018!$A$1:$U$509,9,FALSE),0)</f>
        <v>0</v>
      </c>
      <c r="EZ23" s="417">
        <f>IFERROR(VLOOKUP(H23,CEI_032018!$A$1:$U$509,9,FALSE),0)</f>
        <v>0</v>
      </c>
      <c r="FA23" s="417">
        <f>IFERROR(VLOOKUP(H23,CEI_042018!$A$1:$U$491,9,FALSE),0)</f>
        <v>0</v>
      </c>
      <c r="FB23" s="417">
        <f>IFERROR(VLOOKUP(H23,CEI_052018!$A$1:$U$489,9,FALSE),0)</f>
        <v>0</v>
      </c>
      <c r="FC23" s="417">
        <f>IFERROR(VLOOKUP(H23,CEI_062018!$A$1:$U$489,9,FALSE),0)</f>
        <v>0</v>
      </c>
      <c r="FD23" s="417">
        <f>IFERROR(VLOOKUP(H23,CEI_072018!$A$1:$U$489,9,FALSE),0)</f>
        <v>0</v>
      </c>
      <c r="FE23" s="417">
        <f>IFERROR(VLOOKUP(H23,CEI_082018!$A$1:$U$489,9,FALSE),0)</f>
        <v>0</v>
      </c>
      <c r="FF23" s="417">
        <f>IFERROR(VLOOKUP(H23,CEI_092018!$A$1:$U$489,9,FALSE),0)</f>
        <v>0</v>
      </c>
      <c r="FG23" s="417"/>
      <c r="FH23" s="417"/>
      <c r="FI23" s="417"/>
      <c r="FJ23" s="418">
        <f>IFERROR(VLOOKUP(H23,CEI_092018!$A$1:$U$489,12,FALSE),0)</f>
        <v>0</v>
      </c>
      <c r="FK23" s="418">
        <f t="shared" si="11"/>
        <v>0</v>
      </c>
      <c r="FL23" s="418">
        <f t="shared" si="12"/>
        <v>0</v>
      </c>
      <c r="FM23" s="417"/>
      <c r="FN23" s="417"/>
      <c r="FO23" s="417"/>
      <c r="FP23" s="417"/>
      <c r="FQ23" s="417"/>
      <c r="FR23" s="417"/>
      <c r="FS23" s="417"/>
      <c r="FT23" s="417"/>
      <c r="FU23" s="417"/>
      <c r="FV23" s="417"/>
      <c r="FW23" s="417"/>
      <c r="FX23" s="417"/>
      <c r="FY23" s="418"/>
      <c r="FZ23" s="418"/>
      <c r="GA23" s="418"/>
      <c r="GB23" s="417"/>
      <c r="GC23" s="417"/>
      <c r="GD23" s="417"/>
      <c r="GE23" s="417"/>
      <c r="GF23" s="417"/>
      <c r="GG23" s="417"/>
      <c r="GH23" s="417"/>
      <c r="GI23" s="417"/>
      <c r="GJ23" s="417"/>
      <c r="GK23" s="417"/>
      <c r="GL23" s="417"/>
      <c r="GM23" s="417"/>
      <c r="GN23" s="418"/>
      <c r="GO23" s="418"/>
      <c r="GP23" s="418"/>
      <c r="GQ23" s="417"/>
      <c r="GR23" s="417"/>
      <c r="GS23" s="417"/>
      <c r="GT23" s="417"/>
      <c r="GU23" s="417"/>
      <c r="GV23" s="417"/>
      <c r="GW23" s="417"/>
      <c r="GX23" s="417"/>
      <c r="GY23" s="417"/>
      <c r="GZ23" s="417"/>
      <c r="HA23" s="417"/>
      <c r="HB23" s="417"/>
      <c r="HC23" s="418"/>
      <c r="HD23" s="418"/>
      <c r="HE23" s="418"/>
      <c r="HF23" s="417"/>
      <c r="HG23" s="417"/>
      <c r="HH23" s="417"/>
      <c r="HI23" s="417"/>
      <c r="HJ23" s="417"/>
      <c r="HK23" s="417"/>
      <c r="HL23" s="417"/>
      <c r="HM23" s="417"/>
      <c r="HN23" s="417"/>
      <c r="HO23" s="417"/>
      <c r="HP23" s="417"/>
      <c r="HQ23" s="417"/>
      <c r="HR23" s="418"/>
      <c r="HS23" s="418"/>
      <c r="HT23" s="418"/>
    </row>
    <row r="24" spans="1:228" s="387" customFormat="1" ht="12.95" customHeight="1" x14ac:dyDescent="0.2">
      <c r="A24" s="406" t="s">
        <v>55</v>
      </c>
      <c r="B24" s="407" t="s">
        <v>39</v>
      </c>
      <c r="C24" s="406" t="s">
        <v>53</v>
      </c>
      <c r="D24" s="407" t="s">
        <v>569</v>
      </c>
      <c r="E24" s="407" t="s">
        <v>53</v>
      </c>
      <c r="F24" s="407" t="s">
        <v>569</v>
      </c>
      <c r="G24" s="406" t="s">
        <v>54</v>
      </c>
      <c r="H24" s="408" t="s">
        <v>520</v>
      </c>
      <c r="I24" s="408"/>
      <c r="J24" s="406" t="s">
        <v>89</v>
      </c>
      <c r="K24" s="406" t="s">
        <v>90</v>
      </c>
      <c r="L24" s="406" t="s">
        <v>77</v>
      </c>
      <c r="M24" s="406"/>
      <c r="N24" s="452">
        <v>0</v>
      </c>
      <c r="O24" s="452">
        <v>0</v>
      </c>
      <c r="P24" s="452">
        <v>0</v>
      </c>
      <c r="Q24" s="452">
        <v>0</v>
      </c>
      <c r="R24" s="452">
        <v>0</v>
      </c>
      <c r="S24" s="452">
        <v>0</v>
      </c>
      <c r="T24" s="452">
        <v>0</v>
      </c>
      <c r="U24" s="409">
        <v>0</v>
      </c>
      <c r="V24" s="409"/>
      <c r="W24" s="409"/>
      <c r="X24" s="409"/>
      <c r="Y24" s="409">
        <v>35</v>
      </c>
      <c r="Z24" s="453">
        <f t="shared" si="13"/>
        <v>35</v>
      </c>
      <c r="AA24" s="452"/>
      <c r="AB24" s="452"/>
      <c r="AC24" s="452"/>
      <c r="AD24" s="452">
        <v>106.322</v>
      </c>
      <c r="AE24" s="452">
        <v>101.762</v>
      </c>
      <c r="AF24" s="452">
        <v>95</v>
      </c>
      <c r="AG24" s="452"/>
      <c r="AH24" s="409"/>
      <c r="AI24" s="409"/>
      <c r="AJ24" s="409"/>
      <c r="AK24" s="409"/>
      <c r="AL24" s="409"/>
      <c r="AM24" s="453">
        <f t="shared" si="0"/>
        <v>303.084</v>
      </c>
      <c r="AN24" s="452"/>
      <c r="AO24" s="452"/>
      <c r="AP24" s="452"/>
      <c r="AQ24" s="452"/>
      <c r="AR24" s="452"/>
      <c r="AS24" s="452"/>
      <c r="AT24" s="452"/>
      <c r="AU24" s="409"/>
      <c r="AV24" s="409"/>
      <c r="AW24" s="409"/>
      <c r="AX24" s="409"/>
      <c r="AY24" s="409"/>
      <c r="AZ24" s="453">
        <f t="shared" si="1"/>
        <v>0</v>
      </c>
      <c r="BA24" s="452"/>
      <c r="BB24" s="452"/>
      <c r="BC24" s="452"/>
      <c r="BD24" s="452"/>
      <c r="BE24" s="452"/>
      <c r="BF24" s="452"/>
      <c r="BG24" s="452"/>
      <c r="BH24" s="409"/>
      <c r="BI24" s="409"/>
      <c r="BJ24" s="409"/>
      <c r="BK24" s="409"/>
      <c r="BL24" s="409"/>
      <c r="BM24" s="453">
        <f t="shared" si="2"/>
        <v>0</v>
      </c>
      <c r="BN24" s="452"/>
      <c r="BO24" s="452"/>
      <c r="BP24" s="452"/>
      <c r="BQ24" s="452"/>
      <c r="BR24" s="452"/>
      <c r="BS24" s="452"/>
      <c r="BT24" s="452"/>
      <c r="BU24" s="409"/>
      <c r="BV24" s="409"/>
      <c r="BW24" s="409"/>
      <c r="BX24" s="409"/>
      <c r="BY24" s="409"/>
      <c r="BZ24" s="453">
        <f t="shared" si="3"/>
        <v>0</v>
      </c>
      <c r="CA24" s="454">
        <f t="shared" si="4"/>
        <v>338.084</v>
      </c>
      <c r="CB24" s="419"/>
      <c r="CC24" s="419">
        <v>-1</v>
      </c>
      <c r="CD24" s="419">
        <v>-1</v>
      </c>
      <c r="CE24" s="419">
        <v>-1</v>
      </c>
      <c r="CF24" s="419">
        <v>-1</v>
      </c>
      <c r="CG24" s="420">
        <f>IFERROR((FE24/Z24%),0)</f>
        <v>0</v>
      </c>
      <c r="CH24" s="421">
        <f>IFERROR((FK24/Z24%),0)</f>
        <v>0</v>
      </c>
      <c r="CI24" s="414" t="s">
        <v>70</v>
      </c>
      <c r="CJ24" s="423">
        <v>0</v>
      </c>
      <c r="CK24" s="423">
        <v>0</v>
      </c>
      <c r="CL24" s="423">
        <v>0</v>
      </c>
      <c r="CM24" s="423">
        <v>0</v>
      </c>
      <c r="CN24" s="423">
        <v>0</v>
      </c>
      <c r="CO24" s="423">
        <v>0</v>
      </c>
      <c r="CP24" s="423">
        <v>0</v>
      </c>
      <c r="CQ24" s="423">
        <v>0</v>
      </c>
      <c r="CR24" s="423">
        <v>0</v>
      </c>
      <c r="CS24" s="423">
        <v>0</v>
      </c>
      <c r="CT24" s="423">
        <v>0</v>
      </c>
      <c r="CU24" s="423">
        <v>1.2885130096004527E-2</v>
      </c>
      <c r="CV24" s="410">
        <f t="shared" si="14"/>
        <v>1.2885130096004527E-2</v>
      </c>
      <c r="CW24" s="423">
        <v>0</v>
      </c>
      <c r="CX24" s="423">
        <v>0</v>
      </c>
      <c r="CY24" s="423">
        <v>0</v>
      </c>
      <c r="CZ24" s="423">
        <v>1.2893881379805981E-2</v>
      </c>
      <c r="DA24" s="423">
        <v>1.4367919635704609E-2</v>
      </c>
      <c r="DB24" s="423">
        <v>1.3413183363062221E-2</v>
      </c>
      <c r="DC24" s="423">
        <v>0</v>
      </c>
      <c r="DD24" s="423">
        <v>0</v>
      </c>
      <c r="DE24" s="423">
        <v>0</v>
      </c>
      <c r="DF24" s="423">
        <v>0</v>
      </c>
      <c r="DG24" s="423">
        <v>0</v>
      </c>
      <c r="DH24" s="423">
        <v>0</v>
      </c>
      <c r="DI24" s="410">
        <f t="shared" si="15"/>
        <v>4.0674984378572809E-2</v>
      </c>
      <c r="DJ24" s="423">
        <v>0</v>
      </c>
      <c r="DK24" s="423">
        <v>0</v>
      </c>
      <c r="DL24" s="423">
        <v>0</v>
      </c>
      <c r="DM24" s="423">
        <v>0</v>
      </c>
      <c r="DN24" s="423">
        <v>0</v>
      </c>
      <c r="DO24" s="423">
        <v>0</v>
      </c>
      <c r="DP24" s="423">
        <v>0</v>
      </c>
      <c r="DQ24" s="423">
        <v>0</v>
      </c>
      <c r="DR24" s="423">
        <v>0</v>
      </c>
      <c r="DS24" s="423">
        <v>0</v>
      </c>
      <c r="DT24" s="423">
        <v>0</v>
      </c>
      <c r="DU24" s="423">
        <v>0</v>
      </c>
      <c r="DV24" s="410">
        <f t="shared" si="16"/>
        <v>0</v>
      </c>
      <c r="DW24" s="423">
        <v>0</v>
      </c>
      <c r="DX24" s="423">
        <v>0</v>
      </c>
      <c r="DY24" s="423">
        <v>0</v>
      </c>
      <c r="DZ24" s="423">
        <v>0</v>
      </c>
      <c r="EA24" s="423">
        <v>0</v>
      </c>
      <c r="EB24" s="423">
        <v>0</v>
      </c>
      <c r="EC24" s="423">
        <v>0</v>
      </c>
      <c r="ED24" s="423">
        <v>0</v>
      </c>
      <c r="EE24" s="423">
        <v>0</v>
      </c>
      <c r="EF24" s="423">
        <v>0</v>
      </c>
      <c r="EG24" s="423">
        <v>0</v>
      </c>
      <c r="EH24" s="423">
        <v>0</v>
      </c>
      <c r="EI24" s="410">
        <f t="shared" si="17"/>
        <v>0</v>
      </c>
      <c r="EJ24" s="423">
        <v>0</v>
      </c>
      <c r="EK24" s="423">
        <v>0</v>
      </c>
      <c r="EL24" s="423">
        <v>0</v>
      </c>
      <c r="EM24" s="423">
        <v>0</v>
      </c>
      <c r="EN24" s="423">
        <v>0</v>
      </c>
      <c r="EO24" s="423">
        <v>0</v>
      </c>
      <c r="EP24" s="423">
        <v>0</v>
      </c>
      <c r="EQ24" s="423">
        <v>0</v>
      </c>
      <c r="ER24" s="423">
        <v>0</v>
      </c>
      <c r="ES24" s="423">
        <v>0</v>
      </c>
      <c r="ET24" s="423">
        <v>0</v>
      </c>
      <c r="EU24" s="423">
        <v>0</v>
      </c>
      <c r="EV24" s="410">
        <f t="shared" si="18"/>
        <v>0</v>
      </c>
      <c r="EW24" s="416">
        <f t="shared" si="19"/>
        <v>5.3560114474577335E-2</v>
      </c>
      <c r="EX24" s="417">
        <f>IFERROR(VLOOKUP(H24,CEI_012018!$A$1:$U$509,9,FALSE),0)</f>
        <v>0</v>
      </c>
      <c r="EY24" s="417">
        <f>IFERROR(VLOOKUP(H24,CEI_022018!$A$1:$U$509,9,FALSE),0)</f>
        <v>0</v>
      </c>
      <c r="EZ24" s="417">
        <f>IFERROR(VLOOKUP(H24,CEI_032018!$A$1:$U$509,9,FALSE),0)</f>
        <v>0</v>
      </c>
      <c r="FA24" s="417">
        <f>IFERROR(VLOOKUP(H24,CEI_042018!$A$1:$U$491,9,FALSE),0)</f>
        <v>0</v>
      </c>
      <c r="FB24" s="417">
        <f>IFERROR(VLOOKUP(H24,CEI_052018!$A$1:$U$489,9,FALSE),0)</f>
        <v>0</v>
      </c>
      <c r="FC24" s="417">
        <f>IFERROR(VLOOKUP(H24,CEI_062018!$A$1:$U$489,9,FALSE),0)</f>
        <v>0</v>
      </c>
      <c r="FD24" s="417">
        <f>IFERROR(VLOOKUP(H24,CEI_072018!$A$1:$U$489,9,FALSE),0)</f>
        <v>0</v>
      </c>
      <c r="FE24" s="417">
        <f>IFERROR(VLOOKUP(H24,CEI_082018!$A$1:$U$489,9,FALSE),0)</f>
        <v>0</v>
      </c>
      <c r="FF24" s="417">
        <f>IFERROR(VLOOKUP(H24,CEI_092018!$A$1:$U$489,9,FALSE),0)</f>
        <v>0</v>
      </c>
      <c r="FG24" s="417"/>
      <c r="FH24" s="417"/>
      <c r="FI24" s="417"/>
      <c r="FJ24" s="418">
        <f>IFERROR(VLOOKUP(H24,CEI_092018!$A$1:$U$489,12,FALSE),0)</f>
        <v>0</v>
      </c>
      <c r="FK24" s="418">
        <f t="shared" si="11"/>
        <v>0</v>
      </c>
      <c r="FL24" s="418">
        <f t="shared" si="12"/>
        <v>35</v>
      </c>
      <c r="FM24" s="417"/>
      <c r="FN24" s="417"/>
      <c r="FO24" s="417"/>
      <c r="FP24" s="417"/>
      <c r="FQ24" s="417"/>
      <c r="FR24" s="417"/>
      <c r="FS24" s="417"/>
      <c r="FT24" s="417"/>
      <c r="FU24" s="417"/>
      <c r="FV24" s="417"/>
      <c r="FW24" s="417"/>
      <c r="FX24" s="417"/>
      <c r="FY24" s="418"/>
      <c r="FZ24" s="418"/>
      <c r="GA24" s="418"/>
      <c r="GB24" s="417"/>
      <c r="GC24" s="417"/>
      <c r="GD24" s="417"/>
      <c r="GE24" s="417"/>
      <c r="GF24" s="417"/>
      <c r="GG24" s="417"/>
      <c r="GH24" s="417"/>
      <c r="GI24" s="417"/>
      <c r="GJ24" s="417"/>
      <c r="GK24" s="417"/>
      <c r="GL24" s="417"/>
      <c r="GM24" s="417"/>
      <c r="GN24" s="418"/>
      <c r="GO24" s="418"/>
      <c r="GP24" s="418"/>
      <c r="GQ24" s="417"/>
      <c r="GR24" s="417"/>
      <c r="GS24" s="417"/>
      <c r="GT24" s="417"/>
      <c r="GU24" s="417"/>
      <c r="GV24" s="417"/>
      <c r="GW24" s="417"/>
      <c r="GX24" s="417"/>
      <c r="GY24" s="417"/>
      <c r="GZ24" s="417"/>
      <c r="HA24" s="417"/>
      <c r="HB24" s="417"/>
      <c r="HC24" s="418"/>
      <c r="HD24" s="418"/>
      <c r="HE24" s="418"/>
      <c r="HF24" s="417"/>
      <c r="HG24" s="417"/>
      <c r="HH24" s="417"/>
      <c r="HI24" s="417"/>
      <c r="HJ24" s="417"/>
      <c r="HK24" s="417"/>
      <c r="HL24" s="417"/>
      <c r="HM24" s="417"/>
      <c r="HN24" s="417"/>
      <c r="HO24" s="417"/>
      <c r="HP24" s="417"/>
      <c r="HQ24" s="417"/>
      <c r="HR24" s="418"/>
      <c r="HS24" s="418"/>
      <c r="HT24" s="418"/>
    </row>
    <row r="25" spans="1:228" s="387" customFormat="1" ht="12.95" customHeight="1" x14ac:dyDescent="0.2">
      <c r="A25" s="406" t="s">
        <v>55</v>
      </c>
      <c r="B25" s="407" t="s">
        <v>39</v>
      </c>
      <c r="C25" s="406" t="s">
        <v>53</v>
      </c>
      <c r="D25" s="407" t="s">
        <v>569</v>
      </c>
      <c r="E25" s="407" t="s">
        <v>53</v>
      </c>
      <c r="F25" s="407" t="s">
        <v>569</v>
      </c>
      <c r="G25" s="406" t="s">
        <v>54</v>
      </c>
      <c r="H25" s="408" t="s">
        <v>520</v>
      </c>
      <c r="I25" s="408"/>
      <c r="J25" s="406" t="s">
        <v>91</v>
      </c>
      <c r="K25" s="406" t="s">
        <v>92</v>
      </c>
      <c r="L25" s="406" t="s">
        <v>77</v>
      </c>
      <c r="M25" s="406"/>
      <c r="N25" s="452">
        <v>0</v>
      </c>
      <c r="O25" s="452">
        <v>0</v>
      </c>
      <c r="P25" s="452">
        <v>0</v>
      </c>
      <c r="Q25" s="452">
        <v>0</v>
      </c>
      <c r="R25" s="452">
        <v>0</v>
      </c>
      <c r="S25" s="452">
        <v>0</v>
      </c>
      <c r="T25" s="452">
        <v>0</v>
      </c>
      <c r="U25" s="409">
        <v>0</v>
      </c>
      <c r="V25" s="409"/>
      <c r="W25" s="409"/>
      <c r="X25" s="409"/>
      <c r="Y25" s="409"/>
      <c r="Z25" s="453">
        <f t="shared" si="13"/>
        <v>0</v>
      </c>
      <c r="AA25" s="452"/>
      <c r="AB25" s="452">
        <v>30</v>
      </c>
      <c r="AC25" s="452"/>
      <c r="AD25" s="452">
        <v>71</v>
      </c>
      <c r="AE25" s="452"/>
      <c r="AF25" s="452"/>
      <c r="AG25" s="452"/>
      <c r="AH25" s="409"/>
      <c r="AI25" s="409"/>
      <c r="AJ25" s="409"/>
      <c r="AK25" s="409"/>
      <c r="AL25" s="409"/>
      <c r="AM25" s="453">
        <f t="shared" si="0"/>
        <v>101</v>
      </c>
      <c r="AN25" s="452"/>
      <c r="AO25" s="452"/>
      <c r="AP25" s="452"/>
      <c r="AQ25" s="452"/>
      <c r="AR25" s="452"/>
      <c r="AS25" s="452"/>
      <c r="AT25" s="452"/>
      <c r="AU25" s="409"/>
      <c r="AV25" s="409">
        <v>67.519000000000005</v>
      </c>
      <c r="AW25" s="409">
        <v>67.519000000000005</v>
      </c>
      <c r="AX25" s="409">
        <v>135.03800000000001</v>
      </c>
      <c r="AY25" s="409">
        <v>135.03800000000001</v>
      </c>
      <c r="AZ25" s="453">
        <f t="shared" si="1"/>
        <v>405.11400000000003</v>
      </c>
      <c r="BA25" s="452">
        <v>202.55600000000001</v>
      </c>
      <c r="BB25" s="452">
        <v>202.566</v>
      </c>
      <c r="BC25" s="452">
        <v>202.55600000000001</v>
      </c>
      <c r="BD25" s="452">
        <v>135.03800000000001</v>
      </c>
      <c r="BE25" s="452">
        <v>135.03800000000001</v>
      </c>
      <c r="BF25" s="452">
        <v>67.42899999999986</v>
      </c>
      <c r="BG25" s="452"/>
      <c r="BH25" s="409"/>
      <c r="BI25" s="409"/>
      <c r="BJ25" s="409"/>
      <c r="BK25" s="409"/>
      <c r="BL25" s="409"/>
      <c r="BM25" s="453">
        <f t="shared" si="2"/>
        <v>945.18299999999988</v>
      </c>
      <c r="BN25" s="452"/>
      <c r="BO25" s="452"/>
      <c r="BP25" s="452"/>
      <c r="BQ25" s="452"/>
      <c r="BR25" s="452"/>
      <c r="BS25" s="452"/>
      <c r="BT25" s="452"/>
      <c r="BU25" s="409"/>
      <c r="BV25" s="409"/>
      <c r="BW25" s="409"/>
      <c r="BX25" s="409"/>
      <c r="BY25" s="409"/>
      <c r="BZ25" s="453">
        <f t="shared" si="3"/>
        <v>0</v>
      </c>
      <c r="CA25" s="454">
        <f t="shared" si="4"/>
        <v>1451.297</v>
      </c>
      <c r="CB25" s="411"/>
      <c r="CC25" s="411"/>
      <c r="CD25" s="411"/>
      <c r="CE25" s="411"/>
      <c r="CF25" s="411"/>
      <c r="CG25" s="412"/>
      <c r="CH25" s="413"/>
      <c r="CI25" s="414" t="s">
        <v>70</v>
      </c>
      <c r="CJ25" s="422">
        <v>0</v>
      </c>
      <c r="CK25" s="422">
        <v>0</v>
      </c>
      <c r="CL25" s="422">
        <v>0</v>
      </c>
      <c r="CM25" s="422">
        <v>0</v>
      </c>
      <c r="CN25" s="423">
        <v>0</v>
      </c>
      <c r="CO25" s="423">
        <v>0</v>
      </c>
      <c r="CP25" s="423">
        <v>0</v>
      </c>
      <c r="CQ25" s="423">
        <v>0</v>
      </c>
      <c r="CR25" s="423">
        <v>0</v>
      </c>
      <c r="CS25" s="423">
        <v>0</v>
      </c>
      <c r="CT25" s="423">
        <v>0</v>
      </c>
      <c r="CU25" s="423">
        <v>0</v>
      </c>
      <c r="CV25" s="410">
        <f t="shared" si="14"/>
        <v>0</v>
      </c>
      <c r="CW25" s="422">
        <v>0</v>
      </c>
      <c r="CX25" s="422">
        <v>4.2357421146512276E-3</v>
      </c>
      <c r="CY25" s="422">
        <v>0</v>
      </c>
      <c r="CZ25" s="422">
        <v>1.002458967134124E-2</v>
      </c>
      <c r="DA25" s="423">
        <v>0</v>
      </c>
      <c r="DB25" s="423">
        <v>0</v>
      </c>
      <c r="DC25" s="423">
        <v>0</v>
      </c>
      <c r="DD25" s="423">
        <v>0</v>
      </c>
      <c r="DE25" s="423">
        <v>0</v>
      </c>
      <c r="DF25" s="423">
        <v>0</v>
      </c>
      <c r="DG25" s="423">
        <v>0</v>
      </c>
      <c r="DH25" s="423">
        <v>0</v>
      </c>
      <c r="DI25" s="410">
        <f t="shared" si="15"/>
        <v>1.4260331785992467E-2</v>
      </c>
      <c r="DJ25" s="422">
        <v>0</v>
      </c>
      <c r="DK25" s="422">
        <v>0</v>
      </c>
      <c r="DL25" s="422">
        <v>0</v>
      </c>
      <c r="DM25" s="422">
        <v>0</v>
      </c>
      <c r="DN25" s="423">
        <v>0</v>
      </c>
      <c r="DO25" s="423">
        <v>0</v>
      </c>
      <c r="DP25" s="423">
        <v>0</v>
      </c>
      <c r="DQ25" s="423">
        <v>0</v>
      </c>
      <c r="DR25" s="423">
        <v>7.6951263917493413E-3</v>
      </c>
      <c r="DS25" s="423">
        <v>7.6951263917493413E-3</v>
      </c>
      <c r="DT25" s="423">
        <v>1.5390252783498683E-2</v>
      </c>
      <c r="DU25" s="423">
        <v>1.5390252783498683E-2</v>
      </c>
      <c r="DV25" s="410">
        <f t="shared" si="16"/>
        <v>4.6170758350496048E-2</v>
      </c>
      <c r="DW25" s="422">
        <v>2.4110038025004183E-2</v>
      </c>
      <c r="DX25" s="422">
        <v>2.4111228314999296E-2</v>
      </c>
      <c r="DY25" s="422">
        <v>2.4110038025004183E-2</v>
      </c>
      <c r="DZ25" s="422">
        <v>1.6073438036002464E-2</v>
      </c>
      <c r="EA25" s="423">
        <v>1.6073438036002464E-2</v>
      </c>
      <c r="EB25" s="423">
        <v>8.0260064080452005E-3</v>
      </c>
      <c r="EC25" s="423">
        <v>0</v>
      </c>
      <c r="ED25" s="423">
        <v>0</v>
      </c>
      <c r="EE25" s="423">
        <v>0</v>
      </c>
      <c r="EF25" s="423">
        <v>0</v>
      </c>
      <c r="EG25" s="423">
        <v>0</v>
      </c>
      <c r="EH25" s="423">
        <v>0</v>
      </c>
      <c r="EI25" s="410">
        <f t="shared" si="17"/>
        <v>0.11250418684505778</v>
      </c>
      <c r="EJ25" s="422">
        <v>0</v>
      </c>
      <c r="EK25" s="422">
        <v>0</v>
      </c>
      <c r="EL25" s="422">
        <v>0</v>
      </c>
      <c r="EM25" s="422">
        <v>0</v>
      </c>
      <c r="EN25" s="423">
        <v>0</v>
      </c>
      <c r="EO25" s="423">
        <v>0</v>
      </c>
      <c r="EP25" s="423">
        <v>0</v>
      </c>
      <c r="EQ25" s="423">
        <v>0</v>
      </c>
      <c r="ER25" s="423">
        <v>0</v>
      </c>
      <c r="ES25" s="423">
        <v>0</v>
      </c>
      <c r="ET25" s="423">
        <v>0</v>
      </c>
      <c r="EU25" s="423">
        <v>0</v>
      </c>
      <c r="EV25" s="410">
        <f t="shared" si="18"/>
        <v>0</v>
      </c>
      <c r="EW25" s="416">
        <f t="shared" si="19"/>
        <v>0.17293527698154632</v>
      </c>
      <c r="EX25" s="417">
        <f>IFERROR(VLOOKUP(H25,CEI_012018!$A$1:$U$509,9,FALSE),0)</f>
        <v>0</v>
      </c>
      <c r="EY25" s="417">
        <f>IFERROR(VLOOKUP(H25,CEI_022018!$A$1:$U$509,9,FALSE),0)</f>
        <v>0</v>
      </c>
      <c r="EZ25" s="417">
        <f>IFERROR(VLOOKUP(H25,CEI_032018!$A$1:$U$509,9,FALSE),0)</f>
        <v>0</v>
      </c>
      <c r="FA25" s="417">
        <f>IFERROR(VLOOKUP(H25,CEI_042018!$A$1:$U$491,9,FALSE),0)</f>
        <v>0</v>
      </c>
      <c r="FB25" s="417">
        <f>IFERROR(VLOOKUP(H25,CEI_052018!$A$1:$U$489,9,FALSE),0)</f>
        <v>0</v>
      </c>
      <c r="FC25" s="417">
        <f>IFERROR(VLOOKUP(H25,CEI_062018!$A$1:$U$489,9,FALSE),0)</f>
        <v>0</v>
      </c>
      <c r="FD25" s="417">
        <f>IFERROR(VLOOKUP(H25,CEI_072018!$A$1:$U$489,9,FALSE),0)</f>
        <v>0</v>
      </c>
      <c r="FE25" s="417">
        <f>IFERROR(VLOOKUP(H25,CEI_082018!$A$1:$U$489,9,FALSE),0)</f>
        <v>0</v>
      </c>
      <c r="FF25" s="417">
        <f>IFERROR(VLOOKUP(H25,CEI_092018!$A$1:$U$489,9,FALSE),0)</f>
        <v>0</v>
      </c>
      <c r="FG25" s="417"/>
      <c r="FH25" s="417"/>
      <c r="FI25" s="417"/>
      <c r="FJ25" s="418">
        <f>IFERROR(VLOOKUP(H25,CEI_092018!$A$1:$U$489,12,FALSE),0)</f>
        <v>0</v>
      </c>
      <c r="FK25" s="418">
        <f t="shared" si="11"/>
        <v>0</v>
      </c>
      <c r="FL25" s="418">
        <f t="shared" si="12"/>
        <v>0</v>
      </c>
      <c r="FM25" s="417"/>
      <c r="FN25" s="417"/>
      <c r="FO25" s="417"/>
      <c r="FP25" s="417"/>
      <c r="FQ25" s="417"/>
      <c r="FR25" s="417"/>
      <c r="FS25" s="417"/>
      <c r="FT25" s="417"/>
      <c r="FU25" s="417"/>
      <c r="FV25" s="417"/>
      <c r="FW25" s="417"/>
      <c r="FX25" s="417"/>
      <c r="FY25" s="418"/>
      <c r="FZ25" s="418"/>
      <c r="GA25" s="418"/>
      <c r="GB25" s="417"/>
      <c r="GC25" s="417"/>
      <c r="GD25" s="417"/>
      <c r="GE25" s="417"/>
      <c r="GF25" s="417"/>
      <c r="GG25" s="417"/>
      <c r="GH25" s="417"/>
      <c r="GI25" s="417"/>
      <c r="GJ25" s="417"/>
      <c r="GK25" s="417"/>
      <c r="GL25" s="417"/>
      <c r="GM25" s="417"/>
      <c r="GN25" s="418"/>
      <c r="GO25" s="418"/>
      <c r="GP25" s="418"/>
      <c r="GQ25" s="417"/>
      <c r="GR25" s="417"/>
      <c r="GS25" s="417"/>
      <c r="GT25" s="417"/>
      <c r="GU25" s="417"/>
      <c r="GV25" s="417"/>
      <c r="GW25" s="417"/>
      <c r="GX25" s="417"/>
      <c r="GY25" s="417"/>
      <c r="GZ25" s="417"/>
      <c r="HA25" s="417"/>
      <c r="HB25" s="417"/>
      <c r="HC25" s="418"/>
      <c r="HD25" s="418"/>
      <c r="HE25" s="418"/>
      <c r="HF25" s="417"/>
      <c r="HG25" s="417"/>
      <c r="HH25" s="417"/>
      <c r="HI25" s="417"/>
      <c r="HJ25" s="417"/>
      <c r="HK25" s="417"/>
      <c r="HL25" s="417"/>
      <c r="HM25" s="417"/>
      <c r="HN25" s="417"/>
      <c r="HO25" s="417"/>
      <c r="HP25" s="417"/>
      <c r="HQ25" s="417"/>
      <c r="HR25" s="418"/>
      <c r="HS25" s="418"/>
      <c r="HT25" s="418"/>
    </row>
    <row r="26" spans="1:228" s="387" customFormat="1" ht="12.95" customHeight="1" x14ac:dyDescent="0.2">
      <c r="A26" s="406" t="s">
        <v>55</v>
      </c>
      <c r="B26" s="407" t="s">
        <v>39</v>
      </c>
      <c r="C26" s="406" t="s">
        <v>53</v>
      </c>
      <c r="D26" s="407" t="s">
        <v>569</v>
      </c>
      <c r="E26" s="407" t="s">
        <v>53</v>
      </c>
      <c r="F26" s="407" t="s">
        <v>569</v>
      </c>
      <c r="G26" s="406" t="s">
        <v>54</v>
      </c>
      <c r="H26" s="408" t="s">
        <v>520</v>
      </c>
      <c r="I26" s="408"/>
      <c r="J26" s="406" t="s">
        <v>93</v>
      </c>
      <c r="K26" s="406" t="s">
        <v>94</v>
      </c>
      <c r="L26" s="406" t="s">
        <v>77</v>
      </c>
      <c r="M26" s="406"/>
      <c r="N26" s="452">
        <v>0</v>
      </c>
      <c r="O26" s="452">
        <v>0</v>
      </c>
      <c r="P26" s="452">
        <v>0</v>
      </c>
      <c r="Q26" s="452">
        <v>0</v>
      </c>
      <c r="R26" s="452">
        <v>0</v>
      </c>
      <c r="S26" s="452">
        <v>0</v>
      </c>
      <c r="T26" s="452">
        <v>0</v>
      </c>
      <c r="U26" s="409">
        <v>0</v>
      </c>
      <c r="V26" s="409"/>
      <c r="W26" s="409"/>
      <c r="X26" s="409"/>
      <c r="Y26" s="409"/>
      <c r="Z26" s="453">
        <f t="shared" si="13"/>
        <v>0</v>
      </c>
      <c r="AA26" s="452"/>
      <c r="AB26" s="452">
        <v>39.462000000000003</v>
      </c>
      <c r="AC26" s="452"/>
      <c r="AD26" s="452">
        <v>92.078000000000003</v>
      </c>
      <c r="AE26" s="452"/>
      <c r="AF26" s="452"/>
      <c r="AG26" s="452"/>
      <c r="AH26" s="409"/>
      <c r="AI26" s="409"/>
      <c r="AJ26" s="409">
        <v>87.144999999999996</v>
      </c>
      <c r="AK26" s="409">
        <v>91.435000000000002</v>
      </c>
      <c r="AL26" s="409">
        <v>94.289999999999992</v>
      </c>
      <c r="AM26" s="453">
        <f t="shared" si="0"/>
        <v>404.40999999999997</v>
      </c>
      <c r="AN26" s="452">
        <v>191.43600000000001</v>
      </c>
      <c r="AO26" s="452">
        <v>111.43600000000001</v>
      </c>
      <c r="AP26" s="452">
        <v>111.43600000000001</v>
      </c>
      <c r="AQ26" s="452">
        <v>124.29</v>
      </c>
      <c r="AR26" s="452">
        <v>139.29</v>
      </c>
      <c r="AS26" s="452">
        <v>87.144999999999996</v>
      </c>
      <c r="AT26" s="452">
        <v>90</v>
      </c>
      <c r="AU26" s="409">
        <f>80+0.128000000000611</f>
        <v>80.128000000000611</v>
      </c>
      <c r="AV26" s="409"/>
      <c r="AW26" s="409"/>
      <c r="AX26" s="409"/>
      <c r="AY26" s="409"/>
      <c r="AZ26" s="453">
        <f t="shared" si="1"/>
        <v>935.16100000000051</v>
      </c>
      <c r="BA26" s="452"/>
      <c r="BB26" s="452"/>
      <c r="BC26" s="452"/>
      <c r="BD26" s="452"/>
      <c r="BE26" s="452"/>
      <c r="BF26" s="452"/>
      <c r="BG26" s="452"/>
      <c r="BH26" s="409"/>
      <c r="BI26" s="409"/>
      <c r="BJ26" s="409"/>
      <c r="BK26" s="409"/>
      <c r="BL26" s="409"/>
      <c r="BM26" s="453">
        <f t="shared" si="2"/>
        <v>0</v>
      </c>
      <c r="BN26" s="452"/>
      <c r="BO26" s="452"/>
      <c r="BP26" s="452"/>
      <c r="BQ26" s="452"/>
      <c r="BR26" s="452"/>
      <c r="BS26" s="452"/>
      <c r="BT26" s="452"/>
      <c r="BU26" s="409"/>
      <c r="BV26" s="409"/>
      <c r="BW26" s="409"/>
      <c r="BX26" s="409"/>
      <c r="BY26" s="409"/>
      <c r="BZ26" s="453">
        <f t="shared" si="3"/>
        <v>0</v>
      </c>
      <c r="CA26" s="454">
        <f t="shared" si="4"/>
        <v>1339.5710000000004</v>
      </c>
      <c r="CB26" s="411"/>
      <c r="CC26" s="411"/>
      <c r="CD26" s="411"/>
      <c r="CE26" s="411"/>
      <c r="CF26" s="411"/>
      <c r="CG26" s="412"/>
      <c r="CH26" s="413"/>
      <c r="CI26" s="414" t="s">
        <v>70</v>
      </c>
      <c r="CJ26" s="422">
        <v>0</v>
      </c>
      <c r="CK26" s="422">
        <v>0</v>
      </c>
      <c r="CL26" s="422">
        <v>0</v>
      </c>
      <c r="CM26" s="422">
        <v>0</v>
      </c>
      <c r="CN26" s="423">
        <v>0</v>
      </c>
      <c r="CO26" s="423">
        <v>0</v>
      </c>
      <c r="CP26" s="423">
        <v>0</v>
      </c>
      <c r="CQ26" s="423">
        <v>0</v>
      </c>
      <c r="CR26" s="423">
        <v>0</v>
      </c>
      <c r="CS26" s="423">
        <v>0</v>
      </c>
      <c r="CT26" s="423">
        <v>0</v>
      </c>
      <c r="CU26" s="423">
        <v>0</v>
      </c>
      <c r="CV26" s="410">
        <f t="shared" si="14"/>
        <v>0</v>
      </c>
      <c r="CW26" s="422">
        <v>0</v>
      </c>
      <c r="CX26" s="422">
        <v>5.5716951776122259E-3</v>
      </c>
      <c r="CY26" s="422">
        <v>0</v>
      </c>
      <c r="CZ26" s="422">
        <v>1.3000622081095193E-2</v>
      </c>
      <c r="DA26" s="423">
        <v>0</v>
      </c>
      <c r="DB26" s="423">
        <v>0</v>
      </c>
      <c r="DC26" s="423">
        <v>0</v>
      </c>
      <c r="DD26" s="423">
        <v>0</v>
      </c>
      <c r="DE26" s="423">
        <v>1.2304124886042708E-2</v>
      </c>
      <c r="DF26" s="423">
        <v>1.2304124886042708E-2</v>
      </c>
      <c r="DG26" s="423">
        <v>2.4608249772085415E-2</v>
      </c>
      <c r="DH26" s="423">
        <v>2.4608249772085415E-2</v>
      </c>
      <c r="DI26" s="410">
        <f t="shared" si="15"/>
        <v>9.239706657496366E-2</v>
      </c>
      <c r="DJ26" s="422">
        <v>1.2700337750721716E-2</v>
      </c>
      <c r="DK26" s="422">
        <v>1.2700337750721716E-2</v>
      </c>
      <c r="DL26" s="422">
        <v>1.2700337750721716E-2</v>
      </c>
      <c r="DM26" s="422">
        <v>1.4165305458175115E-2</v>
      </c>
      <c r="DN26" s="423">
        <v>1.5874852339441723E-2</v>
      </c>
      <c r="DO26" s="423">
        <v>9.9318975311985698E-3</v>
      </c>
      <c r="DP26" s="423">
        <v>0</v>
      </c>
      <c r="DQ26" s="423">
        <v>0</v>
      </c>
      <c r="DR26" s="423">
        <v>0</v>
      </c>
      <c r="DS26" s="423">
        <v>0</v>
      </c>
      <c r="DT26" s="423">
        <v>0</v>
      </c>
      <c r="DU26" s="423">
        <v>0</v>
      </c>
      <c r="DV26" s="410">
        <f t="shared" si="16"/>
        <v>7.8073068580980551E-2</v>
      </c>
      <c r="DW26" s="422">
        <v>0</v>
      </c>
      <c r="DX26" s="422">
        <v>0</v>
      </c>
      <c r="DY26" s="422">
        <v>0</v>
      </c>
      <c r="DZ26" s="422">
        <v>0</v>
      </c>
      <c r="EA26" s="423">
        <v>0</v>
      </c>
      <c r="EB26" s="423">
        <v>0</v>
      </c>
      <c r="EC26" s="423">
        <v>0</v>
      </c>
      <c r="ED26" s="423">
        <v>0</v>
      </c>
      <c r="EE26" s="423">
        <v>0</v>
      </c>
      <c r="EF26" s="423">
        <v>0</v>
      </c>
      <c r="EG26" s="423">
        <v>0</v>
      </c>
      <c r="EH26" s="423">
        <v>0</v>
      </c>
      <c r="EI26" s="410">
        <f t="shared" si="17"/>
        <v>0</v>
      </c>
      <c r="EJ26" s="422">
        <v>0</v>
      </c>
      <c r="EK26" s="422">
        <v>0</v>
      </c>
      <c r="EL26" s="422">
        <v>0</v>
      </c>
      <c r="EM26" s="422">
        <v>0</v>
      </c>
      <c r="EN26" s="423">
        <v>0</v>
      </c>
      <c r="EO26" s="423">
        <v>0</v>
      </c>
      <c r="EP26" s="423">
        <v>0</v>
      </c>
      <c r="EQ26" s="423">
        <v>0</v>
      </c>
      <c r="ER26" s="423">
        <v>0</v>
      </c>
      <c r="ES26" s="423">
        <v>0</v>
      </c>
      <c r="ET26" s="423">
        <v>0</v>
      </c>
      <c r="EU26" s="423">
        <v>0</v>
      </c>
      <c r="EV26" s="410">
        <f t="shared" si="18"/>
        <v>0</v>
      </c>
      <c r="EW26" s="416">
        <f t="shared" si="19"/>
        <v>0.17047013515594422</v>
      </c>
      <c r="EX26" s="417">
        <f>IFERROR(VLOOKUP(H26,CEI_012018!$A$1:$U$509,9,FALSE),0)</f>
        <v>0</v>
      </c>
      <c r="EY26" s="417">
        <f>IFERROR(VLOOKUP(H26,CEI_022018!$A$1:$U$509,9,FALSE),0)</f>
        <v>0</v>
      </c>
      <c r="EZ26" s="417">
        <f>IFERROR(VLOOKUP(H26,CEI_032018!$A$1:$U$509,9,FALSE),0)</f>
        <v>0</v>
      </c>
      <c r="FA26" s="417">
        <f>IFERROR(VLOOKUP(H26,CEI_042018!$A$1:$U$491,9,FALSE),0)</f>
        <v>0</v>
      </c>
      <c r="FB26" s="417">
        <f>IFERROR(VLOOKUP(H26,CEI_052018!$A$1:$U$489,9,FALSE),0)</f>
        <v>0</v>
      </c>
      <c r="FC26" s="417">
        <f>IFERROR(VLOOKUP(H26,CEI_062018!$A$1:$U$489,9,FALSE),0)</f>
        <v>0</v>
      </c>
      <c r="FD26" s="417">
        <f>IFERROR(VLOOKUP(H26,CEI_072018!$A$1:$U$489,9,FALSE),0)</f>
        <v>0</v>
      </c>
      <c r="FE26" s="417">
        <f>IFERROR(VLOOKUP(H26,CEI_082018!$A$1:$U$489,9,FALSE),0)</f>
        <v>0</v>
      </c>
      <c r="FF26" s="417">
        <f>IFERROR(VLOOKUP(H26,CEI_092018!$A$1:$U$489,9,FALSE),0)</f>
        <v>0</v>
      </c>
      <c r="FG26" s="417"/>
      <c r="FH26" s="417"/>
      <c r="FI26" s="417"/>
      <c r="FJ26" s="418">
        <f>IFERROR(VLOOKUP(H26,CEI_092018!$A$1:$U$489,12,FALSE),0)</f>
        <v>0</v>
      </c>
      <c r="FK26" s="418">
        <f t="shared" si="11"/>
        <v>0</v>
      </c>
      <c r="FL26" s="418">
        <f t="shared" si="12"/>
        <v>0</v>
      </c>
      <c r="FM26" s="417"/>
      <c r="FN26" s="417"/>
      <c r="FO26" s="417"/>
      <c r="FP26" s="417"/>
      <c r="FQ26" s="417"/>
      <c r="FR26" s="417"/>
      <c r="FS26" s="417"/>
      <c r="FT26" s="417"/>
      <c r="FU26" s="417"/>
      <c r="FV26" s="417"/>
      <c r="FW26" s="417"/>
      <c r="FX26" s="417"/>
      <c r="FY26" s="418"/>
      <c r="FZ26" s="418"/>
      <c r="GA26" s="418"/>
      <c r="GB26" s="417"/>
      <c r="GC26" s="417"/>
      <c r="GD26" s="417"/>
      <c r="GE26" s="417"/>
      <c r="GF26" s="417"/>
      <c r="GG26" s="417"/>
      <c r="GH26" s="417"/>
      <c r="GI26" s="417"/>
      <c r="GJ26" s="417"/>
      <c r="GK26" s="417"/>
      <c r="GL26" s="417"/>
      <c r="GM26" s="417"/>
      <c r="GN26" s="418"/>
      <c r="GO26" s="418"/>
      <c r="GP26" s="418"/>
      <c r="GQ26" s="417"/>
      <c r="GR26" s="417"/>
      <c r="GS26" s="417"/>
      <c r="GT26" s="417"/>
      <c r="GU26" s="417"/>
      <c r="GV26" s="417"/>
      <c r="GW26" s="417"/>
      <c r="GX26" s="417"/>
      <c r="GY26" s="417"/>
      <c r="GZ26" s="417"/>
      <c r="HA26" s="417"/>
      <c r="HB26" s="417"/>
      <c r="HC26" s="418"/>
      <c r="HD26" s="418"/>
      <c r="HE26" s="418"/>
      <c r="HF26" s="417"/>
      <c r="HG26" s="417"/>
      <c r="HH26" s="417"/>
      <c r="HI26" s="417"/>
      <c r="HJ26" s="417"/>
      <c r="HK26" s="417"/>
      <c r="HL26" s="417"/>
      <c r="HM26" s="417"/>
      <c r="HN26" s="417"/>
      <c r="HO26" s="417"/>
      <c r="HP26" s="417"/>
      <c r="HQ26" s="417"/>
      <c r="HR26" s="418"/>
      <c r="HS26" s="418"/>
      <c r="HT26" s="418"/>
    </row>
    <row r="27" spans="1:228" s="387" customFormat="1" ht="12.95" customHeight="1" x14ac:dyDescent="0.2">
      <c r="A27" s="406" t="s">
        <v>55</v>
      </c>
      <c r="B27" s="407" t="s">
        <v>39</v>
      </c>
      <c r="C27" s="406" t="s">
        <v>53</v>
      </c>
      <c r="D27" s="407" t="s">
        <v>564</v>
      </c>
      <c r="E27" s="407" t="s">
        <v>53</v>
      </c>
      <c r="F27" s="407" t="s">
        <v>564</v>
      </c>
      <c r="G27" s="406" t="s">
        <v>54</v>
      </c>
      <c r="H27" s="408" t="s">
        <v>1944</v>
      </c>
      <c r="I27" s="426" t="s">
        <v>1952</v>
      </c>
      <c r="J27" s="406" t="s">
        <v>1946</v>
      </c>
      <c r="K27" s="406" t="s">
        <v>1949</v>
      </c>
      <c r="L27" s="406"/>
      <c r="M27" s="406"/>
      <c r="N27" s="452">
        <v>0</v>
      </c>
      <c r="O27" s="452">
        <v>0</v>
      </c>
      <c r="P27" s="452">
        <v>0</v>
      </c>
      <c r="Q27" s="452">
        <v>0</v>
      </c>
      <c r="R27" s="452">
        <v>0</v>
      </c>
      <c r="S27" s="452">
        <v>0</v>
      </c>
      <c r="T27" s="452">
        <v>0</v>
      </c>
      <c r="U27" s="409">
        <v>0</v>
      </c>
      <c r="V27" s="409"/>
      <c r="W27" s="409"/>
      <c r="X27" s="409"/>
      <c r="Y27" s="409">
        <f>57+3.132</f>
        <v>60.131999999999998</v>
      </c>
      <c r="Z27" s="453">
        <f t="shared" si="13"/>
        <v>60.131999999999998</v>
      </c>
      <c r="AA27" s="452"/>
      <c r="AB27" s="452"/>
      <c r="AC27" s="452"/>
      <c r="AD27" s="452"/>
      <c r="AE27" s="452"/>
      <c r="AF27" s="452"/>
      <c r="AG27" s="452"/>
      <c r="AH27" s="409"/>
      <c r="AI27" s="409"/>
      <c r="AJ27" s="409"/>
      <c r="AK27" s="409"/>
      <c r="AL27" s="409"/>
      <c r="AM27" s="453">
        <f t="shared" si="0"/>
        <v>0</v>
      </c>
      <c r="AN27" s="452"/>
      <c r="AO27" s="452"/>
      <c r="AP27" s="452"/>
      <c r="AQ27" s="452"/>
      <c r="AR27" s="452"/>
      <c r="AS27" s="452"/>
      <c r="AT27" s="452"/>
      <c r="AU27" s="409"/>
      <c r="AV27" s="409"/>
      <c r="AW27" s="409"/>
      <c r="AX27" s="409"/>
      <c r="AY27" s="409"/>
      <c r="AZ27" s="453">
        <f t="shared" si="1"/>
        <v>0</v>
      </c>
      <c r="BA27" s="452"/>
      <c r="BB27" s="452"/>
      <c r="BC27" s="452"/>
      <c r="BD27" s="452"/>
      <c r="BE27" s="452"/>
      <c r="BF27" s="452"/>
      <c r="BG27" s="452"/>
      <c r="BH27" s="409"/>
      <c r="BI27" s="409"/>
      <c r="BJ27" s="409"/>
      <c r="BK27" s="409"/>
      <c r="BL27" s="409"/>
      <c r="BM27" s="453">
        <f t="shared" si="2"/>
        <v>0</v>
      </c>
      <c r="BN27" s="452"/>
      <c r="BO27" s="452"/>
      <c r="BP27" s="452"/>
      <c r="BQ27" s="452"/>
      <c r="BR27" s="452"/>
      <c r="BS27" s="452"/>
      <c r="BT27" s="452"/>
      <c r="BU27" s="409"/>
      <c r="BV27" s="409"/>
      <c r="BW27" s="409"/>
      <c r="BX27" s="409"/>
      <c r="BY27" s="409"/>
      <c r="BZ27" s="453">
        <f t="shared" si="3"/>
        <v>0</v>
      </c>
      <c r="CA27" s="454">
        <f t="shared" si="4"/>
        <v>60.131999999999998</v>
      </c>
      <c r="CB27" s="419"/>
      <c r="CC27" s="419">
        <v>1</v>
      </c>
      <c r="CD27" s="419">
        <v>1</v>
      </c>
      <c r="CE27" s="419">
        <v>-1</v>
      </c>
      <c r="CF27" s="419">
        <v>-1</v>
      </c>
      <c r="CG27" s="420">
        <f>IFERROR((FE27/Z27%),0)</f>
        <v>0</v>
      </c>
      <c r="CH27" s="421">
        <f>IFERROR((FK27/Z27%),0)</f>
        <v>94.791458790660556</v>
      </c>
      <c r="CI27" s="414" t="s">
        <v>70</v>
      </c>
      <c r="CJ27" s="423"/>
      <c r="CK27" s="423"/>
      <c r="CL27" s="423"/>
      <c r="CM27" s="423"/>
      <c r="CN27" s="423"/>
      <c r="CO27" s="423"/>
      <c r="CP27" s="423"/>
      <c r="CQ27" s="423"/>
      <c r="CR27" s="423"/>
      <c r="CS27" s="423"/>
      <c r="CT27" s="423"/>
      <c r="CU27" s="423"/>
      <c r="CV27" s="410">
        <f t="shared" si="14"/>
        <v>0</v>
      </c>
      <c r="CW27" s="423"/>
      <c r="CX27" s="423"/>
      <c r="CY27" s="423"/>
      <c r="CZ27" s="423"/>
      <c r="DA27" s="423"/>
      <c r="DB27" s="423"/>
      <c r="DC27" s="423"/>
      <c r="DD27" s="423"/>
      <c r="DE27" s="423"/>
      <c r="DF27" s="423"/>
      <c r="DG27" s="423"/>
      <c r="DH27" s="423"/>
      <c r="DI27" s="410">
        <f t="shared" si="15"/>
        <v>0</v>
      </c>
      <c r="DJ27" s="423"/>
      <c r="DK27" s="423"/>
      <c r="DL27" s="423"/>
      <c r="DM27" s="423"/>
      <c r="DN27" s="423"/>
      <c r="DO27" s="423"/>
      <c r="DP27" s="423"/>
      <c r="DQ27" s="423"/>
      <c r="DR27" s="423"/>
      <c r="DS27" s="423"/>
      <c r="DT27" s="423"/>
      <c r="DU27" s="423"/>
      <c r="DV27" s="410">
        <f t="shared" si="16"/>
        <v>0</v>
      </c>
      <c r="DW27" s="423"/>
      <c r="DX27" s="423"/>
      <c r="DY27" s="423"/>
      <c r="DZ27" s="423"/>
      <c r="EA27" s="423"/>
      <c r="EB27" s="423"/>
      <c r="EC27" s="423"/>
      <c r="ED27" s="423"/>
      <c r="EE27" s="423"/>
      <c r="EF27" s="423"/>
      <c r="EG27" s="423"/>
      <c r="EH27" s="423"/>
      <c r="EI27" s="410">
        <f t="shared" si="17"/>
        <v>0</v>
      </c>
      <c r="EJ27" s="423"/>
      <c r="EK27" s="423"/>
      <c r="EL27" s="423"/>
      <c r="EM27" s="423"/>
      <c r="EN27" s="423"/>
      <c r="EO27" s="423"/>
      <c r="EP27" s="423"/>
      <c r="EQ27" s="423"/>
      <c r="ER27" s="423"/>
      <c r="ES27" s="423"/>
      <c r="ET27" s="423"/>
      <c r="EU27" s="423"/>
      <c r="EV27" s="410">
        <f t="shared" si="18"/>
        <v>0</v>
      </c>
      <c r="EW27" s="416">
        <f t="shared" si="19"/>
        <v>0</v>
      </c>
      <c r="EX27" s="417">
        <f>IFERROR(VLOOKUP(H27,CEI_012018!$A$1:$U$509,9,FALSE),0)</f>
        <v>0</v>
      </c>
      <c r="EY27" s="417">
        <f>IFERROR(VLOOKUP(H27,CEI_022018!$A$1:$U$509,9,FALSE),0)</f>
        <v>0</v>
      </c>
      <c r="EZ27" s="417">
        <f>IFERROR(VLOOKUP(H27,CEI_032018!$A$1:$U$509,9,FALSE),0)</f>
        <v>0</v>
      </c>
      <c r="FA27" s="417">
        <f>IFERROR(VLOOKUP(H27,CEI_042018!$A$1:$U$491,9,FALSE),0)</f>
        <v>0</v>
      </c>
      <c r="FB27" s="417">
        <f>IFERROR(VLOOKUP(H27,CEI_052018!$A$1:$U$489,9,FALSE),0)</f>
        <v>0</v>
      </c>
      <c r="FC27" s="417">
        <f>IFERROR(VLOOKUP(H27,CEI_062018!$A$1:$U$489,9,FALSE),0)</f>
        <v>0</v>
      </c>
      <c r="FD27" s="417">
        <f>IFERROR(VLOOKUP(H27,CEI_072018!$A$1:$U$489,9,FALSE),0)</f>
        <v>0</v>
      </c>
      <c r="FE27" s="417">
        <f>IFERROR(VLOOKUP(H27,CEI_082018!$A$1:$U$489,9,FALSE),0)</f>
        <v>0</v>
      </c>
      <c r="FF27" s="417">
        <f>IFERROR(VLOOKUP(H27,CEI_092018!$A$1:$U$489,9,FALSE),0)</f>
        <v>0</v>
      </c>
      <c r="FG27" s="417"/>
      <c r="FH27" s="417"/>
      <c r="FI27" s="417"/>
      <c r="FJ27" s="418">
        <f>IFERROR(VLOOKUP(H27,CEI_092018!$A$1:$U$489,12,FALSE),0)</f>
        <v>57</v>
      </c>
      <c r="FK27" s="418">
        <f t="shared" si="11"/>
        <v>57</v>
      </c>
      <c r="FL27" s="418">
        <f t="shared" si="12"/>
        <v>3.1319999999999979</v>
      </c>
      <c r="FM27" s="417"/>
      <c r="FN27" s="417"/>
      <c r="FO27" s="417"/>
      <c r="FP27" s="417"/>
      <c r="FQ27" s="417"/>
      <c r="FR27" s="417"/>
      <c r="FS27" s="417"/>
      <c r="FT27" s="417"/>
      <c r="FU27" s="417"/>
      <c r="FV27" s="417"/>
      <c r="FW27" s="417"/>
      <c r="FX27" s="417"/>
      <c r="FY27" s="418"/>
      <c r="FZ27" s="418"/>
      <c r="GA27" s="418"/>
      <c r="GB27" s="417"/>
      <c r="GC27" s="417"/>
      <c r="GD27" s="417"/>
      <c r="GE27" s="417"/>
      <c r="GF27" s="417"/>
      <c r="GG27" s="417"/>
      <c r="GH27" s="417"/>
      <c r="GI27" s="417"/>
      <c r="GJ27" s="417"/>
      <c r="GK27" s="417"/>
      <c r="GL27" s="417"/>
      <c r="GM27" s="417"/>
      <c r="GN27" s="418"/>
      <c r="GO27" s="418"/>
      <c r="GP27" s="418"/>
      <c r="GQ27" s="417"/>
      <c r="GR27" s="417"/>
      <c r="GS27" s="417"/>
      <c r="GT27" s="417"/>
      <c r="GU27" s="417"/>
      <c r="GV27" s="417"/>
      <c r="GW27" s="417"/>
      <c r="GX27" s="417"/>
      <c r="GY27" s="417"/>
      <c r="GZ27" s="417"/>
      <c r="HA27" s="417"/>
      <c r="HB27" s="417"/>
      <c r="HC27" s="418"/>
      <c r="HD27" s="418"/>
      <c r="HE27" s="418"/>
      <c r="HF27" s="417"/>
      <c r="HG27" s="417"/>
      <c r="HH27" s="417"/>
      <c r="HI27" s="417"/>
      <c r="HJ27" s="417"/>
      <c r="HK27" s="417"/>
      <c r="HL27" s="417"/>
      <c r="HM27" s="417"/>
      <c r="HN27" s="417"/>
      <c r="HO27" s="417"/>
      <c r="HP27" s="417"/>
      <c r="HQ27" s="417"/>
      <c r="HR27" s="418"/>
      <c r="HS27" s="418"/>
      <c r="HT27" s="418"/>
    </row>
    <row r="28" spans="1:228" s="387" customFormat="1" ht="12.95" customHeight="1" x14ac:dyDescent="0.2">
      <c r="A28" s="406" t="s">
        <v>55</v>
      </c>
      <c r="B28" s="407" t="s">
        <v>39</v>
      </c>
      <c r="C28" s="406" t="s">
        <v>53</v>
      </c>
      <c r="D28" s="407" t="s">
        <v>95</v>
      </c>
      <c r="E28" s="407" t="s">
        <v>53</v>
      </c>
      <c r="F28" s="407" t="s">
        <v>95</v>
      </c>
      <c r="G28" s="406" t="s">
        <v>54</v>
      </c>
      <c r="H28" s="408" t="s">
        <v>520</v>
      </c>
      <c r="I28" s="408"/>
      <c r="J28" s="406" t="s">
        <v>512</v>
      </c>
      <c r="K28" s="406" t="s">
        <v>96</v>
      </c>
      <c r="L28" s="406" t="s">
        <v>97</v>
      </c>
      <c r="M28" s="406"/>
      <c r="N28" s="452">
        <v>0</v>
      </c>
      <c r="O28" s="452">
        <v>0</v>
      </c>
      <c r="P28" s="452">
        <v>0</v>
      </c>
      <c r="Q28" s="452">
        <v>0</v>
      </c>
      <c r="R28" s="452">
        <v>0</v>
      </c>
      <c r="S28" s="452">
        <v>0</v>
      </c>
      <c r="T28" s="452">
        <v>0</v>
      </c>
      <c r="U28" s="409">
        <v>0</v>
      </c>
      <c r="V28" s="409"/>
      <c r="W28" s="409"/>
      <c r="X28" s="409"/>
      <c r="Y28" s="409"/>
      <c r="Z28" s="453">
        <f t="shared" si="13"/>
        <v>0</v>
      </c>
      <c r="AA28" s="452"/>
      <c r="AB28" s="452"/>
      <c r="AC28" s="452"/>
      <c r="AD28" s="452"/>
      <c r="AE28" s="452"/>
      <c r="AF28" s="452"/>
      <c r="AG28" s="452"/>
      <c r="AH28" s="409"/>
      <c r="AI28" s="409"/>
      <c r="AJ28" s="409"/>
      <c r="AK28" s="409"/>
      <c r="AL28" s="409">
        <f>60+20</f>
        <v>80</v>
      </c>
      <c r="AM28" s="453">
        <f t="shared" si="0"/>
        <v>80</v>
      </c>
      <c r="AN28" s="452"/>
      <c r="AO28" s="452"/>
      <c r="AP28" s="452"/>
      <c r="AQ28" s="452"/>
      <c r="AR28" s="452"/>
      <c r="AS28" s="452"/>
      <c r="AT28" s="452"/>
      <c r="AU28" s="409"/>
      <c r="AV28" s="409"/>
      <c r="AW28" s="409"/>
      <c r="AX28" s="409"/>
      <c r="AY28" s="409">
        <f>60+20-5+3.35722995834658</f>
        <v>78.357229958346579</v>
      </c>
      <c r="AZ28" s="453">
        <f t="shared" si="1"/>
        <v>78.357229958346579</v>
      </c>
      <c r="BA28" s="452"/>
      <c r="BB28" s="452"/>
      <c r="BC28" s="452"/>
      <c r="BD28" s="452"/>
      <c r="BE28" s="452"/>
      <c r="BF28" s="452"/>
      <c r="BG28" s="452"/>
      <c r="BH28" s="409"/>
      <c r="BI28" s="409"/>
      <c r="BJ28" s="409"/>
      <c r="BK28" s="409"/>
      <c r="BL28" s="409">
        <f>60+13</f>
        <v>73</v>
      </c>
      <c r="BM28" s="453">
        <f t="shared" si="2"/>
        <v>73</v>
      </c>
      <c r="BN28" s="452"/>
      <c r="BO28" s="452"/>
      <c r="BP28" s="452"/>
      <c r="BQ28" s="452"/>
      <c r="BR28" s="452"/>
      <c r="BS28" s="452"/>
      <c r="BT28" s="452"/>
      <c r="BU28" s="409"/>
      <c r="BV28" s="409"/>
      <c r="BW28" s="409"/>
      <c r="BX28" s="409"/>
      <c r="BY28" s="409">
        <v>60</v>
      </c>
      <c r="BZ28" s="453">
        <f t="shared" si="3"/>
        <v>60</v>
      </c>
      <c r="CA28" s="454">
        <f t="shared" si="4"/>
        <v>291.35722995834658</v>
      </c>
      <c r="CB28" s="419"/>
      <c r="CC28" s="419">
        <v>-1</v>
      </c>
      <c r="CD28" s="427">
        <v>-1</v>
      </c>
      <c r="CE28" s="427">
        <v>-1</v>
      </c>
      <c r="CF28" s="427">
        <v>-1</v>
      </c>
      <c r="CG28" s="420">
        <f>IFERROR((FE28/Z28%),0)</f>
        <v>0</v>
      </c>
      <c r="CH28" s="421">
        <f>IFERROR((FK28/Z28%),0)</f>
        <v>0</v>
      </c>
      <c r="CI28" s="414" t="s">
        <v>98</v>
      </c>
      <c r="CJ28" s="415">
        <v>0</v>
      </c>
      <c r="CK28" s="415">
        <v>0</v>
      </c>
      <c r="CL28" s="415">
        <v>0</v>
      </c>
      <c r="CM28" s="415">
        <v>0</v>
      </c>
      <c r="CN28" s="415">
        <v>0</v>
      </c>
      <c r="CO28" s="415">
        <v>0</v>
      </c>
      <c r="CP28" s="415">
        <v>0</v>
      </c>
      <c r="CQ28" s="415">
        <v>0</v>
      </c>
      <c r="CR28" s="415">
        <v>0</v>
      </c>
      <c r="CS28" s="415">
        <v>0</v>
      </c>
      <c r="CT28" s="415">
        <v>0</v>
      </c>
      <c r="CU28" s="415">
        <v>1</v>
      </c>
      <c r="CV28" s="410">
        <f t="shared" si="14"/>
        <v>1</v>
      </c>
      <c r="CW28" s="415"/>
      <c r="CX28" s="415"/>
      <c r="CY28" s="415"/>
      <c r="CZ28" s="415"/>
      <c r="DA28" s="415"/>
      <c r="DB28" s="415"/>
      <c r="DC28" s="415"/>
      <c r="DD28" s="415"/>
      <c r="DE28" s="415"/>
      <c r="DF28" s="415"/>
      <c r="DG28" s="415"/>
      <c r="DH28" s="415">
        <v>1</v>
      </c>
      <c r="DI28" s="410">
        <f t="shared" si="15"/>
        <v>1</v>
      </c>
      <c r="DJ28" s="415"/>
      <c r="DK28" s="415"/>
      <c r="DL28" s="415"/>
      <c r="DM28" s="415"/>
      <c r="DN28" s="415"/>
      <c r="DO28" s="415"/>
      <c r="DP28" s="415"/>
      <c r="DQ28" s="415"/>
      <c r="DR28" s="415"/>
      <c r="DS28" s="415"/>
      <c r="DT28" s="415"/>
      <c r="DU28" s="415">
        <v>1</v>
      </c>
      <c r="DV28" s="410">
        <f t="shared" si="16"/>
        <v>1</v>
      </c>
      <c r="DW28" s="415"/>
      <c r="DX28" s="415"/>
      <c r="DY28" s="415"/>
      <c r="DZ28" s="415"/>
      <c r="EA28" s="415"/>
      <c r="EB28" s="415"/>
      <c r="EC28" s="415"/>
      <c r="ED28" s="415"/>
      <c r="EE28" s="415"/>
      <c r="EF28" s="415"/>
      <c r="EG28" s="415"/>
      <c r="EH28" s="415">
        <v>1</v>
      </c>
      <c r="EI28" s="410">
        <f t="shared" si="17"/>
        <v>1</v>
      </c>
      <c r="EJ28" s="415"/>
      <c r="EK28" s="415"/>
      <c r="EL28" s="415"/>
      <c r="EM28" s="415"/>
      <c r="EN28" s="415"/>
      <c r="EO28" s="415"/>
      <c r="EP28" s="415"/>
      <c r="EQ28" s="415"/>
      <c r="ER28" s="415"/>
      <c r="ES28" s="415"/>
      <c r="ET28" s="415"/>
      <c r="EU28" s="415">
        <v>1</v>
      </c>
      <c r="EV28" s="410">
        <f t="shared" si="18"/>
        <v>1</v>
      </c>
      <c r="EW28" s="416">
        <f t="shared" si="19"/>
        <v>5</v>
      </c>
      <c r="EX28" s="417">
        <f>IFERROR(VLOOKUP(H28,CEI_012018!$A$1:$U$509,9,FALSE),0)</f>
        <v>0</v>
      </c>
      <c r="EY28" s="417">
        <f>IFERROR(VLOOKUP(H28,CEI_022018!$A$1:$U$509,9,FALSE),0)</f>
        <v>0</v>
      </c>
      <c r="EZ28" s="417">
        <f>IFERROR(VLOOKUP(H28,CEI_032018!$A$1:$U$509,9,FALSE),0)</f>
        <v>0</v>
      </c>
      <c r="FA28" s="417">
        <f>IFERROR(VLOOKUP(H28,CEI_042018!$A$1:$U$491,9,FALSE),0)</f>
        <v>0</v>
      </c>
      <c r="FB28" s="417">
        <f>IFERROR(VLOOKUP(H28,CEI_052018!$A$1:$U$489,9,FALSE),0)</f>
        <v>0</v>
      </c>
      <c r="FC28" s="417">
        <f>IFERROR(VLOOKUP(H28,CEI_062018!$A$1:$U$489,9,FALSE),0)</f>
        <v>0</v>
      </c>
      <c r="FD28" s="417">
        <f>IFERROR(VLOOKUP(H28,CEI_072018!$A$1:$U$489,9,FALSE),0)</f>
        <v>0</v>
      </c>
      <c r="FE28" s="417">
        <f>IFERROR(VLOOKUP(H28,CEI_082018!$A$1:$U$489,9,FALSE),0)</f>
        <v>0</v>
      </c>
      <c r="FF28" s="417">
        <f>IFERROR(VLOOKUP(H28,CEI_092018!$A$1:$U$489,9,FALSE),0)</f>
        <v>0</v>
      </c>
      <c r="FG28" s="417"/>
      <c r="FH28" s="417"/>
      <c r="FI28" s="417"/>
      <c r="FJ28" s="418">
        <f>IFERROR(VLOOKUP(H28,CEI_092018!$A$1:$U$489,12,FALSE),0)</f>
        <v>0</v>
      </c>
      <c r="FK28" s="418">
        <f t="shared" si="11"/>
        <v>0</v>
      </c>
      <c r="FL28" s="418">
        <f t="shared" si="12"/>
        <v>0</v>
      </c>
      <c r="FM28" s="417"/>
      <c r="FN28" s="417"/>
      <c r="FO28" s="417"/>
      <c r="FP28" s="417"/>
      <c r="FQ28" s="417"/>
      <c r="FR28" s="417"/>
      <c r="FS28" s="417"/>
      <c r="FT28" s="417"/>
      <c r="FU28" s="417"/>
      <c r="FV28" s="417"/>
      <c r="FW28" s="417"/>
      <c r="FX28" s="417"/>
      <c r="FY28" s="418"/>
      <c r="FZ28" s="418"/>
      <c r="GA28" s="418"/>
      <c r="GB28" s="417"/>
      <c r="GC28" s="417"/>
      <c r="GD28" s="417"/>
      <c r="GE28" s="417"/>
      <c r="GF28" s="417"/>
      <c r="GG28" s="417"/>
      <c r="GH28" s="417"/>
      <c r="GI28" s="417"/>
      <c r="GJ28" s="417"/>
      <c r="GK28" s="417"/>
      <c r="GL28" s="417"/>
      <c r="GM28" s="417"/>
      <c r="GN28" s="418"/>
      <c r="GO28" s="418"/>
      <c r="GP28" s="418"/>
      <c r="GQ28" s="417"/>
      <c r="GR28" s="417"/>
      <c r="GS28" s="417"/>
      <c r="GT28" s="417"/>
      <c r="GU28" s="417"/>
      <c r="GV28" s="417"/>
      <c r="GW28" s="417"/>
      <c r="GX28" s="417"/>
      <c r="GY28" s="417"/>
      <c r="GZ28" s="417"/>
      <c r="HA28" s="417"/>
      <c r="HB28" s="417"/>
      <c r="HC28" s="418"/>
      <c r="HD28" s="418"/>
      <c r="HE28" s="418"/>
      <c r="HF28" s="417"/>
      <c r="HG28" s="417"/>
      <c r="HH28" s="417"/>
      <c r="HI28" s="417"/>
      <c r="HJ28" s="417"/>
      <c r="HK28" s="417"/>
      <c r="HL28" s="417"/>
      <c r="HM28" s="417"/>
      <c r="HN28" s="417"/>
      <c r="HO28" s="417"/>
      <c r="HP28" s="417"/>
      <c r="HQ28" s="417"/>
      <c r="HR28" s="418"/>
      <c r="HS28" s="418"/>
      <c r="HT28" s="418"/>
    </row>
    <row r="29" spans="1:228" s="387" customFormat="1" ht="12.95" customHeight="1" x14ac:dyDescent="0.2">
      <c r="A29" s="406" t="s">
        <v>55</v>
      </c>
      <c r="B29" s="407" t="s">
        <v>39</v>
      </c>
      <c r="C29" s="406" t="s">
        <v>53</v>
      </c>
      <c r="D29" s="407" t="s">
        <v>564</v>
      </c>
      <c r="E29" s="407" t="s">
        <v>53</v>
      </c>
      <c r="F29" s="407" t="s">
        <v>564</v>
      </c>
      <c r="G29" s="406" t="s">
        <v>54</v>
      </c>
      <c r="H29" s="408" t="s">
        <v>520</v>
      </c>
      <c r="I29" s="408"/>
      <c r="J29" s="406" t="s">
        <v>543</v>
      </c>
      <c r="K29" s="406" t="s">
        <v>545</v>
      </c>
      <c r="L29" s="406" t="s">
        <v>546</v>
      </c>
      <c r="M29" s="406"/>
      <c r="N29" s="452">
        <v>0</v>
      </c>
      <c r="O29" s="452">
        <v>0</v>
      </c>
      <c r="P29" s="452">
        <v>0</v>
      </c>
      <c r="Q29" s="452">
        <v>0</v>
      </c>
      <c r="R29" s="452">
        <v>0</v>
      </c>
      <c r="S29" s="452">
        <v>0</v>
      </c>
      <c r="T29" s="452">
        <v>0</v>
      </c>
      <c r="U29" s="409">
        <v>0</v>
      </c>
      <c r="V29" s="409"/>
      <c r="W29" s="409"/>
      <c r="X29" s="409"/>
      <c r="Y29" s="409"/>
      <c r="Z29" s="453">
        <f t="shared" si="13"/>
        <v>0</v>
      </c>
      <c r="AA29" s="452"/>
      <c r="AB29" s="452"/>
      <c r="AC29" s="452"/>
      <c r="AD29" s="452"/>
      <c r="AE29" s="452"/>
      <c r="AF29" s="452">
        <v>48</v>
      </c>
      <c r="AG29" s="452">
        <v>68.698999999999998</v>
      </c>
      <c r="AH29" s="409"/>
      <c r="AI29" s="409"/>
      <c r="AJ29" s="409"/>
      <c r="AK29" s="409"/>
      <c r="AL29" s="409"/>
      <c r="AM29" s="453">
        <f t="shared" si="0"/>
        <v>116.699</v>
      </c>
      <c r="AN29" s="452"/>
      <c r="AO29" s="452"/>
      <c r="AP29" s="452"/>
      <c r="AQ29" s="452"/>
      <c r="AR29" s="452"/>
      <c r="AS29" s="452"/>
      <c r="AT29" s="452"/>
      <c r="AU29" s="409"/>
      <c r="AV29" s="409"/>
      <c r="AW29" s="409"/>
      <c r="AX29" s="409"/>
      <c r="AY29" s="409"/>
      <c r="AZ29" s="453">
        <f t="shared" si="1"/>
        <v>0</v>
      </c>
      <c r="BA29" s="452"/>
      <c r="BB29" s="452"/>
      <c r="BC29" s="452"/>
      <c r="BD29" s="452"/>
      <c r="BE29" s="452"/>
      <c r="BF29" s="452"/>
      <c r="BG29" s="452"/>
      <c r="BH29" s="409"/>
      <c r="BI29" s="409"/>
      <c r="BJ29" s="409"/>
      <c r="BK29" s="409"/>
      <c r="BL29" s="409"/>
      <c r="BM29" s="453">
        <f t="shared" si="2"/>
        <v>0</v>
      </c>
      <c r="BN29" s="452"/>
      <c r="BO29" s="452"/>
      <c r="BP29" s="452"/>
      <c r="BQ29" s="452"/>
      <c r="BR29" s="452"/>
      <c r="BS29" s="452"/>
      <c r="BT29" s="452"/>
      <c r="BU29" s="409"/>
      <c r="BV29" s="409"/>
      <c r="BW29" s="409"/>
      <c r="BX29" s="409"/>
      <c r="BY29" s="409"/>
      <c r="BZ29" s="453">
        <f t="shared" si="3"/>
        <v>0</v>
      </c>
      <c r="CA29" s="454">
        <f t="shared" si="4"/>
        <v>116.699</v>
      </c>
      <c r="CB29" s="419"/>
      <c r="CC29" s="419">
        <v>-1</v>
      </c>
      <c r="CD29" s="419">
        <v>-1</v>
      </c>
      <c r="CE29" s="419">
        <v>-1</v>
      </c>
      <c r="CF29" s="419">
        <v>-1</v>
      </c>
      <c r="CG29" s="420">
        <f>IFERROR((FE29/Z29%),0)</f>
        <v>0</v>
      </c>
      <c r="CH29" s="421">
        <f>IFERROR((FK29/Z29%),0)</f>
        <v>0</v>
      </c>
      <c r="CI29" s="414" t="s">
        <v>70</v>
      </c>
      <c r="CJ29" s="423">
        <v>0</v>
      </c>
      <c r="CK29" s="423">
        <v>0</v>
      </c>
      <c r="CL29" s="423">
        <v>0</v>
      </c>
      <c r="CM29" s="423">
        <v>0</v>
      </c>
      <c r="CN29" s="423">
        <v>0</v>
      </c>
      <c r="CO29" s="423">
        <v>0</v>
      </c>
      <c r="CP29" s="423">
        <v>0</v>
      </c>
      <c r="CQ29" s="423">
        <v>0</v>
      </c>
      <c r="CR29" s="423">
        <v>0</v>
      </c>
      <c r="CS29" s="423">
        <v>0</v>
      </c>
      <c r="CT29" s="423">
        <v>0</v>
      </c>
      <c r="CU29" s="423">
        <v>1.2369724892164346E-2</v>
      </c>
      <c r="CV29" s="410">
        <f t="shared" si="14"/>
        <v>1.2369724892164346E-2</v>
      </c>
      <c r="CW29" s="423">
        <v>0</v>
      </c>
      <c r="CX29" s="423">
        <v>0</v>
      </c>
      <c r="CY29" s="423">
        <v>0</v>
      </c>
      <c r="CZ29" s="423">
        <v>0</v>
      </c>
      <c r="DA29" s="423">
        <v>0</v>
      </c>
      <c r="DB29" s="423">
        <v>0</v>
      </c>
      <c r="DC29" s="423">
        <v>9.6997082511474896E-3</v>
      </c>
      <c r="DD29" s="423">
        <v>0</v>
      </c>
      <c r="DE29" s="423">
        <v>0</v>
      </c>
      <c r="DF29" s="423">
        <v>0</v>
      </c>
      <c r="DG29" s="423">
        <v>0</v>
      </c>
      <c r="DH29" s="423">
        <v>0</v>
      </c>
      <c r="DI29" s="410">
        <f t="shared" si="15"/>
        <v>9.6997082511474896E-3</v>
      </c>
      <c r="DJ29" s="423">
        <v>0</v>
      </c>
      <c r="DK29" s="423">
        <v>0</v>
      </c>
      <c r="DL29" s="423">
        <v>0</v>
      </c>
      <c r="DM29" s="423">
        <v>0</v>
      </c>
      <c r="DN29" s="423">
        <v>0</v>
      </c>
      <c r="DO29" s="423">
        <v>0</v>
      </c>
      <c r="DP29" s="423">
        <v>0</v>
      </c>
      <c r="DQ29" s="423">
        <v>0</v>
      </c>
      <c r="DR29" s="423">
        <v>0</v>
      </c>
      <c r="DS29" s="423">
        <v>0</v>
      </c>
      <c r="DT29" s="423">
        <v>0</v>
      </c>
      <c r="DU29" s="423">
        <v>0</v>
      </c>
      <c r="DV29" s="410">
        <f t="shared" si="16"/>
        <v>0</v>
      </c>
      <c r="DW29" s="423">
        <v>0</v>
      </c>
      <c r="DX29" s="423">
        <v>0</v>
      </c>
      <c r="DY29" s="423">
        <v>0</v>
      </c>
      <c r="DZ29" s="423">
        <v>0</v>
      </c>
      <c r="EA29" s="423">
        <v>0</v>
      </c>
      <c r="EB29" s="423">
        <v>0</v>
      </c>
      <c r="EC29" s="423">
        <v>0</v>
      </c>
      <c r="ED29" s="423">
        <v>0</v>
      </c>
      <c r="EE29" s="423">
        <v>0</v>
      </c>
      <c r="EF29" s="423">
        <v>0</v>
      </c>
      <c r="EG29" s="423">
        <v>0</v>
      </c>
      <c r="EH29" s="423">
        <v>0</v>
      </c>
      <c r="EI29" s="410">
        <f t="shared" si="17"/>
        <v>0</v>
      </c>
      <c r="EJ29" s="423">
        <v>0</v>
      </c>
      <c r="EK29" s="423">
        <v>0</v>
      </c>
      <c r="EL29" s="423">
        <v>0</v>
      </c>
      <c r="EM29" s="423">
        <v>0</v>
      </c>
      <c r="EN29" s="423">
        <v>0</v>
      </c>
      <c r="EO29" s="423">
        <v>0</v>
      </c>
      <c r="EP29" s="423">
        <v>0</v>
      </c>
      <c r="EQ29" s="423">
        <v>0</v>
      </c>
      <c r="ER29" s="423">
        <v>0</v>
      </c>
      <c r="ES29" s="423">
        <v>0</v>
      </c>
      <c r="ET29" s="423">
        <v>0</v>
      </c>
      <c r="EU29" s="423">
        <v>0</v>
      </c>
      <c r="EV29" s="410">
        <f t="shared" si="18"/>
        <v>0</v>
      </c>
      <c r="EW29" s="416">
        <f t="shared" si="19"/>
        <v>2.2069433143311834E-2</v>
      </c>
      <c r="EX29" s="417">
        <f>IFERROR(VLOOKUP(H29,CEI_012018!$A$1:$U$509,9,FALSE),0)</f>
        <v>0</v>
      </c>
      <c r="EY29" s="417">
        <f>IFERROR(VLOOKUP(H29,CEI_022018!$A$1:$U$509,9,FALSE),0)</f>
        <v>0</v>
      </c>
      <c r="EZ29" s="417">
        <f>IFERROR(VLOOKUP(H29,CEI_032018!$A$1:$U$509,9,FALSE),0)</f>
        <v>0</v>
      </c>
      <c r="FA29" s="417">
        <f>IFERROR(VLOOKUP(H29,CEI_042018!$A$1:$U$491,9,FALSE),0)</f>
        <v>0</v>
      </c>
      <c r="FB29" s="417">
        <f>IFERROR(VLOOKUP(H29,CEI_052018!$A$1:$U$489,9,FALSE),0)</f>
        <v>0</v>
      </c>
      <c r="FC29" s="417">
        <f>IFERROR(VLOOKUP(H29,CEI_062018!$A$1:$U$489,9,FALSE),0)</f>
        <v>0</v>
      </c>
      <c r="FD29" s="417">
        <f>IFERROR(VLOOKUP(H29,CEI_072018!$A$1:$U$489,9,FALSE),0)</f>
        <v>0</v>
      </c>
      <c r="FE29" s="417">
        <f>IFERROR(VLOOKUP(H29,CEI_082018!$A$1:$U$489,9,FALSE),0)</f>
        <v>0</v>
      </c>
      <c r="FF29" s="417">
        <f>IFERROR(VLOOKUP(H29,CEI_092018!$A$1:$U$489,9,FALSE),0)</f>
        <v>0</v>
      </c>
      <c r="FG29" s="417"/>
      <c r="FH29" s="417"/>
      <c r="FI29" s="417"/>
      <c r="FJ29" s="418">
        <f>IFERROR(VLOOKUP(H29,CEI_092018!$A$1:$U$489,12,FALSE),0)</f>
        <v>0</v>
      </c>
      <c r="FK29" s="418">
        <f t="shared" si="11"/>
        <v>0</v>
      </c>
      <c r="FL29" s="418">
        <f t="shared" si="12"/>
        <v>0</v>
      </c>
      <c r="FM29" s="417"/>
      <c r="FN29" s="417"/>
      <c r="FO29" s="417"/>
      <c r="FP29" s="417"/>
      <c r="FQ29" s="417"/>
      <c r="FR29" s="417"/>
      <c r="FS29" s="417"/>
      <c r="FT29" s="417"/>
      <c r="FU29" s="417"/>
      <c r="FV29" s="417"/>
      <c r="FW29" s="417"/>
      <c r="FX29" s="417"/>
      <c r="FY29" s="418"/>
      <c r="FZ29" s="418"/>
      <c r="GA29" s="418"/>
      <c r="GB29" s="417"/>
      <c r="GC29" s="417"/>
      <c r="GD29" s="417"/>
      <c r="GE29" s="417"/>
      <c r="GF29" s="417"/>
      <c r="GG29" s="417"/>
      <c r="GH29" s="417"/>
      <c r="GI29" s="417"/>
      <c r="GJ29" s="417"/>
      <c r="GK29" s="417"/>
      <c r="GL29" s="417"/>
      <c r="GM29" s="417"/>
      <c r="GN29" s="418"/>
      <c r="GO29" s="418"/>
      <c r="GP29" s="418"/>
      <c r="GQ29" s="417"/>
      <c r="GR29" s="417"/>
      <c r="GS29" s="417"/>
      <c r="GT29" s="417"/>
      <c r="GU29" s="417"/>
      <c r="GV29" s="417"/>
      <c r="GW29" s="417"/>
      <c r="GX29" s="417"/>
      <c r="GY29" s="417"/>
      <c r="GZ29" s="417"/>
      <c r="HA29" s="417"/>
      <c r="HB29" s="417"/>
      <c r="HC29" s="418"/>
      <c r="HD29" s="418"/>
      <c r="HE29" s="418"/>
      <c r="HF29" s="417"/>
      <c r="HG29" s="417"/>
      <c r="HH29" s="417"/>
      <c r="HI29" s="417"/>
      <c r="HJ29" s="417"/>
      <c r="HK29" s="417"/>
      <c r="HL29" s="417"/>
      <c r="HM29" s="417"/>
      <c r="HN29" s="417"/>
      <c r="HO29" s="417"/>
      <c r="HP29" s="417"/>
      <c r="HQ29" s="417"/>
      <c r="HR29" s="418"/>
      <c r="HS29" s="418"/>
      <c r="HT29" s="418"/>
    </row>
    <row r="30" spans="1:228" s="387" customFormat="1" ht="12.95" customHeight="1" x14ac:dyDescent="0.2">
      <c r="A30" s="406" t="s">
        <v>52</v>
      </c>
      <c r="B30" s="407" t="s">
        <v>27</v>
      </c>
      <c r="C30" s="406" t="s">
        <v>1862</v>
      </c>
      <c r="D30" s="407" t="s">
        <v>1863</v>
      </c>
      <c r="E30" s="406" t="s">
        <v>1862</v>
      </c>
      <c r="F30" s="407" t="s">
        <v>1863</v>
      </c>
      <c r="G30" s="406" t="s">
        <v>54</v>
      </c>
      <c r="H30" s="408" t="s">
        <v>520</v>
      </c>
      <c r="I30" s="408"/>
      <c r="J30" s="406" t="s">
        <v>1890</v>
      </c>
      <c r="K30" s="406"/>
      <c r="L30" s="406"/>
      <c r="M30" s="406"/>
      <c r="N30" s="452">
        <v>0</v>
      </c>
      <c r="O30" s="452">
        <v>0</v>
      </c>
      <c r="P30" s="452">
        <v>0</v>
      </c>
      <c r="Q30" s="452">
        <v>0</v>
      </c>
      <c r="R30" s="452">
        <v>0</v>
      </c>
      <c r="S30" s="452">
        <v>0</v>
      </c>
      <c r="T30" s="452">
        <v>0</v>
      </c>
      <c r="U30" s="409">
        <v>0</v>
      </c>
      <c r="V30" s="409"/>
      <c r="W30" s="409"/>
      <c r="X30" s="409"/>
      <c r="Y30" s="409"/>
      <c r="Z30" s="453">
        <f t="shared" si="13"/>
        <v>0</v>
      </c>
      <c r="AA30" s="452"/>
      <c r="AB30" s="452"/>
      <c r="AC30" s="452"/>
      <c r="AD30" s="452"/>
      <c r="AE30" s="452"/>
      <c r="AF30" s="452"/>
      <c r="AG30" s="452">
        <v>1.054160023843</v>
      </c>
      <c r="AH30" s="409"/>
      <c r="AI30" s="409"/>
      <c r="AJ30" s="409"/>
      <c r="AK30" s="409"/>
      <c r="AL30" s="409">
        <v>87</v>
      </c>
      <c r="AM30" s="453">
        <f t="shared" si="0"/>
        <v>88.054160023842996</v>
      </c>
      <c r="AN30" s="452"/>
      <c r="AO30" s="452"/>
      <c r="AP30" s="452"/>
      <c r="AQ30" s="452"/>
      <c r="AR30" s="452"/>
      <c r="AS30" s="452"/>
      <c r="AT30" s="452"/>
      <c r="AU30" s="409"/>
      <c r="AV30" s="409"/>
      <c r="AW30" s="409"/>
      <c r="AX30" s="409"/>
      <c r="AY30" s="409"/>
      <c r="AZ30" s="453">
        <f t="shared" si="1"/>
        <v>0</v>
      </c>
      <c r="BA30" s="452"/>
      <c r="BB30" s="452"/>
      <c r="BC30" s="452"/>
      <c r="BD30" s="452"/>
      <c r="BE30" s="452"/>
      <c r="BF30" s="452"/>
      <c r="BG30" s="452"/>
      <c r="BH30" s="409"/>
      <c r="BI30" s="409"/>
      <c r="BJ30" s="409"/>
      <c r="BK30" s="409"/>
      <c r="BL30" s="409"/>
      <c r="BM30" s="453">
        <f t="shared" si="2"/>
        <v>0</v>
      </c>
      <c r="BN30" s="452"/>
      <c r="BO30" s="452"/>
      <c r="BP30" s="452"/>
      <c r="BQ30" s="452"/>
      <c r="BR30" s="452"/>
      <c r="BS30" s="452"/>
      <c r="BT30" s="452"/>
      <c r="BU30" s="409"/>
      <c r="BV30" s="409"/>
      <c r="BW30" s="409"/>
      <c r="BX30" s="409"/>
      <c r="BY30" s="409"/>
      <c r="BZ30" s="453">
        <f t="shared" si="3"/>
        <v>0</v>
      </c>
      <c r="CA30" s="454">
        <f t="shared" si="4"/>
        <v>88.054160023842996</v>
      </c>
      <c r="CB30" s="411"/>
      <c r="CC30" s="411"/>
      <c r="CD30" s="411"/>
      <c r="CE30" s="411"/>
      <c r="CF30" s="411"/>
      <c r="CG30" s="412"/>
      <c r="CH30" s="413"/>
      <c r="CI30" s="414"/>
      <c r="CJ30" s="415"/>
      <c r="CK30" s="415"/>
      <c r="CL30" s="415"/>
      <c r="CM30" s="415"/>
      <c r="CN30" s="415"/>
      <c r="CO30" s="415"/>
      <c r="CP30" s="415"/>
      <c r="CQ30" s="415"/>
      <c r="CR30" s="415"/>
      <c r="CS30" s="415"/>
      <c r="CT30" s="415"/>
      <c r="CU30" s="415"/>
      <c r="CV30" s="410"/>
      <c r="CW30" s="415"/>
      <c r="CX30" s="415"/>
      <c r="CY30" s="415"/>
      <c r="CZ30" s="415"/>
      <c r="DA30" s="415"/>
      <c r="DB30" s="415"/>
      <c r="DC30" s="415"/>
      <c r="DD30" s="415"/>
      <c r="DE30" s="415"/>
      <c r="DF30" s="415"/>
      <c r="DG30" s="415"/>
      <c r="DH30" s="415"/>
      <c r="DI30" s="410"/>
      <c r="DJ30" s="415"/>
      <c r="DK30" s="415"/>
      <c r="DL30" s="415"/>
      <c r="DM30" s="415"/>
      <c r="DN30" s="415"/>
      <c r="DO30" s="415"/>
      <c r="DP30" s="415"/>
      <c r="DQ30" s="415"/>
      <c r="DR30" s="415"/>
      <c r="DS30" s="415"/>
      <c r="DT30" s="415"/>
      <c r="DU30" s="415"/>
      <c r="DV30" s="410"/>
      <c r="DW30" s="415"/>
      <c r="DX30" s="415"/>
      <c r="DY30" s="415"/>
      <c r="DZ30" s="415"/>
      <c r="EA30" s="415"/>
      <c r="EB30" s="415"/>
      <c r="EC30" s="415"/>
      <c r="ED30" s="415"/>
      <c r="EE30" s="415"/>
      <c r="EF30" s="415"/>
      <c r="EG30" s="415"/>
      <c r="EH30" s="415"/>
      <c r="EI30" s="410"/>
      <c r="EJ30" s="415"/>
      <c r="EK30" s="415"/>
      <c r="EL30" s="415"/>
      <c r="EM30" s="415"/>
      <c r="EN30" s="415"/>
      <c r="EO30" s="415"/>
      <c r="EP30" s="415"/>
      <c r="EQ30" s="415"/>
      <c r="ER30" s="415"/>
      <c r="ES30" s="415"/>
      <c r="ET30" s="415"/>
      <c r="EU30" s="415"/>
      <c r="EV30" s="410"/>
      <c r="EW30" s="416"/>
      <c r="EX30" s="417"/>
      <c r="EY30" s="417"/>
      <c r="EZ30" s="417"/>
      <c r="FA30" s="417"/>
      <c r="FB30" s="417"/>
      <c r="FC30" s="417"/>
      <c r="FD30" s="417">
        <f>IFERROR(VLOOKUP(H30,CEI_072018!$A$1:$U$489,9,FALSE),0)</f>
        <v>0</v>
      </c>
      <c r="FE30" s="417">
        <f>IFERROR(VLOOKUP(H30,CEI_082018!$A$1:$U$489,9,FALSE),0)</f>
        <v>0</v>
      </c>
      <c r="FF30" s="417">
        <f>IFERROR(VLOOKUP(H30,CEI_092018!$A$1:$U$489,9,FALSE),0)</f>
        <v>0</v>
      </c>
      <c r="FG30" s="417"/>
      <c r="FH30" s="417"/>
      <c r="FI30" s="417"/>
      <c r="FJ30" s="418">
        <f>IFERROR(VLOOKUP(H30,CEI_092018!$A$1:$U$489,12,FALSE),0)</f>
        <v>0</v>
      </c>
      <c r="FK30" s="418">
        <f t="shared" si="11"/>
        <v>0</v>
      </c>
      <c r="FL30" s="418">
        <f t="shared" si="12"/>
        <v>0</v>
      </c>
      <c r="FM30" s="417"/>
      <c r="FN30" s="417"/>
      <c r="FO30" s="417"/>
      <c r="FP30" s="417"/>
      <c r="FQ30" s="417"/>
      <c r="FR30" s="417"/>
      <c r="FS30" s="417"/>
      <c r="FT30" s="417"/>
      <c r="FU30" s="417"/>
      <c r="FV30" s="417"/>
      <c r="FW30" s="417"/>
      <c r="FX30" s="417"/>
      <c r="FY30" s="418"/>
      <c r="FZ30" s="418"/>
      <c r="GA30" s="418"/>
      <c r="GB30" s="417"/>
      <c r="GC30" s="417"/>
      <c r="GD30" s="417"/>
      <c r="GE30" s="417"/>
      <c r="GF30" s="417"/>
      <c r="GG30" s="417"/>
      <c r="GH30" s="417"/>
      <c r="GI30" s="417"/>
      <c r="GJ30" s="417"/>
      <c r="GK30" s="417"/>
      <c r="GL30" s="417"/>
      <c r="GM30" s="417"/>
      <c r="GN30" s="418"/>
      <c r="GO30" s="418"/>
      <c r="GP30" s="418"/>
      <c r="GQ30" s="417"/>
      <c r="GR30" s="417"/>
      <c r="GS30" s="417"/>
      <c r="GT30" s="417"/>
      <c r="GU30" s="417"/>
      <c r="GV30" s="417"/>
      <c r="GW30" s="417"/>
      <c r="GX30" s="417"/>
      <c r="GY30" s="417"/>
      <c r="GZ30" s="417"/>
      <c r="HA30" s="417"/>
      <c r="HB30" s="417"/>
      <c r="HC30" s="418"/>
      <c r="HD30" s="418"/>
      <c r="HE30" s="418"/>
      <c r="HF30" s="417"/>
      <c r="HG30" s="417"/>
      <c r="HH30" s="417"/>
      <c r="HI30" s="417"/>
      <c r="HJ30" s="417"/>
      <c r="HK30" s="417"/>
      <c r="HL30" s="417"/>
      <c r="HM30" s="417"/>
      <c r="HN30" s="417"/>
      <c r="HO30" s="417"/>
      <c r="HP30" s="417"/>
      <c r="HQ30" s="417"/>
      <c r="HR30" s="418"/>
      <c r="HS30" s="418"/>
      <c r="HT30" s="418"/>
    </row>
    <row r="31" spans="1:228" s="387" customFormat="1" ht="12.95" customHeight="1" x14ac:dyDescent="0.2">
      <c r="A31" s="406" t="s">
        <v>52</v>
      </c>
      <c r="B31" s="407" t="s">
        <v>1431</v>
      </c>
      <c r="C31" s="406" t="s">
        <v>1862</v>
      </c>
      <c r="D31" s="407" t="s">
        <v>1863</v>
      </c>
      <c r="E31" s="406" t="s">
        <v>1862</v>
      </c>
      <c r="F31" s="407" t="s">
        <v>1863</v>
      </c>
      <c r="G31" s="406" t="s">
        <v>54</v>
      </c>
      <c r="H31" s="408" t="s">
        <v>520</v>
      </c>
      <c r="I31" s="408"/>
      <c r="J31" s="406" t="s">
        <v>1864</v>
      </c>
      <c r="K31" s="406"/>
      <c r="L31" s="406"/>
      <c r="M31" s="406"/>
      <c r="N31" s="452">
        <v>0</v>
      </c>
      <c r="O31" s="452">
        <v>0</v>
      </c>
      <c r="P31" s="452">
        <v>0</v>
      </c>
      <c r="Q31" s="452">
        <v>0</v>
      </c>
      <c r="R31" s="452">
        <v>0</v>
      </c>
      <c r="S31" s="452">
        <v>0</v>
      </c>
      <c r="T31" s="452">
        <v>0</v>
      </c>
      <c r="U31" s="409">
        <v>0</v>
      </c>
      <c r="V31" s="409"/>
      <c r="W31" s="409"/>
      <c r="X31" s="409"/>
      <c r="Y31" s="409"/>
      <c r="Z31" s="453">
        <f t="shared" si="13"/>
        <v>0</v>
      </c>
      <c r="AA31" s="452"/>
      <c r="AB31" s="452"/>
      <c r="AC31" s="452"/>
      <c r="AD31" s="452"/>
      <c r="AE31" s="452"/>
      <c r="AF31" s="452"/>
      <c r="AG31" s="452">
        <f>1.59058857142855+4</f>
        <v>5.5905885714285501</v>
      </c>
      <c r="AH31" s="409"/>
      <c r="AI31" s="409"/>
      <c r="AJ31" s="409"/>
      <c r="AK31" s="409"/>
      <c r="AL31" s="409"/>
      <c r="AM31" s="453">
        <f t="shared" si="0"/>
        <v>5.5905885714285501</v>
      </c>
      <c r="AN31" s="452"/>
      <c r="AO31" s="452"/>
      <c r="AP31" s="452"/>
      <c r="AQ31" s="452"/>
      <c r="AR31" s="452"/>
      <c r="AS31" s="452"/>
      <c r="AT31" s="452"/>
      <c r="AU31" s="409"/>
      <c r="AV31" s="409"/>
      <c r="AW31" s="409"/>
      <c r="AX31" s="409"/>
      <c r="AY31" s="409"/>
      <c r="AZ31" s="453">
        <f t="shared" si="1"/>
        <v>0</v>
      </c>
      <c r="BA31" s="452"/>
      <c r="BB31" s="452"/>
      <c r="BC31" s="452"/>
      <c r="BD31" s="452"/>
      <c r="BE31" s="452"/>
      <c r="BF31" s="452"/>
      <c r="BG31" s="452"/>
      <c r="BH31" s="409"/>
      <c r="BI31" s="409"/>
      <c r="BJ31" s="409"/>
      <c r="BK31" s="409"/>
      <c r="BL31" s="409"/>
      <c r="BM31" s="453">
        <f t="shared" si="2"/>
        <v>0</v>
      </c>
      <c r="BN31" s="452"/>
      <c r="BO31" s="452"/>
      <c r="BP31" s="452"/>
      <c r="BQ31" s="452"/>
      <c r="BR31" s="452"/>
      <c r="BS31" s="452"/>
      <c r="BT31" s="452"/>
      <c r="BU31" s="409"/>
      <c r="BV31" s="409"/>
      <c r="BW31" s="409"/>
      <c r="BX31" s="409"/>
      <c r="BY31" s="409"/>
      <c r="BZ31" s="453">
        <f t="shared" si="3"/>
        <v>0</v>
      </c>
      <c r="CA31" s="454">
        <f t="shared" si="4"/>
        <v>5.5905885714285501</v>
      </c>
      <c r="CB31" s="411"/>
      <c r="CC31" s="411"/>
      <c r="CD31" s="411"/>
      <c r="CE31" s="411"/>
      <c r="CF31" s="411"/>
      <c r="CG31" s="412"/>
      <c r="CH31" s="413"/>
      <c r="CI31" s="414"/>
      <c r="CJ31" s="415"/>
      <c r="CK31" s="415"/>
      <c r="CL31" s="415"/>
      <c r="CM31" s="415"/>
      <c r="CN31" s="415"/>
      <c r="CO31" s="415"/>
      <c r="CP31" s="415"/>
      <c r="CQ31" s="415"/>
      <c r="CR31" s="415"/>
      <c r="CS31" s="415"/>
      <c r="CT31" s="415"/>
      <c r="CU31" s="415"/>
      <c r="CV31" s="410"/>
      <c r="CW31" s="415"/>
      <c r="CX31" s="415"/>
      <c r="CY31" s="415"/>
      <c r="CZ31" s="415"/>
      <c r="DA31" s="415"/>
      <c r="DB31" s="415"/>
      <c r="DC31" s="415"/>
      <c r="DD31" s="415"/>
      <c r="DE31" s="415"/>
      <c r="DF31" s="415"/>
      <c r="DG31" s="415"/>
      <c r="DH31" s="415"/>
      <c r="DI31" s="410"/>
      <c r="DJ31" s="415"/>
      <c r="DK31" s="415"/>
      <c r="DL31" s="415"/>
      <c r="DM31" s="415"/>
      <c r="DN31" s="415"/>
      <c r="DO31" s="415"/>
      <c r="DP31" s="415"/>
      <c r="DQ31" s="415"/>
      <c r="DR31" s="415"/>
      <c r="DS31" s="415"/>
      <c r="DT31" s="415"/>
      <c r="DU31" s="415"/>
      <c r="DV31" s="410"/>
      <c r="DW31" s="415"/>
      <c r="DX31" s="415"/>
      <c r="DY31" s="415"/>
      <c r="DZ31" s="415"/>
      <c r="EA31" s="415"/>
      <c r="EB31" s="415"/>
      <c r="EC31" s="415"/>
      <c r="ED31" s="415"/>
      <c r="EE31" s="415"/>
      <c r="EF31" s="415"/>
      <c r="EG31" s="415"/>
      <c r="EH31" s="415"/>
      <c r="EI31" s="410"/>
      <c r="EJ31" s="415"/>
      <c r="EK31" s="415"/>
      <c r="EL31" s="415"/>
      <c r="EM31" s="415"/>
      <c r="EN31" s="415"/>
      <c r="EO31" s="415"/>
      <c r="EP31" s="415"/>
      <c r="EQ31" s="415"/>
      <c r="ER31" s="415"/>
      <c r="ES31" s="415"/>
      <c r="ET31" s="415"/>
      <c r="EU31" s="415"/>
      <c r="EV31" s="410"/>
      <c r="EW31" s="416"/>
      <c r="EX31" s="417">
        <f>IFERROR(VLOOKUP(H31,CEI_012018!$A$1:$U$509,9,FALSE),0)</f>
        <v>0</v>
      </c>
      <c r="EY31" s="417">
        <f>IFERROR(VLOOKUP(H31,CEI_022018!$A$1:$U$509,9,FALSE),0)</f>
        <v>0</v>
      </c>
      <c r="EZ31" s="417">
        <f>IFERROR(VLOOKUP(H31,CEI_032018!$A$1:$U$509,9,FALSE),0)</f>
        <v>0</v>
      </c>
      <c r="FA31" s="417">
        <f>IFERROR(VLOOKUP(H31,CEI_042018!$A$1:$U$491,9,FALSE),0)</f>
        <v>0</v>
      </c>
      <c r="FB31" s="417">
        <f>IFERROR(VLOOKUP(H31,CEI_052018!$A$1:$U$489,9,FALSE),0)</f>
        <v>0</v>
      </c>
      <c r="FC31" s="417">
        <f>IFERROR(VLOOKUP(H31,CEI_062018!$A$1:$U$489,9,FALSE),0)</f>
        <v>0</v>
      </c>
      <c r="FD31" s="417">
        <f>IFERROR(VLOOKUP(H31,CEI_072018!$A$1:$U$489,9,FALSE),0)</f>
        <v>0</v>
      </c>
      <c r="FE31" s="417">
        <f>IFERROR(VLOOKUP(H31,CEI_082018!$A$1:$U$489,9,FALSE),0)</f>
        <v>0</v>
      </c>
      <c r="FF31" s="417">
        <f>IFERROR(VLOOKUP(H31,CEI_092018!$A$1:$U$489,9,FALSE),0)</f>
        <v>0</v>
      </c>
      <c r="FG31" s="417"/>
      <c r="FH31" s="417"/>
      <c r="FI31" s="417"/>
      <c r="FJ31" s="418">
        <f>IFERROR(VLOOKUP(H31,CEI_092018!$A$1:$U$489,12,FALSE),0)</f>
        <v>0</v>
      </c>
      <c r="FK31" s="418">
        <f t="shared" si="11"/>
        <v>0</v>
      </c>
      <c r="FL31" s="418">
        <f t="shared" si="12"/>
        <v>0</v>
      </c>
      <c r="FM31" s="417"/>
      <c r="FN31" s="417"/>
      <c r="FO31" s="417"/>
      <c r="FP31" s="417"/>
      <c r="FQ31" s="417"/>
      <c r="FR31" s="417"/>
      <c r="FS31" s="417"/>
      <c r="FT31" s="417"/>
      <c r="FU31" s="417"/>
      <c r="FV31" s="417"/>
      <c r="FW31" s="417"/>
      <c r="FX31" s="417"/>
      <c r="FY31" s="418"/>
      <c r="FZ31" s="418"/>
      <c r="GA31" s="418"/>
      <c r="GB31" s="417"/>
      <c r="GC31" s="417"/>
      <c r="GD31" s="417"/>
      <c r="GE31" s="417"/>
      <c r="GF31" s="417"/>
      <c r="GG31" s="417"/>
      <c r="GH31" s="417"/>
      <c r="GI31" s="417"/>
      <c r="GJ31" s="417"/>
      <c r="GK31" s="417"/>
      <c r="GL31" s="417"/>
      <c r="GM31" s="417"/>
      <c r="GN31" s="418"/>
      <c r="GO31" s="418"/>
      <c r="GP31" s="418"/>
      <c r="GQ31" s="417"/>
      <c r="GR31" s="417"/>
      <c r="GS31" s="417"/>
      <c r="GT31" s="417"/>
      <c r="GU31" s="417"/>
      <c r="GV31" s="417"/>
      <c r="GW31" s="417"/>
      <c r="GX31" s="417"/>
      <c r="GY31" s="417"/>
      <c r="GZ31" s="417"/>
      <c r="HA31" s="417"/>
      <c r="HB31" s="417"/>
      <c r="HC31" s="418"/>
      <c r="HD31" s="418"/>
      <c r="HE31" s="418"/>
      <c r="HF31" s="417"/>
      <c r="HG31" s="417"/>
      <c r="HH31" s="417"/>
      <c r="HI31" s="417"/>
      <c r="HJ31" s="417"/>
      <c r="HK31" s="417"/>
      <c r="HL31" s="417"/>
      <c r="HM31" s="417"/>
      <c r="HN31" s="417"/>
      <c r="HO31" s="417"/>
      <c r="HP31" s="417"/>
      <c r="HQ31" s="417"/>
      <c r="HR31" s="418"/>
      <c r="HS31" s="418"/>
      <c r="HT31" s="418"/>
    </row>
    <row r="32" spans="1:228" s="387" customFormat="1" ht="12.95" customHeight="1" x14ac:dyDescent="0.2">
      <c r="A32" s="406" t="s">
        <v>55</v>
      </c>
      <c r="B32" s="407" t="s">
        <v>38</v>
      </c>
      <c r="C32" s="406" t="s">
        <v>1862</v>
      </c>
      <c r="D32" s="407" t="s">
        <v>1863</v>
      </c>
      <c r="E32" s="406" t="s">
        <v>1862</v>
      </c>
      <c r="F32" s="407" t="s">
        <v>1863</v>
      </c>
      <c r="G32" s="406" t="s">
        <v>54</v>
      </c>
      <c r="H32" s="408" t="s">
        <v>520</v>
      </c>
      <c r="I32" s="408"/>
      <c r="J32" s="406" t="s">
        <v>1895</v>
      </c>
      <c r="K32" s="406"/>
      <c r="L32" s="406"/>
      <c r="M32" s="406"/>
      <c r="N32" s="452">
        <v>0</v>
      </c>
      <c r="O32" s="452">
        <v>0</v>
      </c>
      <c r="P32" s="452">
        <v>0</v>
      </c>
      <c r="Q32" s="452">
        <v>0</v>
      </c>
      <c r="R32" s="452">
        <v>0</v>
      </c>
      <c r="S32" s="452">
        <v>0</v>
      </c>
      <c r="T32" s="452">
        <v>0</v>
      </c>
      <c r="U32" s="409">
        <v>0</v>
      </c>
      <c r="V32" s="409"/>
      <c r="W32" s="409"/>
      <c r="X32" s="409"/>
      <c r="Y32" s="409"/>
      <c r="Z32" s="453">
        <f t="shared" si="13"/>
        <v>0</v>
      </c>
      <c r="AA32" s="452"/>
      <c r="AB32" s="452"/>
      <c r="AC32" s="452"/>
      <c r="AD32" s="452"/>
      <c r="AE32" s="452"/>
      <c r="AF32" s="452"/>
      <c r="AG32" s="452"/>
      <c r="AH32" s="409"/>
      <c r="AI32" s="409"/>
      <c r="AJ32" s="409"/>
      <c r="AK32" s="409"/>
      <c r="AL32" s="409"/>
      <c r="AM32" s="453">
        <f t="shared" si="0"/>
        <v>0</v>
      </c>
      <c r="AN32" s="452"/>
      <c r="AO32" s="452"/>
      <c r="AP32" s="452"/>
      <c r="AQ32" s="452"/>
      <c r="AR32" s="452"/>
      <c r="AS32" s="452"/>
      <c r="AT32" s="452"/>
      <c r="AU32" s="409"/>
      <c r="AV32" s="409"/>
      <c r="AW32" s="409"/>
      <c r="AX32" s="409"/>
      <c r="AY32" s="409"/>
      <c r="AZ32" s="453">
        <f t="shared" si="1"/>
        <v>0</v>
      </c>
      <c r="BA32" s="452"/>
      <c r="BB32" s="452"/>
      <c r="BC32" s="452"/>
      <c r="BD32" s="452"/>
      <c r="BE32" s="452"/>
      <c r="BF32" s="452"/>
      <c r="BG32" s="452"/>
      <c r="BH32" s="409"/>
      <c r="BI32" s="409"/>
      <c r="BJ32" s="409"/>
      <c r="BK32" s="409"/>
      <c r="BL32" s="409"/>
      <c r="BM32" s="453">
        <f t="shared" si="2"/>
        <v>0</v>
      </c>
      <c r="BN32" s="452"/>
      <c r="BO32" s="452"/>
      <c r="BP32" s="452"/>
      <c r="BQ32" s="452"/>
      <c r="BR32" s="452"/>
      <c r="BS32" s="452"/>
      <c r="BT32" s="452"/>
      <c r="BU32" s="409"/>
      <c r="BV32" s="409"/>
      <c r="BW32" s="409"/>
      <c r="BX32" s="409"/>
      <c r="BY32" s="409"/>
      <c r="BZ32" s="453">
        <f t="shared" si="3"/>
        <v>0</v>
      </c>
      <c r="CA32" s="454">
        <f t="shared" si="4"/>
        <v>0</v>
      </c>
      <c r="CB32" s="419"/>
      <c r="CC32" s="419"/>
      <c r="CD32" s="419"/>
      <c r="CE32" s="419"/>
      <c r="CF32" s="419"/>
      <c r="CG32" s="420"/>
      <c r="CH32" s="421"/>
      <c r="CI32" s="414"/>
      <c r="CJ32" s="422"/>
      <c r="CK32" s="422"/>
      <c r="CL32" s="422"/>
      <c r="CM32" s="422"/>
      <c r="CN32" s="428"/>
      <c r="CO32" s="428"/>
      <c r="CP32" s="428"/>
      <c r="CQ32" s="428"/>
      <c r="CR32" s="428"/>
      <c r="CS32" s="428"/>
      <c r="CT32" s="428"/>
      <c r="CU32" s="428"/>
      <c r="CV32" s="410"/>
      <c r="CW32" s="422"/>
      <c r="CX32" s="422"/>
      <c r="CY32" s="422"/>
      <c r="CZ32" s="422"/>
      <c r="DA32" s="428"/>
      <c r="DB32" s="428"/>
      <c r="DC32" s="428"/>
      <c r="DD32" s="428"/>
      <c r="DE32" s="428"/>
      <c r="DF32" s="428"/>
      <c r="DG32" s="428"/>
      <c r="DH32" s="428"/>
      <c r="DI32" s="410"/>
      <c r="DJ32" s="422"/>
      <c r="DK32" s="422"/>
      <c r="DL32" s="422"/>
      <c r="DM32" s="422"/>
      <c r="DN32" s="428"/>
      <c r="DO32" s="428"/>
      <c r="DP32" s="428"/>
      <c r="DQ32" s="428"/>
      <c r="DR32" s="428"/>
      <c r="DS32" s="428"/>
      <c r="DT32" s="428"/>
      <c r="DU32" s="428"/>
      <c r="DV32" s="410"/>
      <c r="DW32" s="422"/>
      <c r="DX32" s="422"/>
      <c r="DY32" s="422"/>
      <c r="DZ32" s="422"/>
      <c r="EA32" s="428"/>
      <c r="EB32" s="428"/>
      <c r="EC32" s="428"/>
      <c r="ED32" s="428"/>
      <c r="EE32" s="428"/>
      <c r="EF32" s="428"/>
      <c r="EG32" s="428"/>
      <c r="EH32" s="428"/>
      <c r="EI32" s="410"/>
      <c r="EJ32" s="422"/>
      <c r="EK32" s="422"/>
      <c r="EL32" s="422"/>
      <c r="EM32" s="422"/>
      <c r="EN32" s="428"/>
      <c r="EO32" s="428"/>
      <c r="EP32" s="428"/>
      <c r="EQ32" s="428"/>
      <c r="ER32" s="428"/>
      <c r="ES32" s="428"/>
      <c r="ET32" s="428"/>
      <c r="EU32" s="428"/>
      <c r="EV32" s="410"/>
      <c r="EW32" s="416"/>
      <c r="EX32" s="417"/>
      <c r="EY32" s="417"/>
      <c r="EZ32" s="417"/>
      <c r="FA32" s="417"/>
      <c r="FB32" s="417"/>
      <c r="FC32" s="417"/>
      <c r="FD32" s="417">
        <f>IFERROR(VLOOKUP(H32,CEI_072018!$A$1:$U$489,9,FALSE),0)</f>
        <v>0</v>
      </c>
      <c r="FE32" s="417">
        <f>IFERROR(VLOOKUP(H32,CEI_082018!$A$1:$U$489,9,FALSE),0)</f>
        <v>0</v>
      </c>
      <c r="FF32" s="417">
        <f>IFERROR(VLOOKUP(H32,CEI_092018!$A$1:$U$489,9,FALSE),0)</f>
        <v>0</v>
      </c>
      <c r="FG32" s="417"/>
      <c r="FH32" s="417"/>
      <c r="FI32" s="417"/>
      <c r="FJ32" s="418">
        <f>IFERROR(VLOOKUP(H32,CEI_092018!$A$1:$U$489,12,FALSE),0)</f>
        <v>0</v>
      </c>
      <c r="FK32" s="418">
        <f t="shared" si="11"/>
        <v>0</v>
      </c>
      <c r="FL32" s="418">
        <f t="shared" si="12"/>
        <v>0</v>
      </c>
      <c r="FM32" s="417"/>
      <c r="FN32" s="417"/>
      <c r="FO32" s="417"/>
      <c r="FP32" s="417"/>
      <c r="FQ32" s="417"/>
      <c r="FR32" s="417"/>
      <c r="FS32" s="417"/>
      <c r="FT32" s="417"/>
      <c r="FU32" s="417"/>
      <c r="FV32" s="417"/>
      <c r="FW32" s="417"/>
      <c r="FX32" s="417"/>
      <c r="FY32" s="418"/>
      <c r="FZ32" s="418"/>
      <c r="GA32" s="418"/>
      <c r="GB32" s="417"/>
      <c r="GC32" s="417"/>
      <c r="GD32" s="417"/>
      <c r="GE32" s="417"/>
      <c r="GF32" s="417"/>
      <c r="GG32" s="417"/>
      <c r="GH32" s="417"/>
      <c r="GI32" s="417"/>
      <c r="GJ32" s="417"/>
      <c r="GK32" s="417"/>
      <c r="GL32" s="417"/>
      <c r="GM32" s="417"/>
      <c r="GN32" s="418"/>
      <c r="GO32" s="418"/>
      <c r="GP32" s="418"/>
      <c r="GQ32" s="417"/>
      <c r="GR32" s="417"/>
      <c r="GS32" s="417"/>
      <c r="GT32" s="417"/>
      <c r="GU32" s="417"/>
      <c r="GV32" s="417"/>
      <c r="GW32" s="417"/>
      <c r="GX32" s="417"/>
      <c r="GY32" s="417"/>
      <c r="GZ32" s="417"/>
      <c r="HA32" s="417"/>
      <c r="HB32" s="417"/>
      <c r="HC32" s="418"/>
      <c r="HD32" s="418"/>
      <c r="HE32" s="418"/>
      <c r="HF32" s="417"/>
      <c r="HG32" s="417"/>
      <c r="HH32" s="417"/>
      <c r="HI32" s="417"/>
      <c r="HJ32" s="417"/>
      <c r="HK32" s="417"/>
      <c r="HL32" s="417"/>
      <c r="HM32" s="417"/>
      <c r="HN32" s="417"/>
      <c r="HO32" s="417"/>
      <c r="HP32" s="417"/>
      <c r="HQ32" s="417"/>
      <c r="HR32" s="418"/>
      <c r="HS32" s="418"/>
      <c r="HT32" s="418"/>
    </row>
    <row r="33" spans="1:228" s="387" customFormat="1" ht="12.95" customHeight="1" x14ac:dyDescent="0.2">
      <c r="A33" s="406" t="s">
        <v>55</v>
      </c>
      <c r="B33" s="407" t="s">
        <v>39</v>
      </c>
      <c r="C33" s="406" t="s">
        <v>1862</v>
      </c>
      <c r="D33" s="407" t="s">
        <v>1885</v>
      </c>
      <c r="E33" s="406" t="s">
        <v>1862</v>
      </c>
      <c r="F33" s="407" t="s">
        <v>1885</v>
      </c>
      <c r="G33" s="406" t="s">
        <v>54</v>
      </c>
      <c r="H33" s="408" t="s">
        <v>1897</v>
      </c>
      <c r="I33" s="408" t="s">
        <v>1898</v>
      </c>
      <c r="J33" s="406" t="s">
        <v>1881</v>
      </c>
      <c r="K33" s="406"/>
      <c r="L33" s="406"/>
      <c r="M33" s="406"/>
      <c r="N33" s="452">
        <v>0</v>
      </c>
      <c r="O33" s="452">
        <v>0</v>
      </c>
      <c r="P33" s="452">
        <v>0</v>
      </c>
      <c r="Q33" s="452">
        <v>0</v>
      </c>
      <c r="R33" s="452">
        <v>0</v>
      </c>
      <c r="S33" s="452">
        <v>0</v>
      </c>
      <c r="T33" s="452">
        <v>0</v>
      </c>
      <c r="U33" s="409">
        <v>0</v>
      </c>
      <c r="V33" s="409"/>
      <c r="W33" s="409"/>
      <c r="X33" s="409"/>
      <c r="Y33" s="409">
        <v>25</v>
      </c>
      <c r="Z33" s="453">
        <f t="shared" si="13"/>
        <v>25</v>
      </c>
      <c r="AA33" s="452"/>
      <c r="AB33" s="452"/>
      <c r="AC33" s="452"/>
      <c r="AD33" s="452"/>
      <c r="AE33" s="452"/>
      <c r="AF33" s="452"/>
      <c r="AG33" s="452"/>
      <c r="AH33" s="409"/>
      <c r="AI33" s="409"/>
      <c r="AJ33" s="409"/>
      <c r="AK33" s="409"/>
      <c r="AL33" s="409"/>
      <c r="AM33" s="453">
        <f t="shared" si="0"/>
        <v>0</v>
      </c>
      <c r="AN33" s="452"/>
      <c r="AO33" s="452"/>
      <c r="AP33" s="452"/>
      <c r="AQ33" s="452"/>
      <c r="AR33" s="452"/>
      <c r="AS33" s="452"/>
      <c r="AT33" s="452"/>
      <c r="AU33" s="409"/>
      <c r="AV33" s="409"/>
      <c r="AW33" s="409"/>
      <c r="AX33" s="409"/>
      <c r="AY33" s="409"/>
      <c r="AZ33" s="453">
        <f t="shared" si="1"/>
        <v>0</v>
      </c>
      <c r="BA33" s="452"/>
      <c r="BB33" s="452"/>
      <c r="BC33" s="452"/>
      <c r="BD33" s="452"/>
      <c r="BE33" s="452"/>
      <c r="BF33" s="452"/>
      <c r="BG33" s="452"/>
      <c r="BH33" s="409"/>
      <c r="BI33" s="409"/>
      <c r="BJ33" s="409"/>
      <c r="BK33" s="409"/>
      <c r="BL33" s="409"/>
      <c r="BM33" s="453">
        <f t="shared" si="2"/>
        <v>0</v>
      </c>
      <c r="BN33" s="452"/>
      <c r="BO33" s="452"/>
      <c r="BP33" s="452"/>
      <c r="BQ33" s="452"/>
      <c r="BR33" s="452"/>
      <c r="BS33" s="452"/>
      <c r="BT33" s="452"/>
      <c r="BU33" s="409"/>
      <c r="BV33" s="409"/>
      <c r="BW33" s="409"/>
      <c r="BX33" s="409"/>
      <c r="BY33" s="409"/>
      <c r="BZ33" s="453">
        <f t="shared" si="3"/>
        <v>0</v>
      </c>
      <c r="CA33" s="454">
        <f t="shared" si="4"/>
        <v>25</v>
      </c>
      <c r="CB33" s="419"/>
      <c r="CC33" s="419">
        <v>1</v>
      </c>
      <c r="CD33" s="419">
        <v>1</v>
      </c>
      <c r="CE33" s="419">
        <v>-1</v>
      </c>
      <c r="CF33" s="419">
        <v>-1</v>
      </c>
      <c r="CG33" s="420">
        <f>IFERROR((FE33/Z33%),0)</f>
        <v>0</v>
      </c>
      <c r="CH33" s="421">
        <f>IFERROR((FK33/Z33%),0)</f>
        <v>0</v>
      </c>
      <c r="CI33" s="414"/>
      <c r="CJ33" s="415"/>
      <c r="CK33" s="415"/>
      <c r="CL33" s="415"/>
      <c r="CM33" s="415"/>
      <c r="CN33" s="415"/>
      <c r="CO33" s="415"/>
      <c r="CP33" s="415"/>
      <c r="CQ33" s="415"/>
      <c r="CR33" s="415"/>
      <c r="CS33" s="415"/>
      <c r="CT33" s="415"/>
      <c r="CU33" s="415"/>
      <c r="CV33" s="410"/>
      <c r="CW33" s="415"/>
      <c r="CX33" s="415"/>
      <c r="CY33" s="415"/>
      <c r="CZ33" s="415"/>
      <c r="DA33" s="415"/>
      <c r="DB33" s="415"/>
      <c r="DC33" s="415"/>
      <c r="DD33" s="415"/>
      <c r="DE33" s="415"/>
      <c r="DF33" s="415"/>
      <c r="DG33" s="415"/>
      <c r="DH33" s="415"/>
      <c r="DI33" s="410"/>
      <c r="DJ33" s="415"/>
      <c r="DK33" s="415"/>
      <c r="DL33" s="415"/>
      <c r="DM33" s="415"/>
      <c r="DN33" s="415"/>
      <c r="DO33" s="415"/>
      <c r="DP33" s="415"/>
      <c r="DQ33" s="415"/>
      <c r="DR33" s="415"/>
      <c r="DS33" s="415"/>
      <c r="DT33" s="415"/>
      <c r="DU33" s="415"/>
      <c r="DV33" s="410"/>
      <c r="DW33" s="415"/>
      <c r="DX33" s="415"/>
      <c r="DY33" s="415"/>
      <c r="DZ33" s="415"/>
      <c r="EA33" s="415"/>
      <c r="EB33" s="415"/>
      <c r="EC33" s="415"/>
      <c r="ED33" s="415"/>
      <c r="EE33" s="415"/>
      <c r="EF33" s="415"/>
      <c r="EG33" s="415"/>
      <c r="EH33" s="415"/>
      <c r="EI33" s="410"/>
      <c r="EJ33" s="415"/>
      <c r="EK33" s="415"/>
      <c r="EL33" s="415"/>
      <c r="EM33" s="415"/>
      <c r="EN33" s="415"/>
      <c r="EO33" s="415"/>
      <c r="EP33" s="415"/>
      <c r="EQ33" s="415"/>
      <c r="ER33" s="415"/>
      <c r="ES33" s="415"/>
      <c r="ET33" s="415"/>
      <c r="EU33" s="415"/>
      <c r="EV33" s="410"/>
      <c r="EW33" s="416"/>
      <c r="EX33" s="417">
        <f>IFERROR(VLOOKUP(H33,CEI_012018!$A$1:$U$509,9,FALSE),0)</f>
        <v>0</v>
      </c>
      <c r="EY33" s="417">
        <f>IFERROR(VLOOKUP(H33,CEI_022018!$A$1:$U$509,9,FALSE),0)</f>
        <v>0</v>
      </c>
      <c r="EZ33" s="417">
        <f>IFERROR(VLOOKUP(H33,CEI_032018!$A$1:$U$509,9,FALSE),0)</f>
        <v>0</v>
      </c>
      <c r="FA33" s="417">
        <f>IFERROR(VLOOKUP(H33,CEI_042018!$A$1:$U$491,9,FALSE),0)</f>
        <v>0</v>
      </c>
      <c r="FB33" s="417">
        <f>IFERROR(VLOOKUP(H33,CEI_052018!$A$1:$U$489,9,FALSE),0)</f>
        <v>0</v>
      </c>
      <c r="FC33" s="417">
        <f>IFERROR(VLOOKUP(H33,CEI_062018!$A$1:$U$489,9,FALSE),0)</f>
        <v>0</v>
      </c>
      <c r="FD33" s="417">
        <f>IFERROR(VLOOKUP(H33,CEI_072018!$A$1:$U$489,9,FALSE),0)</f>
        <v>0</v>
      </c>
      <c r="FE33" s="417">
        <f>IFERROR(VLOOKUP(H33,CEI_082018!$A$1:$U$489,9,FALSE),0)</f>
        <v>0</v>
      </c>
      <c r="FF33" s="417">
        <f>IFERROR(VLOOKUP(H33,CEI_092018!$A$1:$U$489,9,FALSE),0)</f>
        <v>0</v>
      </c>
      <c r="FG33" s="417"/>
      <c r="FH33" s="417"/>
      <c r="FI33" s="417"/>
      <c r="FJ33" s="418">
        <f>IFERROR(VLOOKUP(H33,CEI_092018!$A$1:$U$489,12,FALSE),0)</f>
        <v>0</v>
      </c>
      <c r="FK33" s="418">
        <f t="shared" si="11"/>
        <v>0</v>
      </c>
      <c r="FL33" s="418">
        <f t="shared" si="12"/>
        <v>25</v>
      </c>
      <c r="FM33" s="417"/>
      <c r="FN33" s="417"/>
      <c r="FO33" s="417"/>
      <c r="FP33" s="417"/>
      <c r="FQ33" s="417"/>
      <c r="FR33" s="417"/>
      <c r="FS33" s="417"/>
      <c r="FT33" s="417"/>
      <c r="FU33" s="417"/>
      <c r="FV33" s="417"/>
      <c r="FW33" s="417"/>
      <c r="FX33" s="417"/>
      <c r="FY33" s="418"/>
      <c r="FZ33" s="418"/>
      <c r="GA33" s="418"/>
      <c r="GB33" s="417"/>
      <c r="GC33" s="417"/>
      <c r="GD33" s="417"/>
      <c r="GE33" s="417"/>
      <c r="GF33" s="417"/>
      <c r="GG33" s="417"/>
      <c r="GH33" s="417"/>
      <c r="GI33" s="417"/>
      <c r="GJ33" s="417"/>
      <c r="GK33" s="417"/>
      <c r="GL33" s="417"/>
      <c r="GM33" s="417"/>
      <c r="GN33" s="418"/>
      <c r="GO33" s="418"/>
      <c r="GP33" s="418"/>
      <c r="GQ33" s="417"/>
      <c r="GR33" s="417"/>
      <c r="GS33" s="417"/>
      <c r="GT33" s="417"/>
      <c r="GU33" s="417"/>
      <c r="GV33" s="417"/>
      <c r="GW33" s="417"/>
      <c r="GX33" s="417"/>
      <c r="GY33" s="417"/>
      <c r="GZ33" s="417"/>
      <c r="HA33" s="417"/>
      <c r="HB33" s="417"/>
      <c r="HC33" s="418"/>
      <c r="HD33" s="418"/>
      <c r="HE33" s="418"/>
      <c r="HF33" s="417"/>
      <c r="HG33" s="417"/>
      <c r="HH33" s="417"/>
      <c r="HI33" s="417"/>
      <c r="HJ33" s="417"/>
      <c r="HK33" s="417"/>
      <c r="HL33" s="417"/>
      <c r="HM33" s="417"/>
      <c r="HN33" s="417"/>
      <c r="HO33" s="417"/>
      <c r="HP33" s="417"/>
      <c r="HQ33" s="417"/>
      <c r="HR33" s="418"/>
      <c r="HS33" s="418"/>
      <c r="HT33" s="418"/>
    </row>
    <row r="34" spans="1:228" s="387" customFormat="1" ht="12.95" customHeight="1" x14ac:dyDescent="0.2">
      <c r="A34" s="406" t="s">
        <v>55</v>
      </c>
      <c r="B34" s="407" t="s">
        <v>39</v>
      </c>
      <c r="C34" s="406" t="s">
        <v>1862</v>
      </c>
      <c r="D34" s="407" t="s">
        <v>1863</v>
      </c>
      <c r="E34" s="406" t="s">
        <v>1862</v>
      </c>
      <c r="F34" s="407" t="s">
        <v>1863</v>
      </c>
      <c r="G34" s="406" t="s">
        <v>54</v>
      </c>
      <c r="H34" s="408" t="s">
        <v>520</v>
      </c>
      <c r="I34" s="408"/>
      <c r="J34" s="406" t="s">
        <v>1896</v>
      </c>
      <c r="K34" s="406"/>
      <c r="L34" s="406"/>
      <c r="M34" s="406"/>
      <c r="N34" s="452">
        <v>0</v>
      </c>
      <c r="O34" s="452">
        <v>0</v>
      </c>
      <c r="P34" s="452">
        <v>0</v>
      </c>
      <c r="Q34" s="452">
        <v>0</v>
      </c>
      <c r="R34" s="452">
        <v>0</v>
      </c>
      <c r="S34" s="452">
        <v>0</v>
      </c>
      <c r="T34" s="452">
        <v>0</v>
      </c>
      <c r="U34" s="409">
        <v>0</v>
      </c>
      <c r="V34" s="409"/>
      <c r="W34" s="409"/>
      <c r="X34" s="409"/>
      <c r="Y34" s="409"/>
      <c r="Z34" s="453">
        <f t="shared" si="13"/>
        <v>0</v>
      </c>
      <c r="AA34" s="452"/>
      <c r="AB34" s="452"/>
      <c r="AC34" s="452"/>
      <c r="AD34" s="452"/>
      <c r="AE34" s="452"/>
      <c r="AF34" s="452"/>
      <c r="AG34" s="452"/>
      <c r="AH34" s="409"/>
      <c r="AI34" s="409"/>
      <c r="AJ34" s="409"/>
      <c r="AK34" s="409"/>
      <c r="AL34" s="409">
        <v>21.600000023842</v>
      </c>
      <c r="AM34" s="453">
        <f t="shared" si="0"/>
        <v>21.600000023842</v>
      </c>
      <c r="AN34" s="452"/>
      <c r="AO34" s="452"/>
      <c r="AP34" s="452"/>
      <c r="AQ34" s="452"/>
      <c r="AR34" s="452"/>
      <c r="AS34" s="452"/>
      <c r="AT34" s="452"/>
      <c r="AU34" s="409"/>
      <c r="AV34" s="409"/>
      <c r="AW34" s="409"/>
      <c r="AX34" s="409"/>
      <c r="AY34" s="409"/>
      <c r="AZ34" s="453">
        <f t="shared" si="1"/>
        <v>0</v>
      </c>
      <c r="BA34" s="452"/>
      <c r="BB34" s="452"/>
      <c r="BC34" s="452"/>
      <c r="BD34" s="452"/>
      <c r="BE34" s="452"/>
      <c r="BF34" s="452"/>
      <c r="BG34" s="452"/>
      <c r="BH34" s="409"/>
      <c r="BI34" s="409"/>
      <c r="BJ34" s="409"/>
      <c r="BK34" s="409"/>
      <c r="BL34" s="409"/>
      <c r="BM34" s="453">
        <f t="shared" si="2"/>
        <v>0</v>
      </c>
      <c r="BN34" s="452"/>
      <c r="BO34" s="452"/>
      <c r="BP34" s="452"/>
      <c r="BQ34" s="452"/>
      <c r="BR34" s="452"/>
      <c r="BS34" s="452"/>
      <c r="BT34" s="452"/>
      <c r="BU34" s="409"/>
      <c r="BV34" s="409"/>
      <c r="BW34" s="409"/>
      <c r="BX34" s="409"/>
      <c r="BY34" s="409"/>
      <c r="BZ34" s="453">
        <f t="shared" si="3"/>
        <v>0</v>
      </c>
      <c r="CA34" s="454">
        <f t="shared" si="4"/>
        <v>21.600000023842</v>
      </c>
      <c r="CB34" s="419"/>
      <c r="CC34" s="419"/>
      <c r="CD34" s="419"/>
      <c r="CE34" s="419"/>
      <c r="CF34" s="419"/>
      <c r="CG34" s="420"/>
      <c r="CH34" s="421"/>
      <c r="CI34" s="414"/>
      <c r="CJ34" s="422"/>
      <c r="CK34" s="422"/>
      <c r="CL34" s="422"/>
      <c r="CM34" s="422"/>
      <c r="CN34" s="428"/>
      <c r="CO34" s="428"/>
      <c r="CP34" s="428"/>
      <c r="CQ34" s="428"/>
      <c r="CR34" s="428"/>
      <c r="CS34" s="428"/>
      <c r="CT34" s="428"/>
      <c r="CU34" s="428"/>
      <c r="CV34" s="410"/>
      <c r="CW34" s="422"/>
      <c r="CX34" s="422"/>
      <c r="CY34" s="422"/>
      <c r="CZ34" s="422"/>
      <c r="DA34" s="428"/>
      <c r="DB34" s="428"/>
      <c r="DC34" s="428"/>
      <c r="DD34" s="428"/>
      <c r="DE34" s="428"/>
      <c r="DF34" s="428"/>
      <c r="DG34" s="428"/>
      <c r="DH34" s="428"/>
      <c r="DI34" s="410"/>
      <c r="DJ34" s="422"/>
      <c r="DK34" s="422"/>
      <c r="DL34" s="422"/>
      <c r="DM34" s="422"/>
      <c r="DN34" s="428"/>
      <c r="DO34" s="428"/>
      <c r="DP34" s="428"/>
      <c r="DQ34" s="428"/>
      <c r="DR34" s="428"/>
      <c r="DS34" s="428"/>
      <c r="DT34" s="428"/>
      <c r="DU34" s="428"/>
      <c r="DV34" s="410"/>
      <c r="DW34" s="422"/>
      <c r="DX34" s="422"/>
      <c r="DY34" s="422"/>
      <c r="DZ34" s="422"/>
      <c r="EA34" s="428"/>
      <c r="EB34" s="428"/>
      <c r="EC34" s="428"/>
      <c r="ED34" s="428"/>
      <c r="EE34" s="428"/>
      <c r="EF34" s="428"/>
      <c r="EG34" s="428"/>
      <c r="EH34" s="428"/>
      <c r="EI34" s="410"/>
      <c r="EJ34" s="422"/>
      <c r="EK34" s="422"/>
      <c r="EL34" s="422"/>
      <c r="EM34" s="422"/>
      <c r="EN34" s="428"/>
      <c r="EO34" s="428"/>
      <c r="EP34" s="428"/>
      <c r="EQ34" s="428"/>
      <c r="ER34" s="428"/>
      <c r="ES34" s="428"/>
      <c r="ET34" s="428"/>
      <c r="EU34" s="428"/>
      <c r="EV34" s="410"/>
      <c r="EW34" s="416"/>
      <c r="EX34" s="417"/>
      <c r="EY34" s="417"/>
      <c r="EZ34" s="417"/>
      <c r="FA34" s="417"/>
      <c r="FB34" s="417"/>
      <c r="FC34" s="417"/>
      <c r="FD34" s="417">
        <f>IFERROR(VLOOKUP(H34,CEI_072018!$A$1:$U$489,9,FALSE),0)</f>
        <v>0</v>
      </c>
      <c r="FE34" s="417">
        <f>IFERROR(VLOOKUP(H34,CEI_082018!$A$1:$U$489,9,FALSE),0)</f>
        <v>0</v>
      </c>
      <c r="FF34" s="417">
        <f>IFERROR(VLOOKUP(H34,CEI_092018!$A$1:$U$489,9,FALSE),0)</f>
        <v>0</v>
      </c>
      <c r="FG34" s="417"/>
      <c r="FH34" s="417"/>
      <c r="FI34" s="417"/>
      <c r="FJ34" s="418">
        <f>IFERROR(VLOOKUP(H34,CEI_092018!$A$1:$U$489,12,FALSE),0)</f>
        <v>0</v>
      </c>
      <c r="FK34" s="418">
        <f t="shared" ref="FK34:FK65" si="20">FF34+FJ34</f>
        <v>0</v>
      </c>
      <c r="FL34" s="418">
        <f t="shared" ref="FL34:FL65" si="21">SUM(Z34-FK34)</f>
        <v>0</v>
      </c>
      <c r="FM34" s="417"/>
      <c r="FN34" s="417"/>
      <c r="FO34" s="417"/>
      <c r="FP34" s="417"/>
      <c r="FQ34" s="417"/>
      <c r="FR34" s="417"/>
      <c r="FS34" s="417"/>
      <c r="FT34" s="417"/>
      <c r="FU34" s="417"/>
      <c r="FV34" s="417"/>
      <c r="FW34" s="417"/>
      <c r="FX34" s="417"/>
      <c r="FY34" s="418"/>
      <c r="FZ34" s="418"/>
      <c r="GA34" s="418"/>
      <c r="GB34" s="417"/>
      <c r="GC34" s="417"/>
      <c r="GD34" s="417"/>
      <c r="GE34" s="417"/>
      <c r="GF34" s="417"/>
      <c r="GG34" s="417"/>
      <c r="GH34" s="417"/>
      <c r="GI34" s="417"/>
      <c r="GJ34" s="417"/>
      <c r="GK34" s="417"/>
      <c r="GL34" s="417"/>
      <c r="GM34" s="417"/>
      <c r="GN34" s="418"/>
      <c r="GO34" s="418"/>
      <c r="GP34" s="418"/>
      <c r="GQ34" s="417"/>
      <c r="GR34" s="417"/>
      <c r="GS34" s="417"/>
      <c r="GT34" s="417"/>
      <c r="GU34" s="417"/>
      <c r="GV34" s="417"/>
      <c r="GW34" s="417"/>
      <c r="GX34" s="417"/>
      <c r="GY34" s="417"/>
      <c r="GZ34" s="417"/>
      <c r="HA34" s="417"/>
      <c r="HB34" s="417"/>
      <c r="HC34" s="418"/>
      <c r="HD34" s="418"/>
      <c r="HE34" s="418"/>
      <c r="HF34" s="417"/>
      <c r="HG34" s="417"/>
      <c r="HH34" s="417"/>
      <c r="HI34" s="417"/>
      <c r="HJ34" s="417"/>
      <c r="HK34" s="417"/>
      <c r="HL34" s="417"/>
      <c r="HM34" s="417"/>
      <c r="HN34" s="417"/>
      <c r="HO34" s="417"/>
      <c r="HP34" s="417"/>
      <c r="HQ34" s="417"/>
      <c r="HR34" s="418"/>
      <c r="HS34" s="418"/>
      <c r="HT34" s="418"/>
    </row>
    <row r="35" spans="1:228" s="387" customFormat="1" ht="12.95" customHeight="1" x14ac:dyDescent="0.2">
      <c r="A35" s="406" t="s">
        <v>55</v>
      </c>
      <c r="B35" s="407" t="s">
        <v>38</v>
      </c>
      <c r="C35" s="406" t="s">
        <v>474</v>
      </c>
      <c r="D35" s="407" t="s">
        <v>475</v>
      </c>
      <c r="E35" s="407" t="s">
        <v>474</v>
      </c>
      <c r="F35" s="407" t="s">
        <v>475</v>
      </c>
      <c r="G35" s="406" t="s">
        <v>60</v>
      </c>
      <c r="H35" s="408" t="s">
        <v>1567</v>
      </c>
      <c r="I35" s="408" t="s">
        <v>1569</v>
      </c>
      <c r="J35" s="406" t="s">
        <v>801</v>
      </c>
      <c r="K35" s="406" t="s">
        <v>802</v>
      </c>
      <c r="L35" s="406" t="s">
        <v>803</v>
      </c>
      <c r="M35" s="406"/>
      <c r="N35" s="452">
        <v>0</v>
      </c>
      <c r="O35" s="452">
        <v>0</v>
      </c>
      <c r="P35" s="452">
        <v>0</v>
      </c>
      <c r="Q35" s="452">
        <v>0</v>
      </c>
      <c r="R35" s="452">
        <v>0</v>
      </c>
      <c r="S35" s="452">
        <v>0</v>
      </c>
      <c r="T35" s="452">
        <v>0</v>
      </c>
      <c r="U35" s="409">
        <v>0</v>
      </c>
      <c r="V35" s="409"/>
      <c r="W35" s="409"/>
      <c r="X35" s="409"/>
      <c r="Y35" s="409"/>
      <c r="Z35" s="453">
        <f t="shared" si="13"/>
        <v>0</v>
      </c>
      <c r="AA35" s="452"/>
      <c r="AB35" s="452"/>
      <c r="AC35" s="452"/>
      <c r="AD35" s="452"/>
      <c r="AE35" s="452"/>
      <c r="AF35" s="452"/>
      <c r="AG35" s="452"/>
      <c r="AH35" s="409"/>
      <c r="AI35" s="409"/>
      <c r="AJ35" s="409"/>
      <c r="AK35" s="409"/>
      <c r="AL35" s="409"/>
      <c r="AM35" s="453">
        <f t="shared" si="0"/>
        <v>0</v>
      </c>
      <c r="AN35" s="452">
        <v>350</v>
      </c>
      <c r="AO35" s="452"/>
      <c r="AP35" s="452"/>
      <c r="AQ35" s="452"/>
      <c r="AR35" s="452"/>
      <c r="AS35" s="452"/>
      <c r="AT35" s="452"/>
      <c r="AU35" s="409"/>
      <c r="AV35" s="409"/>
      <c r="AW35" s="409"/>
      <c r="AX35" s="409"/>
      <c r="AY35" s="409"/>
      <c r="AZ35" s="453">
        <f t="shared" si="1"/>
        <v>350</v>
      </c>
      <c r="BA35" s="452"/>
      <c r="BB35" s="452"/>
      <c r="BC35" s="452"/>
      <c r="BD35" s="452"/>
      <c r="BE35" s="452"/>
      <c r="BF35" s="452"/>
      <c r="BG35" s="452"/>
      <c r="BH35" s="409"/>
      <c r="BI35" s="409"/>
      <c r="BJ35" s="409"/>
      <c r="BK35" s="409"/>
      <c r="BL35" s="409"/>
      <c r="BM35" s="453">
        <f t="shared" si="2"/>
        <v>0</v>
      </c>
      <c r="BN35" s="452"/>
      <c r="BO35" s="452"/>
      <c r="BP35" s="452"/>
      <c r="BQ35" s="452"/>
      <c r="BR35" s="452"/>
      <c r="BS35" s="452"/>
      <c r="BT35" s="452"/>
      <c r="BU35" s="409"/>
      <c r="BV35" s="409"/>
      <c r="BW35" s="409"/>
      <c r="BX35" s="409"/>
      <c r="BY35" s="409"/>
      <c r="BZ35" s="453">
        <f t="shared" si="3"/>
        <v>0</v>
      </c>
      <c r="CA35" s="454">
        <f t="shared" si="4"/>
        <v>350</v>
      </c>
      <c r="CB35" s="419"/>
      <c r="CC35" s="419">
        <v>1</v>
      </c>
      <c r="CD35" s="419">
        <v>1</v>
      </c>
      <c r="CE35" s="419">
        <v>-1</v>
      </c>
      <c r="CF35" s="419">
        <v>-1</v>
      </c>
      <c r="CG35" s="420">
        <f>IFERROR((FE35/Z35%),0)</f>
        <v>0</v>
      </c>
      <c r="CH35" s="421">
        <f>IFERROR((FK35/Z35%),0)</f>
        <v>0</v>
      </c>
      <c r="CI35" s="414" t="s">
        <v>1068</v>
      </c>
      <c r="CJ35" s="415"/>
      <c r="CK35" s="415"/>
      <c r="CL35" s="415"/>
      <c r="CM35" s="415"/>
      <c r="CN35" s="415"/>
      <c r="CO35" s="415"/>
      <c r="CP35" s="415"/>
      <c r="CQ35" s="415"/>
      <c r="CR35" s="415"/>
      <c r="CS35" s="415"/>
      <c r="CT35" s="415"/>
      <c r="CU35" s="415"/>
      <c r="CV35" s="410">
        <f t="shared" ref="CV35:CV50" si="22">SUM(CJ35:CU35)</f>
        <v>0</v>
      </c>
      <c r="CW35" s="415"/>
      <c r="CX35" s="415"/>
      <c r="CY35" s="415"/>
      <c r="CZ35" s="415"/>
      <c r="DA35" s="415"/>
      <c r="DB35" s="415"/>
      <c r="DC35" s="415"/>
      <c r="DD35" s="415"/>
      <c r="DE35" s="415"/>
      <c r="DF35" s="415"/>
      <c r="DG35" s="415"/>
      <c r="DH35" s="415"/>
      <c r="DI35" s="410">
        <f>SUM(CW35:DH35)</f>
        <v>0</v>
      </c>
      <c r="DJ35" s="415">
        <v>1</v>
      </c>
      <c r="DK35" s="415"/>
      <c r="DL35" s="415"/>
      <c r="DM35" s="415"/>
      <c r="DN35" s="415"/>
      <c r="DO35" s="415"/>
      <c r="DP35" s="415"/>
      <c r="DQ35" s="415"/>
      <c r="DR35" s="415"/>
      <c r="DS35" s="415"/>
      <c r="DT35" s="415"/>
      <c r="DU35" s="415"/>
      <c r="DV35" s="410">
        <f t="shared" ref="DV35:DV50" si="23">SUM(DJ35:DU35)</f>
        <v>1</v>
      </c>
      <c r="DW35" s="415"/>
      <c r="DX35" s="415"/>
      <c r="DY35" s="415"/>
      <c r="DZ35" s="415"/>
      <c r="EA35" s="415"/>
      <c r="EB35" s="415"/>
      <c r="EC35" s="415"/>
      <c r="ED35" s="415"/>
      <c r="EE35" s="415"/>
      <c r="EF35" s="415"/>
      <c r="EG35" s="415"/>
      <c r="EH35" s="415"/>
      <c r="EI35" s="410">
        <f t="shared" ref="EI35:EI50" si="24">SUM(DW35:EH35)</f>
        <v>0</v>
      </c>
      <c r="EJ35" s="415"/>
      <c r="EK35" s="415"/>
      <c r="EL35" s="415"/>
      <c r="EM35" s="415"/>
      <c r="EN35" s="415"/>
      <c r="EO35" s="415"/>
      <c r="EP35" s="415"/>
      <c r="EQ35" s="415"/>
      <c r="ER35" s="415"/>
      <c r="ES35" s="415"/>
      <c r="ET35" s="415"/>
      <c r="EU35" s="415"/>
      <c r="EV35" s="410">
        <f t="shared" ref="EV35:EV50" si="25">SUM(EJ35:EU35)</f>
        <v>0</v>
      </c>
      <c r="EW35" s="416">
        <f t="shared" ref="EW35:EW50" si="26">SUM(EV35,EI35,DV35,DI35,CV35)</f>
        <v>1</v>
      </c>
      <c r="EX35" s="417">
        <f>IFERROR(VLOOKUP(H35,CEI_012018!$A$1:$U$509,9,FALSE),0)</f>
        <v>0</v>
      </c>
      <c r="EY35" s="417">
        <f>IFERROR(VLOOKUP(H35,CEI_022018!$A$1:$U$509,9,FALSE),0)</f>
        <v>0</v>
      </c>
      <c r="EZ35" s="417">
        <f>IFERROR(VLOOKUP(H35,CEI_032018!$A$1:$U$509,9,FALSE),0)</f>
        <v>0</v>
      </c>
      <c r="FA35" s="417">
        <f>IFERROR(VLOOKUP(H35,CEI_042018!$A$1:$U$491,9,FALSE),0)</f>
        <v>0</v>
      </c>
      <c r="FB35" s="417">
        <f>IFERROR(VLOOKUP(H35,CEI_052018!$A$1:$U$489,9,FALSE),0)</f>
        <v>0</v>
      </c>
      <c r="FC35" s="417">
        <f>IFERROR(VLOOKUP(H35,CEI_062018!$A$1:$U$489,9,FALSE),0)</f>
        <v>0</v>
      </c>
      <c r="FD35" s="417">
        <f>IFERROR(VLOOKUP(H35,CEI_072018!$A$1:$U$489,9,FALSE),0)</f>
        <v>0</v>
      </c>
      <c r="FE35" s="417">
        <f>IFERROR(VLOOKUP(H35,CEI_082018!$A$1:$U$489,9,FALSE),0)</f>
        <v>0</v>
      </c>
      <c r="FF35" s="417">
        <f>IFERROR(VLOOKUP(H35,CEI_092018!$A$1:$U$489,9,FALSE),0)</f>
        <v>0</v>
      </c>
      <c r="FG35" s="417"/>
      <c r="FH35" s="417"/>
      <c r="FI35" s="417"/>
      <c r="FJ35" s="418">
        <f>IFERROR(VLOOKUP(H35,CEI_092018!$A$1:$U$489,12,FALSE),0)</f>
        <v>0</v>
      </c>
      <c r="FK35" s="418">
        <f t="shared" si="20"/>
        <v>0</v>
      </c>
      <c r="FL35" s="418">
        <f t="shared" si="21"/>
        <v>0</v>
      </c>
      <c r="FM35" s="417"/>
      <c r="FN35" s="417"/>
      <c r="FO35" s="417"/>
      <c r="FP35" s="417"/>
      <c r="FQ35" s="417"/>
      <c r="FR35" s="417"/>
      <c r="FS35" s="417"/>
      <c r="FT35" s="417"/>
      <c r="FU35" s="417"/>
      <c r="FV35" s="417"/>
      <c r="FW35" s="417"/>
      <c r="FX35" s="417"/>
      <c r="FY35" s="418"/>
      <c r="FZ35" s="418"/>
      <c r="GA35" s="418"/>
      <c r="GB35" s="417"/>
      <c r="GC35" s="417"/>
      <c r="GD35" s="417"/>
      <c r="GE35" s="417"/>
      <c r="GF35" s="417"/>
      <c r="GG35" s="417"/>
      <c r="GH35" s="417"/>
      <c r="GI35" s="417"/>
      <c r="GJ35" s="417"/>
      <c r="GK35" s="417"/>
      <c r="GL35" s="417"/>
      <c r="GM35" s="417"/>
      <c r="GN35" s="418"/>
      <c r="GO35" s="418"/>
      <c r="GP35" s="418"/>
      <c r="GQ35" s="417"/>
      <c r="GR35" s="417"/>
      <c r="GS35" s="417"/>
      <c r="GT35" s="417"/>
      <c r="GU35" s="417"/>
      <c r="GV35" s="417"/>
      <c r="GW35" s="417"/>
      <c r="GX35" s="417"/>
      <c r="GY35" s="417"/>
      <c r="GZ35" s="417"/>
      <c r="HA35" s="417"/>
      <c r="HB35" s="417"/>
      <c r="HC35" s="418"/>
      <c r="HD35" s="418"/>
      <c r="HE35" s="418"/>
      <c r="HF35" s="417"/>
      <c r="HG35" s="417"/>
      <c r="HH35" s="417"/>
      <c r="HI35" s="417"/>
      <c r="HJ35" s="417"/>
      <c r="HK35" s="417"/>
      <c r="HL35" s="417"/>
      <c r="HM35" s="417"/>
      <c r="HN35" s="417"/>
      <c r="HO35" s="417"/>
      <c r="HP35" s="417"/>
      <c r="HQ35" s="417"/>
      <c r="HR35" s="418"/>
      <c r="HS35" s="418"/>
      <c r="HT35" s="418"/>
    </row>
    <row r="36" spans="1:228" s="387" customFormat="1" ht="12.95" customHeight="1" x14ac:dyDescent="0.2">
      <c r="A36" s="406" t="s">
        <v>55</v>
      </c>
      <c r="B36" s="407" t="s">
        <v>38</v>
      </c>
      <c r="C36" s="406" t="s">
        <v>99</v>
      </c>
      <c r="D36" s="407" t="s">
        <v>1101</v>
      </c>
      <c r="E36" s="407" t="s">
        <v>99</v>
      </c>
      <c r="F36" s="407" t="s">
        <v>1101</v>
      </c>
      <c r="G36" s="406" t="s">
        <v>60</v>
      </c>
      <c r="H36" s="408" t="s">
        <v>520</v>
      </c>
      <c r="I36" s="408"/>
      <c r="J36" s="406" t="s">
        <v>1906</v>
      </c>
      <c r="K36" s="406"/>
      <c r="L36" s="406"/>
      <c r="M36" s="406"/>
      <c r="N36" s="452">
        <v>0</v>
      </c>
      <c r="O36" s="452">
        <v>0</v>
      </c>
      <c r="P36" s="452">
        <v>0</v>
      </c>
      <c r="Q36" s="452">
        <v>0</v>
      </c>
      <c r="R36" s="452">
        <v>0</v>
      </c>
      <c r="S36" s="452">
        <v>0</v>
      </c>
      <c r="T36" s="452">
        <v>0</v>
      </c>
      <c r="U36" s="409">
        <v>0</v>
      </c>
      <c r="V36" s="409"/>
      <c r="W36" s="409"/>
      <c r="X36" s="409"/>
      <c r="Y36" s="409"/>
      <c r="Z36" s="453">
        <f t="shared" si="13"/>
        <v>0</v>
      </c>
      <c r="AA36" s="452"/>
      <c r="AB36" s="452"/>
      <c r="AC36" s="452"/>
      <c r="AD36" s="452"/>
      <c r="AE36" s="452"/>
      <c r="AF36" s="452"/>
      <c r="AG36" s="452">
        <v>1104</v>
      </c>
      <c r="AH36" s="409">
        <v>406</v>
      </c>
      <c r="AI36" s="409">
        <v>319</v>
      </c>
      <c r="AJ36" s="409"/>
      <c r="AK36" s="409"/>
      <c r="AL36" s="409">
        <v>240</v>
      </c>
      <c r="AM36" s="453">
        <f t="shared" si="0"/>
        <v>2069</v>
      </c>
      <c r="AN36" s="452"/>
      <c r="AO36" s="452"/>
      <c r="AP36" s="452"/>
      <c r="AQ36" s="452"/>
      <c r="AR36" s="452"/>
      <c r="AS36" s="452"/>
      <c r="AT36" s="452">
        <v>700</v>
      </c>
      <c r="AU36" s="409">
        <v>350</v>
      </c>
      <c r="AV36" s="409">
        <v>1190</v>
      </c>
      <c r="AW36" s="409"/>
      <c r="AX36" s="409"/>
      <c r="AY36" s="409"/>
      <c r="AZ36" s="453">
        <f t="shared" si="1"/>
        <v>2240</v>
      </c>
      <c r="BA36" s="452"/>
      <c r="BB36" s="452"/>
      <c r="BC36" s="452"/>
      <c r="BD36" s="452"/>
      <c r="BE36" s="452"/>
      <c r="BF36" s="452"/>
      <c r="BG36" s="452">
        <v>300</v>
      </c>
      <c r="BH36" s="409">
        <v>720</v>
      </c>
      <c r="BI36" s="409">
        <v>1300</v>
      </c>
      <c r="BJ36" s="409">
        <v>900</v>
      </c>
      <c r="BK36" s="409"/>
      <c r="BL36" s="409"/>
      <c r="BM36" s="453">
        <f t="shared" si="2"/>
        <v>3220</v>
      </c>
      <c r="BN36" s="452"/>
      <c r="BO36" s="452"/>
      <c r="BP36" s="452"/>
      <c r="BQ36" s="452"/>
      <c r="BR36" s="452"/>
      <c r="BS36" s="452"/>
      <c r="BT36" s="452">
        <v>513</v>
      </c>
      <c r="BU36" s="409">
        <v>1000</v>
      </c>
      <c r="BV36" s="409">
        <v>958</v>
      </c>
      <c r="BW36" s="409">
        <v>0</v>
      </c>
      <c r="BX36" s="409"/>
      <c r="BY36" s="409"/>
      <c r="BZ36" s="453">
        <f t="shared" si="3"/>
        <v>2471</v>
      </c>
      <c r="CA36" s="454">
        <f t="shared" si="4"/>
        <v>10000</v>
      </c>
      <c r="CB36" s="411"/>
      <c r="CC36" s="411"/>
      <c r="CD36" s="411"/>
      <c r="CE36" s="411"/>
      <c r="CF36" s="411"/>
      <c r="CG36" s="412"/>
      <c r="CH36" s="413"/>
      <c r="CI36" s="414" t="s">
        <v>106</v>
      </c>
      <c r="CJ36" s="422"/>
      <c r="CK36" s="422"/>
      <c r="CL36" s="422"/>
      <c r="CM36" s="422"/>
      <c r="CN36" s="428"/>
      <c r="CO36" s="428"/>
      <c r="CP36" s="428"/>
      <c r="CQ36" s="428"/>
      <c r="CR36" s="428"/>
      <c r="CS36" s="428"/>
      <c r="CT36" s="428"/>
      <c r="CU36" s="428"/>
      <c r="CV36" s="410">
        <f t="shared" si="22"/>
        <v>0</v>
      </c>
      <c r="CW36" s="422"/>
      <c r="CX36" s="422">
        <v>14</v>
      </c>
      <c r="CY36" s="422"/>
      <c r="CZ36" s="422"/>
      <c r="DA36" s="428"/>
      <c r="DB36" s="428"/>
      <c r="DC36" s="428">
        <v>81</v>
      </c>
      <c r="DD36" s="428">
        <v>101</v>
      </c>
      <c r="DE36" s="428">
        <v>114</v>
      </c>
      <c r="DF36" s="428"/>
      <c r="DG36" s="428"/>
      <c r="DH36" s="428"/>
      <c r="DI36" s="410">
        <f>SUM(CW36:DH36)</f>
        <v>310</v>
      </c>
      <c r="DJ36" s="422"/>
      <c r="DK36" s="422"/>
      <c r="DL36" s="422"/>
      <c r="DM36" s="422"/>
      <c r="DN36" s="428"/>
      <c r="DO36" s="428"/>
      <c r="DP36" s="428">
        <v>101</v>
      </c>
      <c r="DQ36" s="428">
        <v>100</v>
      </c>
      <c r="DR36" s="428">
        <v>89</v>
      </c>
      <c r="DS36" s="428"/>
      <c r="DT36" s="428"/>
      <c r="DU36" s="428"/>
      <c r="DV36" s="410">
        <f t="shared" si="23"/>
        <v>290</v>
      </c>
      <c r="DW36" s="422"/>
      <c r="DX36" s="422"/>
      <c r="DY36" s="422"/>
      <c r="DZ36" s="422"/>
      <c r="EA36" s="428"/>
      <c r="EB36" s="428"/>
      <c r="EC36" s="428">
        <v>1</v>
      </c>
      <c r="ED36" s="428">
        <v>15</v>
      </c>
      <c r="EE36" s="428">
        <v>97</v>
      </c>
      <c r="EF36" s="428"/>
      <c r="EG36" s="428"/>
      <c r="EH36" s="428"/>
      <c r="EI36" s="410">
        <f t="shared" si="24"/>
        <v>113</v>
      </c>
      <c r="EJ36" s="422"/>
      <c r="EK36" s="422"/>
      <c r="EL36" s="422"/>
      <c r="EM36" s="422"/>
      <c r="EN36" s="428"/>
      <c r="EO36" s="428"/>
      <c r="EP36" s="428">
        <v>1</v>
      </c>
      <c r="EQ36" s="428">
        <v>75</v>
      </c>
      <c r="ER36" s="428"/>
      <c r="ES36" s="428"/>
      <c r="ET36" s="428"/>
      <c r="EU36" s="428"/>
      <c r="EV36" s="410">
        <f t="shared" si="25"/>
        <v>76</v>
      </c>
      <c r="EW36" s="416">
        <f t="shared" si="26"/>
        <v>789</v>
      </c>
      <c r="EX36" s="417">
        <f>IFERROR(VLOOKUP(H36,CEI_012018!$A$1:$U$509,9,FALSE),0)</f>
        <v>0</v>
      </c>
      <c r="EY36" s="417">
        <f>IFERROR(VLOOKUP(H36,CEI_022018!$A$1:$U$509,9,FALSE),0)</f>
        <v>0</v>
      </c>
      <c r="EZ36" s="417">
        <f>IFERROR(VLOOKUP(H36,CEI_032018!$A$1:$U$509,9,FALSE),0)</f>
        <v>0</v>
      </c>
      <c r="FA36" s="417">
        <f>IFERROR(VLOOKUP(H36,CEI_042018!$A$1:$U$491,9,FALSE),0)</f>
        <v>0</v>
      </c>
      <c r="FB36" s="417">
        <f>IFERROR(VLOOKUP(H36,CEI_052018!$A$1:$U$489,9,FALSE),0)</f>
        <v>0</v>
      </c>
      <c r="FC36" s="417">
        <f>IFERROR(VLOOKUP(H36,CEI_062018!$A$1:$U$489,9,FALSE),0)</f>
        <v>0</v>
      </c>
      <c r="FD36" s="417">
        <f>IFERROR(VLOOKUP(H36,CEI_072018!$A$1:$U$489,9,FALSE),0)</f>
        <v>0</v>
      </c>
      <c r="FE36" s="417">
        <f>IFERROR(VLOOKUP(H36,CEI_082018!$A$1:$U$489,9,FALSE),0)</f>
        <v>0</v>
      </c>
      <c r="FF36" s="417">
        <f>IFERROR(VLOOKUP(H36,CEI_092018!$A$1:$U$489,9,FALSE),0)</f>
        <v>0</v>
      </c>
      <c r="FG36" s="417"/>
      <c r="FH36" s="417"/>
      <c r="FI36" s="417"/>
      <c r="FJ36" s="418">
        <f>IFERROR(VLOOKUP(H36,CEI_092018!$A$1:$U$489,12,FALSE),0)</f>
        <v>0</v>
      </c>
      <c r="FK36" s="418">
        <f t="shared" si="20"/>
        <v>0</v>
      </c>
      <c r="FL36" s="418">
        <f t="shared" si="21"/>
        <v>0</v>
      </c>
      <c r="FM36" s="417"/>
      <c r="FN36" s="417"/>
      <c r="FO36" s="417"/>
      <c r="FP36" s="417"/>
      <c r="FQ36" s="417"/>
      <c r="FR36" s="417"/>
      <c r="FS36" s="417"/>
      <c r="FT36" s="417"/>
      <c r="FU36" s="417"/>
      <c r="FV36" s="417"/>
      <c r="FW36" s="417"/>
      <c r="FX36" s="417"/>
      <c r="FY36" s="418"/>
      <c r="FZ36" s="418"/>
      <c r="GA36" s="418"/>
      <c r="GB36" s="417"/>
      <c r="GC36" s="417"/>
      <c r="GD36" s="417"/>
      <c r="GE36" s="417"/>
      <c r="GF36" s="417"/>
      <c r="GG36" s="417"/>
      <c r="GH36" s="417"/>
      <c r="GI36" s="417"/>
      <c r="GJ36" s="417"/>
      <c r="GK36" s="417"/>
      <c r="GL36" s="417"/>
      <c r="GM36" s="417"/>
      <c r="GN36" s="418"/>
      <c r="GO36" s="418"/>
      <c r="GP36" s="418"/>
      <c r="GQ36" s="417"/>
      <c r="GR36" s="417"/>
      <c r="GS36" s="417"/>
      <c r="GT36" s="417"/>
      <c r="GU36" s="417"/>
      <c r="GV36" s="417"/>
      <c r="GW36" s="417"/>
      <c r="GX36" s="417"/>
      <c r="GY36" s="417"/>
      <c r="GZ36" s="417"/>
      <c r="HA36" s="417"/>
      <c r="HB36" s="417"/>
      <c r="HC36" s="418"/>
      <c r="HD36" s="418"/>
      <c r="HE36" s="418"/>
      <c r="HF36" s="417"/>
      <c r="HG36" s="417"/>
      <c r="HH36" s="417"/>
      <c r="HI36" s="417"/>
      <c r="HJ36" s="417"/>
      <c r="HK36" s="417"/>
      <c r="HL36" s="417"/>
      <c r="HM36" s="417"/>
      <c r="HN36" s="417"/>
      <c r="HO36" s="417"/>
      <c r="HP36" s="417"/>
      <c r="HQ36" s="417"/>
      <c r="HR36" s="418"/>
      <c r="HS36" s="418"/>
      <c r="HT36" s="418"/>
    </row>
    <row r="37" spans="1:228" s="387" customFormat="1" ht="12.95" customHeight="1" x14ac:dyDescent="0.2">
      <c r="A37" s="406" t="s">
        <v>55</v>
      </c>
      <c r="B37" s="407" t="s">
        <v>38</v>
      </c>
      <c r="C37" s="406" t="s">
        <v>99</v>
      </c>
      <c r="D37" s="407" t="s">
        <v>1101</v>
      </c>
      <c r="E37" s="407" t="s">
        <v>99</v>
      </c>
      <c r="F37" s="407" t="s">
        <v>1101</v>
      </c>
      <c r="G37" s="406" t="s">
        <v>60</v>
      </c>
      <c r="H37" s="408" t="s">
        <v>1364</v>
      </c>
      <c r="I37" s="408" t="s">
        <v>1510</v>
      </c>
      <c r="J37" s="406" t="s">
        <v>1905</v>
      </c>
      <c r="K37" s="406" t="s">
        <v>646</v>
      </c>
      <c r="L37" s="406" t="s">
        <v>647</v>
      </c>
      <c r="M37" s="406"/>
      <c r="N37" s="452">
        <v>0</v>
      </c>
      <c r="O37" s="452">
        <v>0</v>
      </c>
      <c r="P37" s="452">
        <v>0</v>
      </c>
      <c r="Q37" s="452">
        <v>0</v>
      </c>
      <c r="R37" s="452">
        <v>0</v>
      </c>
      <c r="S37" s="452">
        <v>0</v>
      </c>
      <c r="T37" s="452">
        <v>7.9200000762939453</v>
      </c>
      <c r="U37" s="409">
        <v>0</v>
      </c>
      <c r="V37" s="409"/>
      <c r="W37" s="409"/>
      <c r="X37" s="409">
        <v>50</v>
      </c>
      <c r="Y37" s="409">
        <v>333.37534999847401</v>
      </c>
      <c r="Z37" s="453">
        <f t="shared" si="13"/>
        <v>391.29535007476795</v>
      </c>
      <c r="AA37" s="452"/>
      <c r="AB37" s="452">
        <v>130</v>
      </c>
      <c r="AC37" s="452"/>
      <c r="AD37" s="452"/>
      <c r="AE37" s="452"/>
      <c r="AF37" s="452"/>
      <c r="AG37" s="452"/>
      <c r="AH37" s="409"/>
      <c r="AI37" s="409"/>
      <c r="AJ37" s="409"/>
      <c r="AK37" s="409"/>
      <c r="AL37" s="409"/>
      <c r="AM37" s="453">
        <f t="shared" si="0"/>
        <v>130</v>
      </c>
      <c r="AN37" s="452"/>
      <c r="AO37" s="452"/>
      <c r="AP37" s="452"/>
      <c r="AQ37" s="452"/>
      <c r="AR37" s="452"/>
      <c r="AS37" s="452"/>
      <c r="AT37" s="452"/>
      <c r="AU37" s="409"/>
      <c r="AV37" s="409"/>
      <c r="AW37" s="409"/>
      <c r="AX37" s="409"/>
      <c r="AY37" s="409"/>
      <c r="AZ37" s="453">
        <f t="shared" si="1"/>
        <v>0</v>
      </c>
      <c r="BA37" s="452"/>
      <c r="BB37" s="452"/>
      <c r="BC37" s="452"/>
      <c r="BD37" s="452"/>
      <c r="BE37" s="452"/>
      <c r="BF37" s="452"/>
      <c r="BG37" s="452"/>
      <c r="BH37" s="409"/>
      <c r="BI37" s="409"/>
      <c r="BJ37" s="409"/>
      <c r="BK37" s="409"/>
      <c r="BL37" s="409"/>
      <c r="BM37" s="453">
        <f t="shared" si="2"/>
        <v>0</v>
      </c>
      <c r="BN37" s="452"/>
      <c r="BO37" s="452"/>
      <c r="BP37" s="452"/>
      <c r="BQ37" s="452"/>
      <c r="BR37" s="452"/>
      <c r="BS37" s="452"/>
      <c r="BT37" s="452"/>
      <c r="BU37" s="409"/>
      <c r="BV37" s="409"/>
      <c r="BW37" s="409"/>
      <c r="BX37" s="409"/>
      <c r="BY37" s="409"/>
      <c r="BZ37" s="453">
        <f t="shared" si="3"/>
        <v>0</v>
      </c>
      <c r="CA37" s="454">
        <f t="shared" si="4"/>
        <v>521.29535007476795</v>
      </c>
      <c r="CB37" s="419"/>
      <c r="CC37" s="419">
        <v>1</v>
      </c>
      <c r="CD37" s="419">
        <v>1</v>
      </c>
      <c r="CE37" s="419">
        <v>1</v>
      </c>
      <c r="CF37" s="419">
        <v>1</v>
      </c>
      <c r="CG37" s="420">
        <f>IFERROR((FE37/Z37%),0)</f>
        <v>2.0240465609367981</v>
      </c>
      <c r="CH37" s="421">
        <f>IFERROR((FK37/Z37%),0)</f>
        <v>89.418514559754072</v>
      </c>
      <c r="CI37" s="414" t="s">
        <v>106</v>
      </c>
      <c r="CJ37" s="415">
        <v>0</v>
      </c>
      <c r="CK37" s="415"/>
      <c r="CL37" s="415"/>
      <c r="CM37" s="415"/>
      <c r="CN37" s="415"/>
      <c r="CO37" s="415"/>
      <c r="CP37" s="415">
        <v>3</v>
      </c>
      <c r="CQ37" s="415"/>
      <c r="CR37" s="415">
        <f>274-14</f>
        <v>260</v>
      </c>
      <c r="CS37" s="415"/>
      <c r="CT37" s="415"/>
      <c r="CU37" s="415"/>
      <c r="CV37" s="410">
        <f t="shared" si="22"/>
        <v>263</v>
      </c>
      <c r="CW37" s="415"/>
      <c r="CX37" s="415"/>
      <c r="CY37" s="415"/>
      <c r="CZ37" s="415"/>
      <c r="DA37" s="415"/>
      <c r="DB37" s="415"/>
      <c r="DC37" s="415"/>
      <c r="DD37" s="415"/>
      <c r="DE37" s="415"/>
      <c r="DF37" s="415"/>
      <c r="DG37" s="415"/>
      <c r="DH37" s="415"/>
      <c r="DI37" s="410">
        <f>SUM(CW37:DH37)</f>
        <v>0</v>
      </c>
      <c r="DJ37" s="415"/>
      <c r="DK37" s="415"/>
      <c r="DL37" s="415"/>
      <c r="DM37" s="415"/>
      <c r="DN37" s="415"/>
      <c r="DO37" s="415"/>
      <c r="DP37" s="415"/>
      <c r="DQ37" s="415"/>
      <c r="DR37" s="415"/>
      <c r="DS37" s="415"/>
      <c r="DT37" s="415"/>
      <c r="DU37" s="415"/>
      <c r="DV37" s="410">
        <f t="shared" si="23"/>
        <v>0</v>
      </c>
      <c r="DW37" s="415"/>
      <c r="DX37" s="415"/>
      <c r="DY37" s="415"/>
      <c r="DZ37" s="415"/>
      <c r="EA37" s="415"/>
      <c r="EB37" s="415"/>
      <c r="EC37" s="415"/>
      <c r="ED37" s="415"/>
      <c r="EE37" s="415"/>
      <c r="EF37" s="415"/>
      <c r="EG37" s="415"/>
      <c r="EH37" s="415"/>
      <c r="EI37" s="410">
        <f t="shared" si="24"/>
        <v>0</v>
      </c>
      <c r="EJ37" s="415"/>
      <c r="EK37" s="415"/>
      <c r="EL37" s="415"/>
      <c r="EM37" s="415"/>
      <c r="EN37" s="415"/>
      <c r="EO37" s="415"/>
      <c r="EP37" s="415"/>
      <c r="EQ37" s="415"/>
      <c r="ER37" s="415"/>
      <c r="ES37" s="415"/>
      <c r="ET37" s="415"/>
      <c r="EU37" s="415"/>
      <c r="EV37" s="410">
        <f t="shared" si="25"/>
        <v>0</v>
      </c>
      <c r="EW37" s="416">
        <f t="shared" si="26"/>
        <v>263</v>
      </c>
      <c r="EX37" s="417">
        <f>IFERROR(VLOOKUP(H37,CEI_012018!$A$1:$U$509,9,FALSE),0)</f>
        <v>0</v>
      </c>
      <c r="EY37" s="417">
        <f>IFERROR(VLOOKUP(H37,CEI_022018!$A$1:$U$509,9,FALSE),0)</f>
        <v>0</v>
      </c>
      <c r="EZ37" s="417">
        <f>IFERROR(VLOOKUP(H37,CEI_032018!$A$1:$U$509,9,FALSE),0)</f>
        <v>0</v>
      </c>
      <c r="FA37" s="417">
        <f>IFERROR(VLOOKUP(H37,CEI_042018!$A$1:$U$491,9,FALSE),0)</f>
        <v>0</v>
      </c>
      <c r="FB37" s="417">
        <f>IFERROR(VLOOKUP(H37,CEI_052018!$A$1:$U$489,9,FALSE),0)</f>
        <v>0</v>
      </c>
      <c r="FC37" s="417">
        <f>IFERROR(VLOOKUP(H37,CEI_062018!$A$1:$U$489,9,FALSE),0)</f>
        <v>0</v>
      </c>
      <c r="FD37" s="417">
        <f>IFERROR(VLOOKUP(H37,CEI_072018!$A$1:$U$489,9,FALSE),0)</f>
        <v>7.9200000762939453</v>
      </c>
      <c r="FE37" s="417">
        <f>IFERROR(VLOOKUP(H37,CEI_082018!$A$1:$U$489,9,FALSE),0)</f>
        <v>7.9200000762939453</v>
      </c>
      <c r="FF37" s="417">
        <f>IFERROR(VLOOKUP(H37,CEI_092018!$A$1:$U$489,9,FALSE),0)</f>
        <v>7.9200000762939453</v>
      </c>
      <c r="FG37" s="417"/>
      <c r="FH37" s="417"/>
      <c r="FI37" s="417"/>
      <c r="FJ37" s="418">
        <f>IFERROR(VLOOKUP(H37,CEI_092018!$A$1:$U$489,12,FALSE),0)</f>
        <v>341.97048950195312</v>
      </c>
      <c r="FK37" s="418">
        <f t="shared" si="20"/>
        <v>349.89048957824707</v>
      </c>
      <c r="FL37" s="418">
        <f t="shared" si="21"/>
        <v>41.404860496520882</v>
      </c>
      <c r="FM37" s="417"/>
      <c r="FN37" s="417"/>
      <c r="FO37" s="417"/>
      <c r="FP37" s="417"/>
      <c r="FQ37" s="417"/>
      <c r="FR37" s="417"/>
      <c r="FS37" s="417"/>
      <c r="FT37" s="417"/>
      <c r="FU37" s="417"/>
      <c r="FV37" s="417"/>
      <c r="FW37" s="417"/>
      <c r="FX37" s="417"/>
      <c r="FY37" s="418"/>
      <c r="FZ37" s="418"/>
      <c r="GA37" s="418"/>
      <c r="GB37" s="417"/>
      <c r="GC37" s="417"/>
      <c r="GD37" s="417"/>
      <c r="GE37" s="417"/>
      <c r="GF37" s="417"/>
      <c r="GG37" s="417"/>
      <c r="GH37" s="417"/>
      <c r="GI37" s="417"/>
      <c r="GJ37" s="417"/>
      <c r="GK37" s="417"/>
      <c r="GL37" s="417"/>
      <c r="GM37" s="417"/>
      <c r="GN37" s="418"/>
      <c r="GO37" s="418"/>
      <c r="GP37" s="418"/>
      <c r="GQ37" s="417"/>
      <c r="GR37" s="417"/>
      <c r="GS37" s="417"/>
      <c r="GT37" s="417"/>
      <c r="GU37" s="417"/>
      <c r="GV37" s="417"/>
      <c r="GW37" s="417"/>
      <c r="GX37" s="417"/>
      <c r="GY37" s="417"/>
      <c r="GZ37" s="417"/>
      <c r="HA37" s="417"/>
      <c r="HB37" s="417"/>
      <c r="HC37" s="418"/>
      <c r="HD37" s="418"/>
      <c r="HE37" s="418"/>
      <c r="HF37" s="417"/>
      <c r="HG37" s="417"/>
      <c r="HH37" s="417"/>
      <c r="HI37" s="417"/>
      <c r="HJ37" s="417"/>
      <c r="HK37" s="417"/>
      <c r="HL37" s="417"/>
      <c r="HM37" s="417"/>
      <c r="HN37" s="417"/>
      <c r="HO37" s="417"/>
      <c r="HP37" s="417"/>
      <c r="HQ37" s="417"/>
      <c r="HR37" s="418"/>
      <c r="HS37" s="418"/>
      <c r="HT37" s="418"/>
    </row>
    <row r="38" spans="1:228" s="387" customFormat="1" ht="12.95" customHeight="1" x14ac:dyDescent="0.2">
      <c r="A38" s="406" t="s">
        <v>52</v>
      </c>
      <c r="B38" s="407" t="s">
        <v>27</v>
      </c>
      <c r="C38" s="406" t="s">
        <v>1560</v>
      </c>
      <c r="D38" s="406" t="s">
        <v>1561</v>
      </c>
      <c r="E38" s="407" t="s">
        <v>1560</v>
      </c>
      <c r="F38" s="406" t="s">
        <v>1561</v>
      </c>
      <c r="G38" s="406" t="s">
        <v>63</v>
      </c>
      <c r="H38" s="408" t="s">
        <v>1562</v>
      </c>
      <c r="I38" s="408" t="s">
        <v>1563</v>
      </c>
      <c r="J38" s="406" t="s">
        <v>1564</v>
      </c>
      <c r="K38" s="406" t="s">
        <v>109</v>
      </c>
      <c r="L38" s="406" t="s">
        <v>110</v>
      </c>
      <c r="M38" s="406"/>
      <c r="N38" s="452">
        <v>0</v>
      </c>
      <c r="O38" s="452">
        <v>0</v>
      </c>
      <c r="P38" s="452">
        <v>0</v>
      </c>
      <c r="Q38" s="452">
        <v>0</v>
      </c>
      <c r="R38" s="452">
        <v>0</v>
      </c>
      <c r="S38" s="452">
        <v>0</v>
      </c>
      <c r="T38" s="452">
        <v>0</v>
      </c>
      <c r="U38" s="409">
        <v>0</v>
      </c>
      <c r="V38" s="409">
        <v>0</v>
      </c>
      <c r="W38" s="409">
        <v>32</v>
      </c>
      <c r="X38" s="409">
        <v>11</v>
      </c>
      <c r="Y38" s="409">
        <v>8.3999999999999986</v>
      </c>
      <c r="Z38" s="453">
        <f t="shared" si="13"/>
        <v>51.4</v>
      </c>
      <c r="AA38" s="452">
        <v>0</v>
      </c>
      <c r="AB38" s="452">
        <v>0</v>
      </c>
      <c r="AC38" s="452">
        <v>0</v>
      </c>
      <c r="AD38" s="452">
        <v>0</v>
      </c>
      <c r="AE38" s="452">
        <v>0</v>
      </c>
      <c r="AF38" s="452">
        <v>0</v>
      </c>
      <c r="AG38" s="452">
        <v>0</v>
      </c>
      <c r="AH38" s="409"/>
      <c r="AI38" s="409">
        <v>0</v>
      </c>
      <c r="AJ38" s="409">
        <v>0</v>
      </c>
      <c r="AK38" s="409">
        <v>0</v>
      </c>
      <c r="AL38" s="409">
        <v>0</v>
      </c>
      <c r="AM38" s="453">
        <f t="shared" si="0"/>
        <v>0</v>
      </c>
      <c r="AN38" s="452">
        <v>0</v>
      </c>
      <c r="AO38" s="452">
        <v>0</v>
      </c>
      <c r="AP38" s="452">
        <v>0</v>
      </c>
      <c r="AQ38" s="452">
        <v>0</v>
      </c>
      <c r="AR38" s="452">
        <v>0</v>
      </c>
      <c r="AS38" s="452">
        <v>0</v>
      </c>
      <c r="AT38" s="452">
        <v>0</v>
      </c>
      <c r="AU38" s="409">
        <v>0</v>
      </c>
      <c r="AV38" s="409">
        <v>0</v>
      </c>
      <c r="AW38" s="409">
        <v>0</v>
      </c>
      <c r="AX38" s="409">
        <v>0</v>
      </c>
      <c r="AY38" s="409">
        <v>0</v>
      </c>
      <c r="AZ38" s="453">
        <f t="shared" si="1"/>
        <v>0</v>
      </c>
      <c r="BA38" s="452">
        <v>0</v>
      </c>
      <c r="BB38" s="452">
        <v>0</v>
      </c>
      <c r="BC38" s="452">
        <v>0</v>
      </c>
      <c r="BD38" s="452">
        <v>0</v>
      </c>
      <c r="BE38" s="452">
        <v>0</v>
      </c>
      <c r="BF38" s="452">
        <v>0</v>
      </c>
      <c r="BG38" s="452">
        <v>0</v>
      </c>
      <c r="BH38" s="409">
        <v>0</v>
      </c>
      <c r="BI38" s="409">
        <v>0</v>
      </c>
      <c r="BJ38" s="409">
        <v>0</v>
      </c>
      <c r="BK38" s="409">
        <v>0</v>
      </c>
      <c r="BL38" s="409">
        <v>0</v>
      </c>
      <c r="BM38" s="453">
        <f t="shared" si="2"/>
        <v>0</v>
      </c>
      <c r="BN38" s="452">
        <v>0</v>
      </c>
      <c r="BO38" s="452">
        <v>0</v>
      </c>
      <c r="BP38" s="452">
        <v>0</v>
      </c>
      <c r="BQ38" s="452">
        <v>0</v>
      </c>
      <c r="BR38" s="452">
        <v>0</v>
      </c>
      <c r="BS38" s="452">
        <v>0</v>
      </c>
      <c r="BT38" s="452">
        <v>0</v>
      </c>
      <c r="BU38" s="409">
        <v>0</v>
      </c>
      <c r="BV38" s="409">
        <v>0</v>
      </c>
      <c r="BW38" s="409">
        <v>0</v>
      </c>
      <c r="BX38" s="409">
        <v>0</v>
      </c>
      <c r="BY38" s="409">
        <v>0</v>
      </c>
      <c r="BZ38" s="453">
        <f t="shared" si="3"/>
        <v>0</v>
      </c>
      <c r="CA38" s="454">
        <f t="shared" si="4"/>
        <v>51.4</v>
      </c>
      <c r="CB38" s="419"/>
      <c r="CC38" s="419">
        <v>1</v>
      </c>
      <c r="CD38" s="419">
        <v>1</v>
      </c>
      <c r="CE38" s="419">
        <v>1</v>
      </c>
      <c r="CF38" s="419">
        <v>1</v>
      </c>
      <c r="CG38" s="420">
        <f>IFERROR((FE38/Z38%),0)</f>
        <v>0</v>
      </c>
      <c r="CH38" s="421">
        <f>IFERROR((FK38/Z38%),0)</f>
        <v>92.009260960590055</v>
      </c>
      <c r="CI38" s="414" t="s">
        <v>71</v>
      </c>
      <c r="CJ38" s="415"/>
      <c r="CK38" s="415"/>
      <c r="CL38" s="415"/>
      <c r="CM38" s="415"/>
      <c r="CN38" s="415"/>
      <c r="CO38" s="415"/>
      <c r="CP38" s="415"/>
      <c r="CQ38" s="415"/>
      <c r="CR38" s="415"/>
      <c r="CS38" s="415"/>
      <c r="CT38" s="415"/>
      <c r="CU38" s="415">
        <v>14</v>
      </c>
      <c r="CV38" s="410">
        <f t="shared" si="22"/>
        <v>14</v>
      </c>
      <c r="CW38" s="415"/>
      <c r="CX38" s="415"/>
      <c r="CY38" s="415"/>
      <c r="CZ38" s="415"/>
      <c r="DA38" s="415"/>
      <c r="DB38" s="415"/>
      <c r="DC38" s="415"/>
      <c r="DD38" s="415"/>
      <c r="DE38" s="415"/>
      <c r="DF38" s="415"/>
      <c r="DG38" s="415"/>
      <c r="DH38" s="415"/>
      <c r="DI38" s="410">
        <f>SUM(CW38:DH38)</f>
        <v>0</v>
      </c>
      <c r="DJ38" s="415"/>
      <c r="DK38" s="415"/>
      <c r="DL38" s="415"/>
      <c r="DM38" s="415"/>
      <c r="DN38" s="415"/>
      <c r="DO38" s="415"/>
      <c r="DP38" s="415"/>
      <c r="DQ38" s="415"/>
      <c r="DR38" s="415"/>
      <c r="DS38" s="415"/>
      <c r="DT38" s="415"/>
      <c r="DU38" s="415"/>
      <c r="DV38" s="410">
        <f t="shared" si="23"/>
        <v>0</v>
      </c>
      <c r="DW38" s="415"/>
      <c r="DX38" s="415"/>
      <c r="DY38" s="415"/>
      <c r="DZ38" s="415"/>
      <c r="EA38" s="415"/>
      <c r="EB38" s="415"/>
      <c r="EC38" s="415"/>
      <c r="ED38" s="415"/>
      <c r="EE38" s="415"/>
      <c r="EF38" s="415"/>
      <c r="EG38" s="415"/>
      <c r="EH38" s="415"/>
      <c r="EI38" s="410">
        <f t="shared" si="24"/>
        <v>0</v>
      </c>
      <c r="EJ38" s="415"/>
      <c r="EK38" s="415"/>
      <c r="EL38" s="415"/>
      <c r="EM38" s="415"/>
      <c r="EN38" s="415"/>
      <c r="EO38" s="415"/>
      <c r="EP38" s="415"/>
      <c r="EQ38" s="415"/>
      <c r="ER38" s="415"/>
      <c r="ES38" s="415"/>
      <c r="ET38" s="415"/>
      <c r="EU38" s="415"/>
      <c r="EV38" s="410">
        <f t="shared" si="25"/>
        <v>0</v>
      </c>
      <c r="EW38" s="416">
        <f t="shared" si="26"/>
        <v>14</v>
      </c>
      <c r="EX38" s="417">
        <f>IFERROR(VLOOKUP(H38,CEI_012018!$A$1:$U$509,9,FALSE),0)</f>
        <v>0</v>
      </c>
      <c r="EY38" s="417">
        <f>IFERROR(VLOOKUP(H38,CEI_022018!$A$1:$U$509,9,FALSE),0)</f>
        <v>0</v>
      </c>
      <c r="EZ38" s="417">
        <f>IFERROR(VLOOKUP(H38,CEI_032018!$A$1:$U$509,9,FALSE),0)</f>
        <v>0</v>
      </c>
      <c r="FA38" s="417">
        <f>IFERROR(VLOOKUP(H38,CEI_042018!$A$1:$U$491,9,FALSE),0)</f>
        <v>0</v>
      </c>
      <c r="FB38" s="417">
        <f>IFERROR(VLOOKUP(H38,CEI_052018!$A$1:$U$489,9,FALSE),0)</f>
        <v>0</v>
      </c>
      <c r="FC38" s="417">
        <f>IFERROR(VLOOKUP(H38,CEI_062018!$A$1:$U$489,9,FALSE),0)</f>
        <v>0</v>
      </c>
      <c r="FD38" s="417">
        <f>IFERROR(VLOOKUP(H38,CEI_072018!$A$1:$U$489,9,FALSE),0)</f>
        <v>0</v>
      </c>
      <c r="FE38" s="417">
        <f>IFERROR(VLOOKUP(H38,CEI_082018!$A$1:$U$489,9,FALSE),0)</f>
        <v>0</v>
      </c>
      <c r="FF38" s="417">
        <f>IFERROR(VLOOKUP(H38,CEI_092018!$A$1:$U$489,9,FALSE),0)</f>
        <v>0</v>
      </c>
      <c r="FG38" s="417"/>
      <c r="FH38" s="417"/>
      <c r="FI38" s="417"/>
      <c r="FJ38" s="418">
        <f>IFERROR(VLOOKUP(H38,CEI_092018!$A$1:$U$489,12,FALSE),0)</f>
        <v>47.292760133743286</v>
      </c>
      <c r="FK38" s="418">
        <f t="shared" si="20"/>
        <v>47.292760133743286</v>
      </c>
      <c r="FL38" s="418">
        <f t="shared" si="21"/>
        <v>4.1072398662567124</v>
      </c>
      <c r="FM38" s="417"/>
      <c r="FN38" s="417"/>
      <c r="FO38" s="417"/>
      <c r="FP38" s="417"/>
      <c r="FQ38" s="417"/>
      <c r="FR38" s="417"/>
      <c r="FS38" s="417"/>
      <c r="FT38" s="417"/>
      <c r="FU38" s="417"/>
      <c r="FV38" s="417"/>
      <c r="FW38" s="417"/>
      <c r="FX38" s="417"/>
      <c r="FY38" s="418"/>
      <c r="FZ38" s="418"/>
      <c r="GA38" s="418"/>
      <c r="GB38" s="417"/>
      <c r="GC38" s="417"/>
      <c r="GD38" s="417"/>
      <c r="GE38" s="417"/>
      <c r="GF38" s="417"/>
      <c r="GG38" s="417"/>
      <c r="GH38" s="417"/>
      <c r="GI38" s="417"/>
      <c r="GJ38" s="417"/>
      <c r="GK38" s="417"/>
      <c r="GL38" s="417"/>
      <c r="GM38" s="417"/>
      <c r="GN38" s="418"/>
      <c r="GO38" s="418"/>
      <c r="GP38" s="418"/>
      <c r="GQ38" s="417"/>
      <c r="GR38" s="417"/>
      <c r="GS38" s="417"/>
      <c r="GT38" s="417"/>
      <c r="GU38" s="417"/>
      <c r="GV38" s="417"/>
      <c r="GW38" s="417"/>
      <c r="GX38" s="417"/>
      <c r="GY38" s="417"/>
      <c r="GZ38" s="417"/>
      <c r="HA38" s="417"/>
      <c r="HB38" s="417"/>
      <c r="HC38" s="418"/>
      <c r="HD38" s="418"/>
      <c r="HE38" s="418"/>
      <c r="HF38" s="417"/>
      <c r="HG38" s="417"/>
      <c r="HH38" s="417"/>
      <c r="HI38" s="417"/>
      <c r="HJ38" s="417"/>
      <c r="HK38" s="417"/>
      <c r="HL38" s="417"/>
      <c r="HM38" s="417"/>
      <c r="HN38" s="417"/>
      <c r="HO38" s="417"/>
      <c r="HP38" s="417"/>
      <c r="HQ38" s="417"/>
      <c r="HR38" s="418"/>
      <c r="HS38" s="418"/>
      <c r="HT38" s="418"/>
    </row>
    <row r="39" spans="1:228" s="387" customFormat="1" ht="12.95" customHeight="1" x14ac:dyDescent="0.2">
      <c r="A39" s="406" t="s">
        <v>52</v>
      </c>
      <c r="B39" s="407" t="s">
        <v>1431</v>
      </c>
      <c r="C39" s="406" t="s">
        <v>107</v>
      </c>
      <c r="D39" s="407" t="s">
        <v>108</v>
      </c>
      <c r="E39" s="407" t="s">
        <v>107</v>
      </c>
      <c r="F39" s="407" t="s">
        <v>108</v>
      </c>
      <c r="G39" s="406" t="s">
        <v>63</v>
      </c>
      <c r="H39" s="408" t="s">
        <v>1921</v>
      </c>
      <c r="I39" s="408" t="s">
        <v>1922</v>
      </c>
      <c r="J39" s="406" t="s">
        <v>1923</v>
      </c>
      <c r="K39" s="406" t="s">
        <v>1924</v>
      </c>
      <c r="L39" s="406"/>
      <c r="M39" s="406"/>
      <c r="N39" s="452">
        <v>0</v>
      </c>
      <c r="O39" s="452">
        <v>0</v>
      </c>
      <c r="P39" s="452">
        <v>0</v>
      </c>
      <c r="Q39" s="452">
        <v>0</v>
      </c>
      <c r="R39" s="452">
        <v>0</v>
      </c>
      <c r="S39" s="452">
        <v>0</v>
      </c>
      <c r="T39" s="452">
        <v>0</v>
      </c>
      <c r="U39" s="409">
        <v>0</v>
      </c>
      <c r="V39" s="409">
        <v>0</v>
      </c>
      <c r="W39" s="409">
        <v>0</v>
      </c>
      <c r="X39" s="409">
        <v>0</v>
      </c>
      <c r="Y39" s="409">
        <v>0</v>
      </c>
      <c r="Z39" s="453">
        <f t="shared" si="13"/>
        <v>0</v>
      </c>
      <c r="AA39" s="452">
        <v>0</v>
      </c>
      <c r="AB39" s="452">
        <v>0</v>
      </c>
      <c r="AC39" s="452">
        <v>412.91641142857134</v>
      </c>
      <c r="AD39" s="452">
        <v>0</v>
      </c>
      <c r="AE39" s="452">
        <v>0</v>
      </c>
      <c r="AF39" s="452"/>
      <c r="AG39" s="452"/>
      <c r="AH39" s="409"/>
      <c r="AI39" s="409"/>
      <c r="AJ39" s="409"/>
      <c r="AK39" s="409"/>
      <c r="AL39" s="409"/>
      <c r="AM39" s="453">
        <f t="shared" si="0"/>
        <v>412.91641142857134</v>
      </c>
      <c r="AN39" s="452">
        <v>0</v>
      </c>
      <c r="AO39" s="452">
        <v>0</v>
      </c>
      <c r="AP39" s="452">
        <v>0</v>
      </c>
      <c r="AQ39" s="452">
        <v>0</v>
      </c>
      <c r="AR39" s="452">
        <v>0</v>
      </c>
      <c r="AS39" s="452">
        <v>0</v>
      </c>
      <c r="AT39" s="452">
        <v>0</v>
      </c>
      <c r="AU39" s="409">
        <v>0</v>
      </c>
      <c r="AV39" s="409">
        <v>0</v>
      </c>
      <c r="AW39" s="409">
        <v>0</v>
      </c>
      <c r="AX39" s="409">
        <v>0</v>
      </c>
      <c r="AY39" s="409">
        <v>0</v>
      </c>
      <c r="AZ39" s="453">
        <f t="shared" si="1"/>
        <v>0</v>
      </c>
      <c r="BA39" s="452">
        <v>0</v>
      </c>
      <c r="BB39" s="452">
        <v>0</v>
      </c>
      <c r="BC39" s="452">
        <v>0</v>
      </c>
      <c r="BD39" s="452">
        <v>0</v>
      </c>
      <c r="BE39" s="452">
        <v>0</v>
      </c>
      <c r="BF39" s="452">
        <v>0</v>
      </c>
      <c r="BG39" s="452">
        <v>0</v>
      </c>
      <c r="BH39" s="409">
        <v>0</v>
      </c>
      <c r="BI39" s="409">
        <v>0</v>
      </c>
      <c r="BJ39" s="409">
        <v>0</v>
      </c>
      <c r="BK39" s="409">
        <v>0</v>
      </c>
      <c r="BL39" s="409">
        <v>0</v>
      </c>
      <c r="BM39" s="453">
        <f t="shared" si="2"/>
        <v>0</v>
      </c>
      <c r="BN39" s="452">
        <v>0</v>
      </c>
      <c r="BO39" s="452">
        <v>0</v>
      </c>
      <c r="BP39" s="452">
        <v>0</v>
      </c>
      <c r="BQ39" s="452">
        <v>0</v>
      </c>
      <c r="BR39" s="452">
        <v>0</v>
      </c>
      <c r="BS39" s="452">
        <v>0</v>
      </c>
      <c r="BT39" s="452">
        <v>0</v>
      </c>
      <c r="BU39" s="409">
        <v>0</v>
      </c>
      <c r="BV39" s="409">
        <v>0</v>
      </c>
      <c r="BW39" s="409">
        <v>0</v>
      </c>
      <c r="BX39" s="409">
        <v>0</v>
      </c>
      <c r="BY39" s="409">
        <v>0</v>
      </c>
      <c r="BZ39" s="453">
        <f t="shared" si="3"/>
        <v>0</v>
      </c>
      <c r="CA39" s="454">
        <f t="shared" si="4"/>
        <v>412.91641142857134</v>
      </c>
      <c r="CB39" s="411"/>
      <c r="CC39" s="411"/>
      <c r="CD39" s="411"/>
      <c r="CE39" s="411"/>
      <c r="CF39" s="411"/>
      <c r="CG39" s="412"/>
      <c r="CH39" s="413"/>
      <c r="CI39" s="414" t="s">
        <v>71</v>
      </c>
      <c r="CJ39" s="415"/>
      <c r="CK39" s="415"/>
      <c r="CL39" s="415"/>
      <c r="CM39" s="415"/>
      <c r="CN39" s="415"/>
      <c r="CO39" s="415"/>
      <c r="CP39" s="415"/>
      <c r="CQ39" s="415"/>
      <c r="CR39" s="415"/>
      <c r="CS39" s="415"/>
      <c r="CT39" s="415"/>
      <c r="CU39" s="415"/>
      <c r="CV39" s="410">
        <f t="shared" si="22"/>
        <v>0</v>
      </c>
      <c r="CW39" s="415"/>
      <c r="CX39" s="415"/>
      <c r="CY39" s="415"/>
      <c r="CZ39" s="415"/>
      <c r="DA39" s="415"/>
      <c r="DB39" s="415"/>
      <c r="DC39" s="415"/>
      <c r="DD39" s="415"/>
      <c r="DE39" s="415"/>
      <c r="DF39" s="415"/>
      <c r="DG39" s="415"/>
      <c r="DH39" s="415">
        <v>1</v>
      </c>
      <c r="DI39" s="410">
        <v>19</v>
      </c>
      <c r="DJ39" s="415"/>
      <c r="DK39" s="415"/>
      <c r="DL39" s="415"/>
      <c r="DM39" s="415"/>
      <c r="DN39" s="415"/>
      <c r="DO39" s="415"/>
      <c r="DP39" s="415"/>
      <c r="DQ39" s="415"/>
      <c r="DR39" s="415"/>
      <c r="DS39" s="415"/>
      <c r="DT39" s="415"/>
      <c r="DU39" s="415"/>
      <c r="DV39" s="410">
        <f t="shared" si="23"/>
        <v>0</v>
      </c>
      <c r="DW39" s="415"/>
      <c r="DX39" s="415"/>
      <c r="DY39" s="415"/>
      <c r="DZ39" s="415"/>
      <c r="EA39" s="415"/>
      <c r="EB39" s="415"/>
      <c r="EC39" s="415"/>
      <c r="ED39" s="415"/>
      <c r="EE39" s="415"/>
      <c r="EF39" s="415"/>
      <c r="EG39" s="415"/>
      <c r="EH39" s="415"/>
      <c r="EI39" s="410">
        <f t="shared" si="24"/>
        <v>0</v>
      </c>
      <c r="EJ39" s="415"/>
      <c r="EK39" s="415"/>
      <c r="EL39" s="415"/>
      <c r="EM39" s="415"/>
      <c r="EN39" s="415"/>
      <c r="EO39" s="415"/>
      <c r="EP39" s="415"/>
      <c r="EQ39" s="415"/>
      <c r="ER39" s="415"/>
      <c r="ES39" s="415"/>
      <c r="ET39" s="415"/>
      <c r="EU39" s="415"/>
      <c r="EV39" s="410">
        <f t="shared" si="25"/>
        <v>0</v>
      </c>
      <c r="EW39" s="416">
        <f t="shared" si="26"/>
        <v>19</v>
      </c>
      <c r="EX39" s="417">
        <f>IFERROR(VLOOKUP(H39,CEI_012018!$A$1:$U$509,9,FALSE),0)</f>
        <v>0</v>
      </c>
      <c r="EY39" s="417">
        <f>IFERROR(VLOOKUP(H39,CEI_022018!$A$1:$U$509,9,FALSE),0)</f>
        <v>0</v>
      </c>
      <c r="EZ39" s="417">
        <f>IFERROR(VLOOKUP(H39,CEI_032018!$A$1:$U$509,9,FALSE),0)</f>
        <v>0</v>
      </c>
      <c r="FA39" s="417">
        <f>IFERROR(VLOOKUP(H39,CEI_042018!$A$1:$U$491,9,FALSE),0)</f>
        <v>0</v>
      </c>
      <c r="FB39" s="417">
        <f>IFERROR(VLOOKUP(H39,CEI_052018!$A$1:$U$489,9,FALSE),0)</f>
        <v>0</v>
      </c>
      <c r="FC39" s="417">
        <f>IFERROR(VLOOKUP(H39,CEI_062018!$A$1:$U$489,9,FALSE),0)</f>
        <v>0</v>
      </c>
      <c r="FD39" s="417">
        <f>IFERROR(VLOOKUP(H39,CEI_072018!$A$1:$U$489,9,FALSE),0)</f>
        <v>0</v>
      </c>
      <c r="FE39" s="417">
        <f>IFERROR(VLOOKUP(H39,CEI_082018!$A$1:$U$489,9,FALSE),0)</f>
        <v>0</v>
      </c>
      <c r="FF39" s="417">
        <f>IFERROR(VLOOKUP(H39,CEI_092018!$A$1:$U$489,9,FALSE),0)</f>
        <v>0</v>
      </c>
      <c r="FG39" s="417"/>
      <c r="FH39" s="417"/>
      <c r="FI39" s="417"/>
      <c r="FJ39" s="418">
        <f>IFERROR(VLOOKUP(H39,CEI_092018!$A$1:$U$489,12,FALSE),0)</f>
        <v>0</v>
      </c>
      <c r="FK39" s="418">
        <f t="shared" si="20"/>
        <v>0</v>
      </c>
      <c r="FL39" s="418">
        <f t="shared" si="21"/>
        <v>0</v>
      </c>
      <c r="FM39" s="417"/>
      <c r="FN39" s="417"/>
      <c r="FO39" s="417"/>
      <c r="FP39" s="417"/>
      <c r="FQ39" s="417"/>
      <c r="FR39" s="417"/>
      <c r="FS39" s="417"/>
      <c r="FT39" s="417"/>
      <c r="FU39" s="417"/>
      <c r="FV39" s="417"/>
      <c r="FW39" s="417"/>
      <c r="FX39" s="417"/>
      <c r="FY39" s="418"/>
      <c r="FZ39" s="418"/>
      <c r="GA39" s="418"/>
      <c r="GB39" s="417"/>
      <c r="GC39" s="417"/>
      <c r="GD39" s="417"/>
      <c r="GE39" s="417"/>
      <c r="GF39" s="417"/>
      <c r="GG39" s="417"/>
      <c r="GH39" s="417"/>
      <c r="GI39" s="417"/>
      <c r="GJ39" s="417"/>
      <c r="GK39" s="417"/>
      <c r="GL39" s="417"/>
      <c r="GM39" s="417"/>
      <c r="GN39" s="418"/>
      <c r="GO39" s="418"/>
      <c r="GP39" s="418"/>
      <c r="GQ39" s="417"/>
      <c r="GR39" s="417"/>
      <c r="GS39" s="417"/>
      <c r="GT39" s="417"/>
      <c r="GU39" s="417"/>
      <c r="GV39" s="417"/>
      <c r="GW39" s="417"/>
      <c r="GX39" s="417"/>
      <c r="GY39" s="417"/>
      <c r="GZ39" s="417"/>
      <c r="HA39" s="417"/>
      <c r="HB39" s="417"/>
      <c r="HC39" s="418"/>
      <c r="HD39" s="418"/>
      <c r="HE39" s="418"/>
      <c r="HF39" s="417"/>
      <c r="HG39" s="417"/>
      <c r="HH39" s="417"/>
      <c r="HI39" s="417"/>
      <c r="HJ39" s="417"/>
      <c r="HK39" s="417"/>
      <c r="HL39" s="417"/>
      <c r="HM39" s="417"/>
      <c r="HN39" s="417"/>
      <c r="HO39" s="417"/>
      <c r="HP39" s="417"/>
      <c r="HQ39" s="417"/>
      <c r="HR39" s="418"/>
      <c r="HS39" s="418"/>
      <c r="HT39" s="418"/>
    </row>
    <row r="40" spans="1:228" s="387" customFormat="1" ht="12.95" customHeight="1" x14ac:dyDescent="0.2">
      <c r="A40" s="406" t="s">
        <v>52</v>
      </c>
      <c r="B40" s="407" t="s">
        <v>1431</v>
      </c>
      <c r="C40" s="406" t="s">
        <v>107</v>
      </c>
      <c r="D40" s="407" t="s">
        <v>108</v>
      </c>
      <c r="E40" s="407" t="s">
        <v>107</v>
      </c>
      <c r="F40" s="407" t="s">
        <v>108</v>
      </c>
      <c r="G40" s="406" t="s">
        <v>63</v>
      </c>
      <c r="H40" s="408" t="s">
        <v>520</v>
      </c>
      <c r="I40" s="408"/>
      <c r="J40" s="406" t="s">
        <v>127</v>
      </c>
      <c r="K40" s="406" t="s">
        <v>128</v>
      </c>
      <c r="L40" s="406" t="s">
        <v>118</v>
      </c>
      <c r="M40" s="406"/>
      <c r="N40" s="452">
        <v>0</v>
      </c>
      <c r="O40" s="452">
        <v>0</v>
      </c>
      <c r="P40" s="452">
        <v>0</v>
      </c>
      <c r="Q40" s="452">
        <v>0</v>
      </c>
      <c r="R40" s="452">
        <v>0</v>
      </c>
      <c r="S40" s="452">
        <v>0</v>
      </c>
      <c r="T40" s="452">
        <v>0</v>
      </c>
      <c r="U40" s="409">
        <v>0</v>
      </c>
      <c r="V40" s="409">
        <v>0</v>
      </c>
      <c r="W40" s="409">
        <v>0</v>
      </c>
      <c r="X40" s="409">
        <v>0</v>
      </c>
      <c r="Y40" s="409">
        <v>0</v>
      </c>
      <c r="Z40" s="453">
        <f t="shared" si="13"/>
        <v>0</v>
      </c>
      <c r="AA40" s="452">
        <v>0</v>
      </c>
      <c r="AB40" s="452">
        <v>0</v>
      </c>
      <c r="AC40" s="452">
        <v>0</v>
      </c>
      <c r="AD40" s="452">
        <v>0</v>
      </c>
      <c r="AE40" s="452">
        <v>0</v>
      </c>
      <c r="AF40" s="452">
        <v>0</v>
      </c>
      <c r="AG40" s="452">
        <v>0</v>
      </c>
      <c r="AH40" s="409">
        <v>0</v>
      </c>
      <c r="AI40" s="409">
        <v>0</v>
      </c>
      <c r="AJ40" s="409">
        <v>0</v>
      </c>
      <c r="AK40" s="409">
        <v>0</v>
      </c>
      <c r="AL40" s="409">
        <v>0</v>
      </c>
      <c r="AM40" s="453">
        <f t="shared" si="0"/>
        <v>0</v>
      </c>
      <c r="AN40" s="452">
        <v>0</v>
      </c>
      <c r="AO40" s="452">
        <v>0</v>
      </c>
      <c r="AP40" s="452">
        <v>0</v>
      </c>
      <c r="AQ40" s="452">
        <v>0</v>
      </c>
      <c r="AR40" s="452">
        <v>0</v>
      </c>
      <c r="AS40" s="452">
        <v>0</v>
      </c>
      <c r="AT40" s="452">
        <v>0</v>
      </c>
      <c r="AU40" s="409">
        <v>0</v>
      </c>
      <c r="AV40" s="409">
        <v>0</v>
      </c>
      <c r="AW40" s="409">
        <v>0</v>
      </c>
      <c r="AX40" s="409">
        <v>0</v>
      </c>
      <c r="AY40" s="409">
        <v>0</v>
      </c>
      <c r="AZ40" s="453">
        <f t="shared" si="1"/>
        <v>0</v>
      </c>
      <c r="BA40" s="452">
        <v>0</v>
      </c>
      <c r="BB40" s="452">
        <v>0</v>
      </c>
      <c r="BC40" s="452">
        <v>0</v>
      </c>
      <c r="BD40" s="452">
        <v>0</v>
      </c>
      <c r="BE40" s="452">
        <v>0</v>
      </c>
      <c r="BF40" s="452">
        <v>0</v>
      </c>
      <c r="BG40" s="452">
        <v>0</v>
      </c>
      <c r="BH40" s="409">
        <v>0</v>
      </c>
      <c r="BI40" s="409">
        <v>0</v>
      </c>
      <c r="BJ40" s="409">
        <v>0</v>
      </c>
      <c r="BK40" s="409">
        <v>0</v>
      </c>
      <c r="BL40" s="409">
        <v>0</v>
      </c>
      <c r="BM40" s="453">
        <f t="shared" si="2"/>
        <v>0</v>
      </c>
      <c r="BN40" s="452">
        <v>0</v>
      </c>
      <c r="BO40" s="452">
        <v>0</v>
      </c>
      <c r="BP40" s="452">
        <v>0</v>
      </c>
      <c r="BQ40" s="452">
        <v>0</v>
      </c>
      <c r="BR40" s="452">
        <v>0</v>
      </c>
      <c r="BS40" s="452">
        <v>0</v>
      </c>
      <c r="BT40" s="452">
        <v>0</v>
      </c>
      <c r="BU40" s="409">
        <v>0</v>
      </c>
      <c r="BV40" s="409">
        <v>0</v>
      </c>
      <c r="BW40" s="409">
        <v>0</v>
      </c>
      <c r="BX40" s="409">
        <v>0</v>
      </c>
      <c r="BY40" s="409">
        <v>117</v>
      </c>
      <c r="BZ40" s="453">
        <f t="shared" si="3"/>
        <v>117</v>
      </c>
      <c r="CA40" s="454">
        <f t="shared" si="4"/>
        <v>117</v>
      </c>
      <c r="CB40" s="411"/>
      <c r="CC40" s="411"/>
      <c r="CD40" s="411"/>
      <c r="CE40" s="411"/>
      <c r="CF40" s="411"/>
      <c r="CG40" s="412"/>
      <c r="CH40" s="413"/>
      <c r="CI40" s="414" t="s">
        <v>71</v>
      </c>
      <c r="CJ40" s="415"/>
      <c r="CK40" s="415"/>
      <c r="CL40" s="415"/>
      <c r="CM40" s="415"/>
      <c r="CN40" s="415"/>
      <c r="CO40" s="415"/>
      <c r="CP40" s="415"/>
      <c r="CQ40" s="415"/>
      <c r="CR40" s="415"/>
      <c r="CS40" s="415"/>
      <c r="CT40" s="415"/>
      <c r="CU40" s="415"/>
      <c r="CV40" s="410">
        <f t="shared" si="22"/>
        <v>0</v>
      </c>
      <c r="CW40" s="415"/>
      <c r="CX40" s="415"/>
      <c r="CY40" s="415"/>
      <c r="CZ40" s="415"/>
      <c r="DA40" s="415"/>
      <c r="DB40" s="415"/>
      <c r="DC40" s="415"/>
      <c r="DD40" s="415"/>
      <c r="DE40" s="415"/>
      <c r="DF40" s="415"/>
      <c r="DG40" s="415"/>
      <c r="DH40" s="415"/>
      <c r="DI40" s="410">
        <f t="shared" ref="DI40:DI49" si="27">SUM(CW40:DH40)</f>
        <v>0</v>
      </c>
      <c r="DJ40" s="415"/>
      <c r="DK40" s="415"/>
      <c r="DL40" s="415"/>
      <c r="DM40" s="415"/>
      <c r="DN40" s="415"/>
      <c r="DO40" s="415"/>
      <c r="DP40" s="415"/>
      <c r="DQ40" s="415"/>
      <c r="DR40" s="415"/>
      <c r="DS40" s="415"/>
      <c r="DT40" s="415"/>
      <c r="DU40" s="415"/>
      <c r="DV40" s="410">
        <f t="shared" si="23"/>
        <v>0</v>
      </c>
      <c r="DW40" s="415"/>
      <c r="DX40" s="415"/>
      <c r="DY40" s="415"/>
      <c r="DZ40" s="415"/>
      <c r="EA40" s="415"/>
      <c r="EB40" s="415"/>
      <c r="EC40" s="415"/>
      <c r="ED40" s="415"/>
      <c r="EE40" s="415"/>
      <c r="EF40" s="415"/>
      <c r="EG40" s="415"/>
      <c r="EH40" s="415"/>
      <c r="EI40" s="410">
        <f t="shared" si="24"/>
        <v>0</v>
      </c>
      <c r="EJ40" s="415"/>
      <c r="EK40" s="415"/>
      <c r="EL40" s="415"/>
      <c r="EM40" s="415"/>
      <c r="EN40" s="415"/>
      <c r="EO40" s="415"/>
      <c r="EP40" s="415"/>
      <c r="EQ40" s="415"/>
      <c r="ER40" s="415"/>
      <c r="ES40" s="415"/>
      <c r="ET40" s="415"/>
      <c r="EU40" s="415">
        <v>1</v>
      </c>
      <c r="EV40" s="410">
        <f t="shared" si="25"/>
        <v>1</v>
      </c>
      <c r="EW40" s="416">
        <f t="shared" si="26"/>
        <v>1</v>
      </c>
      <c r="EX40" s="417">
        <f>IFERROR(VLOOKUP(H40,CEI_012018!$A$1:$U$509,9,FALSE),0)</f>
        <v>0</v>
      </c>
      <c r="EY40" s="417">
        <f>IFERROR(VLOOKUP(H40,CEI_022018!$A$1:$U$509,9,FALSE),0)</f>
        <v>0</v>
      </c>
      <c r="EZ40" s="417">
        <f>IFERROR(VLOOKUP(H40,CEI_032018!$A$1:$U$509,9,FALSE),0)</f>
        <v>0</v>
      </c>
      <c r="FA40" s="417">
        <f>IFERROR(VLOOKUP(H40,CEI_042018!$A$1:$U$491,9,FALSE),0)</f>
        <v>0</v>
      </c>
      <c r="FB40" s="417">
        <f>IFERROR(VLOOKUP(H40,CEI_052018!$A$1:$U$489,9,FALSE),0)</f>
        <v>0</v>
      </c>
      <c r="FC40" s="417">
        <f>IFERROR(VLOOKUP(H40,CEI_062018!$A$1:$U$489,9,FALSE),0)</f>
        <v>0</v>
      </c>
      <c r="FD40" s="417">
        <f>IFERROR(VLOOKUP(H40,CEI_072018!$A$1:$U$489,9,FALSE),0)</f>
        <v>0</v>
      </c>
      <c r="FE40" s="417">
        <f>IFERROR(VLOOKUP(H40,CEI_082018!$A$1:$U$489,9,FALSE),0)</f>
        <v>0</v>
      </c>
      <c r="FF40" s="417">
        <f>IFERROR(VLOOKUP(H40,CEI_092018!$A$1:$U$489,9,FALSE),0)</f>
        <v>0</v>
      </c>
      <c r="FG40" s="417"/>
      <c r="FH40" s="417"/>
      <c r="FI40" s="417"/>
      <c r="FJ40" s="418">
        <f>IFERROR(VLOOKUP(H40,CEI_092018!$A$1:$U$489,12,FALSE),0)</f>
        <v>0</v>
      </c>
      <c r="FK40" s="418">
        <f t="shared" si="20"/>
        <v>0</v>
      </c>
      <c r="FL40" s="418">
        <f t="shared" si="21"/>
        <v>0</v>
      </c>
      <c r="FM40" s="417"/>
      <c r="FN40" s="417"/>
      <c r="FO40" s="417"/>
      <c r="FP40" s="417"/>
      <c r="FQ40" s="417"/>
      <c r="FR40" s="417"/>
      <c r="FS40" s="417"/>
      <c r="FT40" s="417"/>
      <c r="FU40" s="417"/>
      <c r="FV40" s="417"/>
      <c r="FW40" s="417"/>
      <c r="FX40" s="417"/>
      <c r="FY40" s="418"/>
      <c r="FZ40" s="418"/>
      <c r="GA40" s="418"/>
      <c r="GB40" s="417"/>
      <c r="GC40" s="417"/>
      <c r="GD40" s="417"/>
      <c r="GE40" s="417"/>
      <c r="GF40" s="417"/>
      <c r="GG40" s="417"/>
      <c r="GH40" s="417"/>
      <c r="GI40" s="417"/>
      <c r="GJ40" s="417"/>
      <c r="GK40" s="417"/>
      <c r="GL40" s="417"/>
      <c r="GM40" s="417"/>
      <c r="GN40" s="418"/>
      <c r="GO40" s="418"/>
      <c r="GP40" s="418"/>
      <c r="GQ40" s="417"/>
      <c r="GR40" s="417"/>
      <c r="GS40" s="417"/>
      <c r="GT40" s="417"/>
      <c r="GU40" s="417"/>
      <c r="GV40" s="417"/>
      <c r="GW40" s="417"/>
      <c r="GX40" s="417"/>
      <c r="GY40" s="417"/>
      <c r="GZ40" s="417"/>
      <c r="HA40" s="417"/>
      <c r="HB40" s="417"/>
      <c r="HC40" s="418"/>
      <c r="HD40" s="418"/>
      <c r="HE40" s="418"/>
      <c r="HF40" s="417"/>
      <c r="HG40" s="417"/>
      <c r="HH40" s="417"/>
      <c r="HI40" s="417"/>
      <c r="HJ40" s="417"/>
      <c r="HK40" s="417"/>
      <c r="HL40" s="417"/>
      <c r="HM40" s="417"/>
      <c r="HN40" s="417"/>
      <c r="HO40" s="417"/>
      <c r="HP40" s="417"/>
      <c r="HQ40" s="417"/>
      <c r="HR40" s="418"/>
      <c r="HS40" s="418"/>
      <c r="HT40" s="418"/>
    </row>
    <row r="41" spans="1:228" s="387" customFormat="1" ht="12.95" customHeight="1" x14ac:dyDescent="0.2">
      <c r="A41" s="406" t="s">
        <v>52</v>
      </c>
      <c r="B41" s="407" t="s">
        <v>1431</v>
      </c>
      <c r="C41" s="406" t="s">
        <v>107</v>
      </c>
      <c r="D41" s="407" t="s">
        <v>108</v>
      </c>
      <c r="E41" s="407" t="s">
        <v>107</v>
      </c>
      <c r="F41" s="407" t="s">
        <v>108</v>
      </c>
      <c r="G41" s="406" t="s">
        <v>63</v>
      </c>
      <c r="H41" s="408" t="s">
        <v>520</v>
      </c>
      <c r="I41" s="408"/>
      <c r="J41" s="406" t="s">
        <v>121</v>
      </c>
      <c r="K41" s="406" t="s">
        <v>122</v>
      </c>
      <c r="L41" s="406" t="s">
        <v>118</v>
      </c>
      <c r="M41" s="406"/>
      <c r="N41" s="452">
        <v>0</v>
      </c>
      <c r="O41" s="452">
        <v>0</v>
      </c>
      <c r="P41" s="452">
        <v>0</v>
      </c>
      <c r="Q41" s="452">
        <v>0</v>
      </c>
      <c r="R41" s="452">
        <v>0</v>
      </c>
      <c r="S41" s="452">
        <v>0</v>
      </c>
      <c r="T41" s="452">
        <v>0</v>
      </c>
      <c r="U41" s="409">
        <v>0</v>
      </c>
      <c r="V41" s="409">
        <v>0</v>
      </c>
      <c r="W41" s="409">
        <v>0</v>
      </c>
      <c r="X41" s="409">
        <v>0</v>
      </c>
      <c r="Y41" s="409">
        <v>0</v>
      </c>
      <c r="Z41" s="453">
        <f t="shared" si="13"/>
        <v>0</v>
      </c>
      <c r="AA41" s="452">
        <v>0</v>
      </c>
      <c r="AB41" s="452">
        <v>0</v>
      </c>
      <c r="AC41" s="452">
        <v>0</v>
      </c>
      <c r="AD41" s="452">
        <v>0</v>
      </c>
      <c r="AE41" s="452">
        <v>0</v>
      </c>
      <c r="AF41" s="452"/>
      <c r="AG41" s="452"/>
      <c r="AH41" s="409"/>
      <c r="AI41" s="409"/>
      <c r="AJ41" s="409"/>
      <c r="AK41" s="409"/>
      <c r="AL41" s="409"/>
      <c r="AM41" s="453">
        <f t="shared" si="0"/>
        <v>0</v>
      </c>
      <c r="AN41" s="452">
        <v>0</v>
      </c>
      <c r="AO41" s="452">
        <v>0</v>
      </c>
      <c r="AP41" s="452">
        <v>0</v>
      </c>
      <c r="AQ41" s="452">
        <v>0</v>
      </c>
      <c r="AR41" s="452">
        <v>0</v>
      </c>
      <c r="AS41" s="452">
        <v>0</v>
      </c>
      <c r="AT41" s="452">
        <v>0</v>
      </c>
      <c r="AU41" s="409">
        <v>0</v>
      </c>
      <c r="AV41" s="409">
        <v>0</v>
      </c>
      <c r="AW41" s="409">
        <v>0</v>
      </c>
      <c r="AX41" s="409">
        <v>0</v>
      </c>
      <c r="AY41" s="409">
        <v>23</v>
      </c>
      <c r="AZ41" s="453">
        <f t="shared" si="1"/>
        <v>23</v>
      </c>
      <c r="BA41" s="452">
        <v>0</v>
      </c>
      <c r="BB41" s="452">
        <v>0</v>
      </c>
      <c r="BC41" s="452">
        <v>0</v>
      </c>
      <c r="BD41" s="452">
        <v>0</v>
      </c>
      <c r="BE41" s="452">
        <v>0</v>
      </c>
      <c r="BF41" s="452">
        <v>0</v>
      </c>
      <c r="BG41" s="452">
        <v>0</v>
      </c>
      <c r="BH41" s="409">
        <v>0</v>
      </c>
      <c r="BI41" s="409">
        <v>0</v>
      </c>
      <c r="BJ41" s="409">
        <v>0</v>
      </c>
      <c r="BK41" s="409">
        <v>0</v>
      </c>
      <c r="BL41" s="409">
        <v>0</v>
      </c>
      <c r="BM41" s="453">
        <f t="shared" si="2"/>
        <v>0</v>
      </c>
      <c r="BN41" s="452">
        <v>0</v>
      </c>
      <c r="BO41" s="452">
        <v>0</v>
      </c>
      <c r="BP41" s="452">
        <v>0</v>
      </c>
      <c r="BQ41" s="452">
        <v>0</v>
      </c>
      <c r="BR41" s="452">
        <v>0</v>
      </c>
      <c r="BS41" s="452">
        <v>0</v>
      </c>
      <c r="BT41" s="452">
        <v>0</v>
      </c>
      <c r="BU41" s="409">
        <v>0</v>
      </c>
      <c r="BV41" s="409">
        <v>0</v>
      </c>
      <c r="BW41" s="409">
        <v>0</v>
      </c>
      <c r="BX41" s="409">
        <v>0</v>
      </c>
      <c r="BY41" s="409">
        <v>0</v>
      </c>
      <c r="BZ41" s="453">
        <f t="shared" si="3"/>
        <v>0</v>
      </c>
      <c r="CA41" s="454">
        <f t="shared" si="4"/>
        <v>23</v>
      </c>
      <c r="CB41" s="411"/>
      <c r="CC41" s="411"/>
      <c r="CD41" s="411"/>
      <c r="CE41" s="411"/>
      <c r="CF41" s="411"/>
      <c r="CG41" s="412"/>
      <c r="CH41" s="413"/>
      <c r="CI41" s="414" t="s">
        <v>71</v>
      </c>
      <c r="CJ41" s="415"/>
      <c r="CK41" s="415"/>
      <c r="CL41" s="415"/>
      <c r="CM41" s="415"/>
      <c r="CN41" s="415"/>
      <c r="CO41" s="415"/>
      <c r="CP41" s="415"/>
      <c r="CQ41" s="415"/>
      <c r="CR41" s="415"/>
      <c r="CS41" s="415"/>
      <c r="CT41" s="415"/>
      <c r="CU41" s="415"/>
      <c r="CV41" s="410">
        <f t="shared" si="22"/>
        <v>0</v>
      </c>
      <c r="CW41" s="415"/>
      <c r="CX41" s="415"/>
      <c r="CY41" s="415"/>
      <c r="CZ41" s="415"/>
      <c r="DA41" s="415"/>
      <c r="DB41" s="415"/>
      <c r="DC41" s="415"/>
      <c r="DD41" s="415"/>
      <c r="DE41" s="415"/>
      <c r="DF41" s="415"/>
      <c r="DG41" s="415"/>
      <c r="DH41" s="415"/>
      <c r="DI41" s="410">
        <f t="shared" si="27"/>
        <v>0</v>
      </c>
      <c r="DJ41" s="415"/>
      <c r="DK41" s="415"/>
      <c r="DL41" s="415"/>
      <c r="DM41" s="415"/>
      <c r="DN41" s="415"/>
      <c r="DO41" s="415"/>
      <c r="DP41" s="415"/>
      <c r="DQ41" s="415"/>
      <c r="DR41" s="415"/>
      <c r="DS41" s="415"/>
      <c r="DT41" s="415"/>
      <c r="DU41" s="415">
        <v>1</v>
      </c>
      <c r="DV41" s="410">
        <f t="shared" si="23"/>
        <v>1</v>
      </c>
      <c r="DW41" s="415"/>
      <c r="DX41" s="415"/>
      <c r="DY41" s="415"/>
      <c r="DZ41" s="415"/>
      <c r="EA41" s="415"/>
      <c r="EB41" s="415"/>
      <c r="EC41" s="415"/>
      <c r="ED41" s="415"/>
      <c r="EE41" s="415"/>
      <c r="EF41" s="415"/>
      <c r="EG41" s="415"/>
      <c r="EH41" s="415"/>
      <c r="EI41" s="410">
        <f t="shared" si="24"/>
        <v>0</v>
      </c>
      <c r="EJ41" s="415"/>
      <c r="EK41" s="415"/>
      <c r="EL41" s="415"/>
      <c r="EM41" s="415"/>
      <c r="EN41" s="415"/>
      <c r="EO41" s="415"/>
      <c r="EP41" s="415"/>
      <c r="EQ41" s="415"/>
      <c r="ER41" s="415"/>
      <c r="ES41" s="415"/>
      <c r="ET41" s="415"/>
      <c r="EU41" s="415"/>
      <c r="EV41" s="410">
        <f t="shared" si="25"/>
        <v>0</v>
      </c>
      <c r="EW41" s="416">
        <f t="shared" si="26"/>
        <v>1</v>
      </c>
      <c r="EX41" s="417">
        <f>IFERROR(VLOOKUP(H41,CEI_012018!$A$1:$U$509,9,FALSE),0)</f>
        <v>0</v>
      </c>
      <c r="EY41" s="417">
        <f>IFERROR(VLOOKUP(H41,CEI_022018!$A$1:$U$509,9,FALSE),0)</f>
        <v>0</v>
      </c>
      <c r="EZ41" s="417">
        <f>IFERROR(VLOOKUP(H41,CEI_032018!$A$1:$U$509,9,FALSE),0)</f>
        <v>0</v>
      </c>
      <c r="FA41" s="417">
        <f>IFERROR(VLOOKUP(H41,CEI_042018!$A$1:$U$491,9,FALSE),0)</f>
        <v>0</v>
      </c>
      <c r="FB41" s="417">
        <f>IFERROR(VLOOKUP(H41,CEI_052018!$A$1:$U$489,9,FALSE),0)</f>
        <v>0</v>
      </c>
      <c r="FC41" s="417">
        <f>IFERROR(VLOOKUP(H41,CEI_062018!$A$1:$U$489,9,FALSE),0)</f>
        <v>0</v>
      </c>
      <c r="FD41" s="417">
        <f>IFERROR(VLOOKUP(H41,CEI_072018!$A$1:$U$489,9,FALSE),0)</f>
        <v>0</v>
      </c>
      <c r="FE41" s="417">
        <f>IFERROR(VLOOKUP(H41,CEI_082018!$A$1:$U$489,9,FALSE),0)</f>
        <v>0</v>
      </c>
      <c r="FF41" s="417">
        <f>IFERROR(VLOOKUP(H41,CEI_092018!$A$1:$U$489,9,FALSE),0)</f>
        <v>0</v>
      </c>
      <c r="FG41" s="417"/>
      <c r="FH41" s="417"/>
      <c r="FI41" s="417"/>
      <c r="FJ41" s="418">
        <f>IFERROR(VLOOKUP(H41,CEI_092018!$A$1:$U$489,12,FALSE),0)</f>
        <v>0</v>
      </c>
      <c r="FK41" s="418">
        <f t="shared" si="20"/>
        <v>0</v>
      </c>
      <c r="FL41" s="418">
        <f t="shared" si="21"/>
        <v>0</v>
      </c>
      <c r="FM41" s="417"/>
      <c r="FN41" s="417"/>
      <c r="FO41" s="417"/>
      <c r="FP41" s="417"/>
      <c r="FQ41" s="417"/>
      <c r="FR41" s="417"/>
      <c r="FS41" s="417"/>
      <c r="FT41" s="417"/>
      <c r="FU41" s="417"/>
      <c r="FV41" s="417"/>
      <c r="FW41" s="417"/>
      <c r="FX41" s="417"/>
      <c r="FY41" s="418"/>
      <c r="FZ41" s="418"/>
      <c r="GA41" s="418"/>
      <c r="GB41" s="417"/>
      <c r="GC41" s="417"/>
      <c r="GD41" s="417"/>
      <c r="GE41" s="417"/>
      <c r="GF41" s="417"/>
      <c r="GG41" s="417"/>
      <c r="GH41" s="417"/>
      <c r="GI41" s="417"/>
      <c r="GJ41" s="417"/>
      <c r="GK41" s="417"/>
      <c r="GL41" s="417"/>
      <c r="GM41" s="417"/>
      <c r="GN41" s="418"/>
      <c r="GO41" s="418"/>
      <c r="GP41" s="418"/>
      <c r="GQ41" s="417"/>
      <c r="GR41" s="417"/>
      <c r="GS41" s="417"/>
      <c r="GT41" s="417"/>
      <c r="GU41" s="417"/>
      <c r="GV41" s="417"/>
      <c r="GW41" s="417"/>
      <c r="GX41" s="417"/>
      <c r="GY41" s="417"/>
      <c r="GZ41" s="417"/>
      <c r="HA41" s="417"/>
      <c r="HB41" s="417"/>
      <c r="HC41" s="418"/>
      <c r="HD41" s="418"/>
      <c r="HE41" s="418"/>
      <c r="HF41" s="417"/>
      <c r="HG41" s="417"/>
      <c r="HH41" s="417"/>
      <c r="HI41" s="417"/>
      <c r="HJ41" s="417"/>
      <c r="HK41" s="417"/>
      <c r="HL41" s="417"/>
      <c r="HM41" s="417"/>
      <c r="HN41" s="417"/>
      <c r="HO41" s="417"/>
      <c r="HP41" s="417"/>
      <c r="HQ41" s="417"/>
      <c r="HR41" s="418"/>
      <c r="HS41" s="418"/>
      <c r="HT41" s="418"/>
    </row>
    <row r="42" spans="1:228" s="387" customFormat="1" ht="12.95" customHeight="1" x14ac:dyDescent="0.2">
      <c r="A42" s="406" t="s">
        <v>52</v>
      </c>
      <c r="B42" s="407" t="s">
        <v>1431</v>
      </c>
      <c r="C42" s="406" t="s">
        <v>107</v>
      </c>
      <c r="D42" s="407" t="s">
        <v>108</v>
      </c>
      <c r="E42" s="407" t="s">
        <v>107</v>
      </c>
      <c r="F42" s="407" t="s">
        <v>108</v>
      </c>
      <c r="G42" s="406" t="s">
        <v>63</v>
      </c>
      <c r="H42" s="408" t="s">
        <v>520</v>
      </c>
      <c r="I42" s="408"/>
      <c r="J42" s="406" t="s">
        <v>129</v>
      </c>
      <c r="K42" s="406" t="s">
        <v>130</v>
      </c>
      <c r="L42" s="406" t="s">
        <v>131</v>
      </c>
      <c r="M42" s="406"/>
      <c r="N42" s="452">
        <v>0</v>
      </c>
      <c r="O42" s="452">
        <v>0</v>
      </c>
      <c r="P42" s="452">
        <v>0</v>
      </c>
      <c r="Q42" s="452">
        <v>0</v>
      </c>
      <c r="R42" s="452">
        <v>0</v>
      </c>
      <c r="S42" s="452">
        <v>0</v>
      </c>
      <c r="T42" s="452">
        <v>0</v>
      </c>
      <c r="U42" s="409">
        <v>0</v>
      </c>
      <c r="V42" s="409">
        <v>0</v>
      </c>
      <c r="W42" s="409">
        <v>0</v>
      </c>
      <c r="X42" s="409">
        <v>0</v>
      </c>
      <c r="Y42" s="409">
        <v>0</v>
      </c>
      <c r="Z42" s="453">
        <f t="shared" si="13"/>
        <v>0</v>
      </c>
      <c r="AA42" s="452">
        <v>0</v>
      </c>
      <c r="AB42" s="452">
        <v>0</v>
      </c>
      <c r="AC42" s="452">
        <v>0</v>
      </c>
      <c r="AD42" s="452">
        <v>0</v>
      </c>
      <c r="AE42" s="452">
        <v>0</v>
      </c>
      <c r="AF42" s="452"/>
      <c r="AG42" s="452"/>
      <c r="AH42" s="409"/>
      <c r="AI42" s="409"/>
      <c r="AJ42" s="409"/>
      <c r="AK42" s="409"/>
      <c r="AL42" s="409"/>
      <c r="AM42" s="453">
        <f t="shared" si="0"/>
        <v>0</v>
      </c>
      <c r="AN42" s="452">
        <v>0</v>
      </c>
      <c r="AO42" s="452">
        <v>0</v>
      </c>
      <c r="AP42" s="452">
        <v>0</v>
      </c>
      <c r="AQ42" s="452">
        <v>0</v>
      </c>
      <c r="AR42" s="452">
        <v>0</v>
      </c>
      <c r="AS42" s="452">
        <v>0</v>
      </c>
      <c r="AT42" s="452">
        <v>0</v>
      </c>
      <c r="AU42" s="409">
        <v>0</v>
      </c>
      <c r="AV42" s="409">
        <v>0</v>
      </c>
      <c r="AW42" s="409">
        <v>0</v>
      </c>
      <c r="AX42" s="409">
        <v>0</v>
      </c>
      <c r="AY42" s="409">
        <v>15</v>
      </c>
      <c r="AZ42" s="453">
        <f t="shared" si="1"/>
        <v>15</v>
      </c>
      <c r="BA42" s="452">
        <v>0</v>
      </c>
      <c r="BB42" s="452">
        <v>0</v>
      </c>
      <c r="BC42" s="452">
        <v>0</v>
      </c>
      <c r="BD42" s="452">
        <v>0</v>
      </c>
      <c r="BE42" s="452">
        <v>0</v>
      </c>
      <c r="BF42" s="452">
        <v>0</v>
      </c>
      <c r="BG42" s="452">
        <v>0</v>
      </c>
      <c r="BH42" s="409">
        <v>0</v>
      </c>
      <c r="BI42" s="409">
        <v>0</v>
      </c>
      <c r="BJ42" s="409">
        <v>0</v>
      </c>
      <c r="BK42" s="409">
        <v>0</v>
      </c>
      <c r="BL42" s="409">
        <v>0</v>
      </c>
      <c r="BM42" s="453">
        <f t="shared" si="2"/>
        <v>0</v>
      </c>
      <c r="BN42" s="452">
        <v>0</v>
      </c>
      <c r="BO42" s="452">
        <v>0</v>
      </c>
      <c r="BP42" s="452">
        <v>0</v>
      </c>
      <c r="BQ42" s="452">
        <v>0</v>
      </c>
      <c r="BR42" s="452">
        <v>0</v>
      </c>
      <c r="BS42" s="452">
        <v>0</v>
      </c>
      <c r="BT42" s="452">
        <v>0</v>
      </c>
      <c r="BU42" s="409">
        <v>0</v>
      </c>
      <c r="BV42" s="409">
        <v>0</v>
      </c>
      <c r="BW42" s="409">
        <v>0</v>
      </c>
      <c r="BX42" s="409">
        <v>0</v>
      </c>
      <c r="BY42" s="409">
        <v>0</v>
      </c>
      <c r="BZ42" s="453">
        <f t="shared" si="3"/>
        <v>0</v>
      </c>
      <c r="CA42" s="454">
        <f t="shared" si="4"/>
        <v>15</v>
      </c>
      <c r="CB42" s="411"/>
      <c r="CC42" s="411"/>
      <c r="CD42" s="411"/>
      <c r="CE42" s="411"/>
      <c r="CF42" s="411"/>
      <c r="CG42" s="412"/>
      <c r="CH42" s="413"/>
      <c r="CI42" s="414" t="s">
        <v>71</v>
      </c>
      <c r="CJ42" s="415"/>
      <c r="CK42" s="415"/>
      <c r="CL42" s="415"/>
      <c r="CM42" s="415"/>
      <c r="CN42" s="415"/>
      <c r="CO42" s="415"/>
      <c r="CP42" s="415"/>
      <c r="CQ42" s="415"/>
      <c r="CR42" s="415"/>
      <c r="CS42" s="415"/>
      <c r="CT42" s="415"/>
      <c r="CU42" s="415"/>
      <c r="CV42" s="410">
        <f t="shared" si="22"/>
        <v>0</v>
      </c>
      <c r="CW42" s="415"/>
      <c r="CX42" s="415"/>
      <c r="CY42" s="415"/>
      <c r="CZ42" s="415"/>
      <c r="DA42" s="415"/>
      <c r="DB42" s="415"/>
      <c r="DC42" s="415"/>
      <c r="DD42" s="415"/>
      <c r="DE42" s="415"/>
      <c r="DF42" s="415"/>
      <c r="DG42" s="415"/>
      <c r="DH42" s="415"/>
      <c r="DI42" s="410">
        <f t="shared" si="27"/>
        <v>0</v>
      </c>
      <c r="DJ42" s="415"/>
      <c r="DK42" s="415"/>
      <c r="DL42" s="415"/>
      <c r="DM42" s="415"/>
      <c r="DN42" s="415"/>
      <c r="DO42" s="415"/>
      <c r="DP42" s="415"/>
      <c r="DQ42" s="415"/>
      <c r="DR42" s="415"/>
      <c r="DS42" s="415"/>
      <c r="DT42" s="415"/>
      <c r="DU42" s="415">
        <v>5</v>
      </c>
      <c r="DV42" s="410">
        <f t="shared" si="23"/>
        <v>5</v>
      </c>
      <c r="DW42" s="415"/>
      <c r="DX42" s="415"/>
      <c r="DY42" s="415"/>
      <c r="DZ42" s="415"/>
      <c r="EA42" s="415"/>
      <c r="EB42" s="415"/>
      <c r="EC42" s="415"/>
      <c r="ED42" s="415"/>
      <c r="EE42" s="415"/>
      <c r="EF42" s="415"/>
      <c r="EG42" s="415"/>
      <c r="EH42" s="415"/>
      <c r="EI42" s="410">
        <f t="shared" si="24"/>
        <v>0</v>
      </c>
      <c r="EJ42" s="415"/>
      <c r="EK42" s="415"/>
      <c r="EL42" s="415"/>
      <c r="EM42" s="415"/>
      <c r="EN42" s="415"/>
      <c r="EO42" s="415"/>
      <c r="EP42" s="415"/>
      <c r="EQ42" s="415"/>
      <c r="ER42" s="415"/>
      <c r="ES42" s="415"/>
      <c r="ET42" s="415"/>
      <c r="EU42" s="415"/>
      <c r="EV42" s="410">
        <f t="shared" si="25"/>
        <v>0</v>
      </c>
      <c r="EW42" s="416">
        <f t="shared" si="26"/>
        <v>5</v>
      </c>
      <c r="EX42" s="417">
        <f>IFERROR(VLOOKUP(H42,CEI_012018!$A$1:$U$509,9,FALSE),0)</f>
        <v>0</v>
      </c>
      <c r="EY42" s="417">
        <f>IFERROR(VLOOKUP(H42,CEI_022018!$A$1:$U$509,9,FALSE),0)</f>
        <v>0</v>
      </c>
      <c r="EZ42" s="417">
        <f>IFERROR(VLOOKUP(H42,CEI_032018!$A$1:$U$509,9,FALSE),0)</f>
        <v>0</v>
      </c>
      <c r="FA42" s="417">
        <f>IFERROR(VLOOKUP(H42,CEI_042018!$A$1:$U$491,9,FALSE),0)</f>
        <v>0</v>
      </c>
      <c r="FB42" s="417">
        <f>IFERROR(VLOOKUP(H42,CEI_052018!$A$1:$U$489,9,FALSE),0)</f>
        <v>0</v>
      </c>
      <c r="FC42" s="417">
        <f>IFERROR(VLOOKUP(H42,CEI_062018!$A$1:$U$489,9,FALSE),0)</f>
        <v>0</v>
      </c>
      <c r="FD42" s="417">
        <f>IFERROR(VLOOKUP(H42,CEI_072018!$A$1:$U$489,9,FALSE),0)</f>
        <v>0</v>
      </c>
      <c r="FE42" s="417">
        <f>IFERROR(VLOOKUP(H42,CEI_082018!$A$1:$U$489,9,FALSE),0)</f>
        <v>0</v>
      </c>
      <c r="FF42" s="417">
        <f>IFERROR(VLOOKUP(H42,CEI_092018!$A$1:$U$489,9,FALSE),0)</f>
        <v>0</v>
      </c>
      <c r="FG42" s="417"/>
      <c r="FH42" s="417"/>
      <c r="FI42" s="417"/>
      <c r="FJ42" s="418">
        <f>IFERROR(VLOOKUP(H42,CEI_092018!$A$1:$U$489,12,FALSE),0)</f>
        <v>0</v>
      </c>
      <c r="FK42" s="418">
        <f t="shared" si="20"/>
        <v>0</v>
      </c>
      <c r="FL42" s="418">
        <f t="shared" si="21"/>
        <v>0</v>
      </c>
      <c r="FM42" s="417"/>
      <c r="FN42" s="417"/>
      <c r="FO42" s="417"/>
      <c r="FP42" s="417"/>
      <c r="FQ42" s="417"/>
      <c r="FR42" s="417"/>
      <c r="FS42" s="417"/>
      <c r="FT42" s="417"/>
      <c r="FU42" s="417"/>
      <c r="FV42" s="417"/>
      <c r="FW42" s="417"/>
      <c r="FX42" s="417"/>
      <c r="FY42" s="418"/>
      <c r="FZ42" s="418"/>
      <c r="GA42" s="418"/>
      <c r="GB42" s="417"/>
      <c r="GC42" s="417"/>
      <c r="GD42" s="417"/>
      <c r="GE42" s="417"/>
      <c r="GF42" s="417"/>
      <c r="GG42" s="417"/>
      <c r="GH42" s="417"/>
      <c r="GI42" s="417"/>
      <c r="GJ42" s="417"/>
      <c r="GK42" s="417"/>
      <c r="GL42" s="417"/>
      <c r="GM42" s="417"/>
      <c r="GN42" s="418"/>
      <c r="GO42" s="418"/>
      <c r="GP42" s="418"/>
      <c r="GQ42" s="417"/>
      <c r="GR42" s="417"/>
      <c r="GS42" s="417"/>
      <c r="GT42" s="417"/>
      <c r="GU42" s="417"/>
      <c r="GV42" s="417"/>
      <c r="GW42" s="417"/>
      <c r="GX42" s="417"/>
      <c r="GY42" s="417"/>
      <c r="GZ42" s="417"/>
      <c r="HA42" s="417"/>
      <c r="HB42" s="417"/>
      <c r="HC42" s="418"/>
      <c r="HD42" s="418"/>
      <c r="HE42" s="418"/>
      <c r="HF42" s="417"/>
      <c r="HG42" s="417"/>
      <c r="HH42" s="417"/>
      <c r="HI42" s="417"/>
      <c r="HJ42" s="417"/>
      <c r="HK42" s="417"/>
      <c r="HL42" s="417"/>
      <c r="HM42" s="417"/>
      <c r="HN42" s="417"/>
      <c r="HO42" s="417"/>
      <c r="HP42" s="417"/>
      <c r="HQ42" s="417"/>
      <c r="HR42" s="418"/>
      <c r="HS42" s="418"/>
      <c r="HT42" s="418"/>
    </row>
    <row r="43" spans="1:228" s="387" customFormat="1" ht="12.95" customHeight="1" x14ac:dyDescent="0.2">
      <c r="A43" s="406" t="s">
        <v>52</v>
      </c>
      <c r="B43" s="407" t="s">
        <v>1431</v>
      </c>
      <c r="C43" s="406" t="s">
        <v>107</v>
      </c>
      <c r="D43" s="407" t="s">
        <v>108</v>
      </c>
      <c r="E43" s="407" t="s">
        <v>107</v>
      </c>
      <c r="F43" s="407" t="s">
        <v>108</v>
      </c>
      <c r="G43" s="406" t="s">
        <v>63</v>
      </c>
      <c r="H43" s="408" t="s">
        <v>520</v>
      </c>
      <c r="I43" s="408"/>
      <c r="J43" s="406" t="s">
        <v>123</v>
      </c>
      <c r="K43" s="406" t="s">
        <v>124</v>
      </c>
      <c r="L43" s="406" t="s">
        <v>118</v>
      </c>
      <c r="M43" s="406"/>
      <c r="N43" s="452">
        <v>0</v>
      </c>
      <c r="O43" s="452">
        <v>0</v>
      </c>
      <c r="P43" s="452">
        <v>0</v>
      </c>
      <c r="Q43" s="452">
        <v>0</v>
      </c>
      <c r="R43" s="452">
        <v>0</v>
      </c>
      <c r="S43" s="452">
        <v>0</v>
      </c>
      <c r="T43" s="452">
        <v>0</v>
      </c>
      <c r="U43" s="409">
        <v>0</v>
      </c>
      <c r="V43" s="409">
        <v>0</v>
      </c>
      <c r="W43" s="409">
        <v>0</v>
      </c>
      <c r="X43" s="409">
        <v>0</v>
      </c>
      <c r="Y43" s="409">
        <v>0</v>
      </c>
      <c r="Z43" s="453">
        <f t="shared" si="13"/>
        <v>0</v>
      </c>
      <c r="AA43" s="452">
        <v>0</v>
      </c>
      <c r="AB43" s="452">
        <v>0</v>
      </c>
      <c r="AC43" s="452">
        <v>0</v>
      </c>
      <c r="AD43" s="452">
        <v>0</v>
      </c>
      <c r="AE43" s="452">
        <v>0</v>
      </c>
      <c r="AF43" s="452"/>
      <c r="AG43" s="452"/>
      <c r="AH43" s="409"/>
      <c r="AI43" s="409"/>
      <c r="AJ43" s="409"/>
      <c r="AK43" s="409"/>
      <c r="AL43" s="409"/>
      <c r="AM43" s="453">
        <f t="shared" si="0"/>
        <v>0</v>
      </c>
      <c r="AN43" s="452">
        <v>0</v>
      </c>
      <c r="AO43" s="452">
        <v>0</v>
      </c>
      <c r="AP43" s="452">
        <v>0</v>
      </c>
      <c r="AQ43" s="452">
        <v>0</v>
      </c>
      <c r="AR43" s="452">
        <v>0</v>
      </c>
      <c r="AS43" s="452">
        <v>0</v>
      </c>
      <c r="AT43" s="452">
        <v>0</v>
      </c>
      <c r="AU43" s="409">
        <v>0</v>
      </c>
      <c r="AV43" s="409">
        <v>0</v>
      </c>
      <c r="AW43" s="409">
        <v>0</v>
      </c>
      <c r="AX43" s="409">
        <v>0</v>
      </c>
      <c r="AY43" s="409">
        <v>20</v>
      </c>
      <c r="AZ43" s="453">
        <f t="shared" si="1"/>
        <v>20</v>
      </c>
      <c r="BA43" s="452">
        <v>0</v>
      </c>
      <c r="BB43" s="452">
        <v>0</v>
      </c>
      <c r="BC43" s="452">
        <v>0</v>
      </c>
      <c r="BD43" s="452">
        <v>0</v>
      </c>
      <c r="BE43" s="452">
        <v>0</v>
      </c>
      <c r="BF43" s="452">
        <v>0</v>
      </c>
      <c r="BG43" s="452">
        <v>0</v>
      </c>
      <c r="BH43" s="409">
        <v>0</v>
      </c>
      <c r="BI43" s="409">
        <v>0</v>
      </c>
      <c r="BJ43" s="409">
        <v>0</v>
      </c>
      <c r="BK43" s="409">
        <v>0</v>
      </c>
      <c r="BL43" s="409">
        <v>0</v>
      </c>
      <c r="BM43" s="453">
        <f t="shared" si="2"/>
        <v>0</v>
      </c>
      <c r="BN43" s="452">
        <v>0</v>
      </c>
      <c r="BO43" s="452">
        <v>0</v>
      </c>
      <c r="BP43" s="452">
        <v>0</v>
      </c>
      <c r="BQ43" s="452">
        <v>0</v>
      </c>
      <c r="BR43" s="452">
        <v>0</v>
      </c>
      <c r="BS43" s="452">
        <v>0</v>
      </c>
      <c r="BT43" s="452">
        <v>0</v>
      </c>
      <c r="BU43" s="409">
        <v>0</v>
      </c>
      <c r="BV43" s="409">
        <v>0</v>
      </c>
      <c r="BW43" s="409">
        <v>0</v>
      </c>
      <c r="BX43" s="409">
        <v>0</v>
      </c>
      <c r="BY43" s="409">
        <v>0</v>
      </c>
      <c r="BZ43" s="453">
        <f t="shared" si="3"/>
        <v>0</v>
      </c>
      <c r="CA43" s="454">
        <f t="shared" si="4"/>
        <v>20</v>
      </c>
      <c r="CB43" s="411"/>
      <c r="CC43" s="411"/>
      <c r="CD43" s="411"/>
      <c r="CE43" s="411"/>
      <c r="CF43" s="411"/>
      <c r="CG43" s="412"/>
      <c r="CH43" s="413"/>
      <c r="CI43" s="414" t="s">
        <v>71</v>
      </c>
      <c r="CJ43" s="415"/>
      <c r="CK43" s="415"/>
      <c r="CL43" s="415"/>
      <c r="CM43" s="415"/>
      <c r="CN43" s="415"/>
      <c r="CO43" s="415"/>
      <c r="CP43" s="415"/>
      <c r="CQ43" s="415"/>
      <c r="CR43" s="415"/>
      <c r="CS43" s="415"/>
      <c r="CT43" s="415"/>
      <c r="CU43" s="415"/>
      <c r="CV43" s="410">
        <f t="shared" si="22"/>
        <v>0</v>
      </c>
      <c r="CW43" s="415"/>
      <c r="CX43" s="415"/>
      <c r="CY43" s="415"/>
      <c r="CZ43" s="415"/>
      <c r="DA43" s="415"/>
      <c r="DB43" s="415"/>
      <c r="DC43" s="415"/>
      <c r="DD43" s="415"/>
      <c r="DE43" s="415"/>
      <c r="DF43" s="415"/>
      <c r="DG43" s="415"/>
      <c r="DH43" s="415"/>
      <c r="DI43" s="410">
        <f t="shared" si="27"/>
        <v>0</v>
      </c>
      <c r="DJ43" s="415"/>
      <c r="DK43" s="415"/>
      <c r="DL43" s="415"/>
      <c r="DM43" s="415"/>
      <c r="DN43" s="415"/>
      <c r="DO43" s="415"/>
      <c r="DP43" s="415"/>
      <c r="DQ43" s="415"/>
      <c r="DR43" s="415"/>
      <c r="DS43" s="415"/>
      <c r="DT43" s="415"/>
      <c r="DU43" s="415">
        <v>1</v>
      </c>
      <c r="DV43" s="410">
        <f t="shared" si="23"/>
        <v>1</v>
      </c>
      <c r="DW43" s="415"/>
      <c r="DX43" s="415"/>
      <c r="DY43" s="415"/>
      <c r="DZ43" s="415"/>
      <c r="EA43" s="415"/>
      <c r="EB43" s="415"/>
      <c r="EC43" s="415"/>
      <c r="ED43" s="415"/>
      <c r="EE43" s="415"/>
      <c r="EF43" s="415"/>
      <c r="EG43" s="415"/>
      <c r="EH43" s="415"/>
      <c r="EI43" s="410">
        <f t="shared" si="24"/>
        <v>0</v>
      </c>
      <c r="EJ43" s="415"/>
      <c r="EK43" s="415"/>
      <c r="EL43" s="415"/>
      <c r="EM43" s="415"/>
      <c r="EN43" s="415"/>
      <c r="EO43" s="415"/>
      <c r="EP43" s="415"/>
      <c r="EQ43" s="415"/>
      <c r="ER43" s="415"/>
      <c r="ES43" s="415"/>
      <c r="ET43" s="415"/>
      <c r="EU43" s="415"/>
      <c r="EV43" s="410">
        <f t="shared" si="25"/>
        <v>0</v>
      </c>
      <c r="EW43" s="416">
        <f t="shared" si="26"/>
        <v>1</v>
      </c>
      <c r="EX43" s="417">
        <f>IFERROR(VLOOKUP(H43,CEI_012018!$A$1:$U$509,9,FALSE),0)</f>
        <v>0</v>
      </c>
      <c r="EY43" s="417">
        <f>IFERROR(VLOOKUP(H43,CEI_022018!$A$1:$U$509,9,FALSE),0)</f>
        <v>0</v>
      </c>
      <c r="EZ43" s="417">
        <f>IFERROR(VLOOKUP(H43,CEI_032018!$A$1:$U$509,9,FALSE),0)</f>
        <v>0</v>
      </c>
      <c r="FA43" s="417">
        <f>IFERROR(VLOOKUP(H43,CEI_042018!$A$1:$U$491,9,FALSE),0)</f>
        <v>0</v>
      </c>
      <c r="FB43" s="417">
        <f>IFERROR(VLOOKUP(H43,CEI_052018!$A$1:$U$489,9,FALSE),0)</f>
        <v>0</v>
      </c>
      <c r="FC43" s="417">
        <f>IFERROR(VLOOKUP(H43,CEI_062018!$A$1:$U$489,9,FALSE),0)</f>
        <v>0</v>
      </c>
      <c r="FD43" s="417">
        <f>IFERROR(VLOOKUP(H43,CEI_072018!$A$1:$U$489,9,FALSE),0)</f>
        <v>0</v>
      </c>
      <c r="FE43" s="417">
        <f>IFERROR(VLOOKUP(H43,CEI_082018!$A$1:$U$489,9,FALSE),0)</f>
        <v>0</v>
      </c>
      <c r="FF43" s="417">
        <f>IFERROR(VLOOKUP(H43,CEI_092018!$A$1:$U$489,9,FALSE),0)</f>
        <v>0</v>
      </c>
      <c r="FG43" s="417"/>
      <c r="FH43" s="417"/>
      <c r="FI43" s="417"/>
      <c r="FJ43" s="418">
        <f>IFERROR(VLOOKUP(H43,CEI_092018!$A$1:$U$489,12,FALSE),0)</f>
        <v>0</v>
      </c>
      <c r="FK43" s="418">
        <f t="shared" si="20"/>
        <v>0</v>
      </c>
      <c r="FL43" s="418">
        <f t="shared" si="21"/>
        <v>0</v>
      </c>
      <c r="FM43" s="417"/>
      <c r="FN43" s="417"/>
      <c r="FO43" s="417"/>
      <c r="FP43" s="417"/>
      <c r="FQ43" s="417"/>
      <c r="FR43" s="417"/>
      <c r="FS43" s="417"/>
      <c r="FT43" s="417"/>
      <c r="FU43" s="417"/>
      <c r="FV43" s="417"/>
      <c r="FW43" s="417"/>
      <c r="FX43" s="417"/>
      <c r="FY43" s="418"/>
      <c r="FZ43" s="418"/>
      <c r="GA43" s="418"/>
      <c r="GB43" s="417"/>
      <c r="GC43" s="417"/>
      <c r="GD43" s="417"/>
      <c r="GE43" s="417"/>
      <c r="GF43" s="417"/>
      <c r="GG43" s="417"/>
      <c r="GH43" s="417"/>
      <c r="GI43" s="417"/>
      <c r="GJ43" s="417"/>
      <c r="GK43" s="417"/>
      <c r="GL43" s="417"/>
      <c r="GM43" s="417"/>
      <c r="GN43" s="418"/>
      <c r="GO43" s="418"/>
      <c r="GP43" s="418"/>
      <c r="GQ43" s="417"/>
      <c r="GR43" s="417"/>
      <c r="GS43" s="417"/>
      <c r="GT43" s="417"/>
      <c r="GU43" s="417"/>
      <c r="GV43" s="417"/>
      <c r="GW43" s="417"/>
      <c r="GX43" s="417"/>
      <c r="GY43" s="417"/>
      <c r="GZ43" s="417"/>
      <c r="HA43" s="417"/>
      <c r="HB43" s="417"/>
      <c r="HC43" s="418"/>
      <c r="HD43" s="418"/>
      <c r="HE43" s="418"/>
      <c r="HF43" s="417"/>
      <c r="HG43" s="417"/>
      <c r="HH43" s="417"/>
      <c r="HI43" s="417"/>
      <c r="HJ43" s="417"/>
      <c r="HK43" s="417"/>
      <c r="HL43" s="417"/>
      <c r="HM43" s="417"/>
      <c r="HN43" s="417"/>
      <c r="HO43" s="417"/>
      <c r="HP43" s="417"/>
      <c r="HQ43" s="417"/>
      <c r="HR43" s="418"/>
      <c r="HS43" s="418"/>
      <c r="HT43" s="418"/>
    </row>
    <row r="44" spans="1:228" s="387" customFormat="1" ht="12.95" customHeight="1" x14ac:dyDescent="0.2">
      <c r="A44" s="406" t="s">
        <v>52</v>
      </c>
      <c r="B44" s="407" t="s">
        <v>1431</v>
      </c>
      <c r="C44" s="406" t="s">
        <v>107</v>
      </c>
      <c r="D44" s="407" t="s">
        <v>108</v>
      </c>
      <c r="E44" s="407" t="s">
        <v>107</v>
      </c>
      <c r="F44" s="407" t="s">
        <v>108</v>
      </c>
      <c r="G44" s="406" t="s">
        <v>63</v>
      </c>
      <c r="H44" s="408" t="s">
        <v>520</v>
      </c>
      <c r="I44" s="408"/>
      <c r="J44" s="406" t="s">
        <v>125</v>
      </c>
      <c r="K44" s="406" t="s">
        <v>126</v>
      </c>
      <c r="L44" s="406" t="s">
        <v>118</v>
      </c>
      <c r="M44" s="406"/>
      <c r="N44" s="452">
        <v>0</v>
      </c>
      <c r="O44" s="452">
        <v>0</v>
      </c>
      <c r="P44" s="452">
        <v>0</v>
      </c>
      <c r="Q44" s="452">
        <v>0</v>
      </c>
      <c r="R44" s="452">
        <v>0</v>
      </c>
      <c r="S44" s="452">
        <v>0</v>
      </c>
      <c r="T44" s="452">
        <v>0</v>
      </c>
      <c r="U44" s="409">
        <v>0</v>
      </c>
      <c r="V44" s="409">
        <v>0</v>
      </c>
      <c r="W44" s="409">
        <v>0</v>
      </c>
      <c r="X44" s="409">
        <v>0</v>
      </c>
      <c r="Y44" s="409">
        <v>0</v>
      </c>
      <c r="Z44" s="453">
        <f t="shared" si="13"/>
        <v>0</v>
      </c>
      <c r="AA44" s="452">
        <v>0</v>
      </c>
      <c r="AB44" s="452">
        <v>0</v>
      </c>
      <c r="AC44" s="452">
        <v>0</v>
      </c>
      <c r="AD44" s="452">
        <v>0</v>
      </c>
      <c r="AE44" s="452">
        <v>0</v>
      </c>
      <c r="AF44" s="452"/>
      <c r="AG44" s="452"/>
      <c r="AH44" s="409"/>
      <c r="AI44" s="409"/>
      <c r="AJ44" s="409"/>
      <c r="AK44" s="409"/>
      <c r="AL44" s="409"/>
      <c r="AM44" s="453">
        <f t="shared" si="0"/>
        <v>0</v>
      </c>
      <c r="AN44" s="452">
        <v>0</v>
      </c>
      <c r="AO44" s="452">
        <v>0</v>
      </c>
      <c r="AP44" s="452">
        <v>0</v>
      </c>
      <c r="AQ44" s="452">
        <v>0</v>
      </c>
      <c r="AR44" s="452">
        <v>0</v>
      </c>
      <c r="AS44" s="452">
        <v>0</v>
      </c>
      <c r="AT44" s="452">
        <v>0</v>
      </c>
      <c r="AU44" s="409">
        <v>0</v>
      </c>
      <c r="AV44" s="409">
        <v>0</v>
      </c>
      <c r="AW44" s="409">
        <v>0</v>
      </c>
      <c r="AX44" s="409">
        <v>0</v>
      </c>
      <c r="AY44" s="409">
        <v>0</v>
      </c>
      <c r="AZ44" s="453">
        <f t="shared" si="1"/>
        <v>0</v>
      </c>
      <c r="BA44" s="452">
        <v>0</v>
      </c>
      <c r="BB44" s="452">
        <v>0</v>
      </c>
      <c r="BC44" s="452">
        <v>0</v>
      </c>
      <c r="BD44" s="452">
        <v>0</v>
      </c>
      <c r="BE44" s="452">
        <v>0</v>
      </c>
      <c r="BF44" s="452">
        <v>0</v>
      </c>
      <c r="BG44" s="452">
        <v>0</v>
      </c>
      <c r="BH44" s="409">
        <v>0</v>
      </c>
      <c r="BI44" s="409">
        <v>0</v>
      </c>
      <c r="BJ44" s="409">
        <v>0</v>
      </c>
      <c r="BK44" s="409">
        <v>0</v>
      </c>
      <c r="BL44" s="409">
        <v>30</v>
      </c>
      <c r="BM44" s="453">
        <f t="shared" si="2"/>
        <v>30</v>
      </c>
      <c r="BN44" s="452">
        <v>0</v>
      </c>
      <c r="BO44" s="452">
        <v>0</v>
      </c>
      <c r="BP44" s="452">
        <v>0</v>
      </c>
      <c r="BQ44" s="452">
        <v>0</v>
      </c>
      <c r="BR44" s="452">
        <v>0</v>
      </c>
      <c r="BS44" s="452">
        <v>0</v>
      </c>
      <c r="BT44" s="452">
        <v>0</v>
      </c>
      <c r="BU44" s="409">
        <v>0</v>
      </c>
      <c r="BV44" s="409">
        <v>0</v>
      </c>
      <c r="BW44" s="409">
        <v>0</v>
      </c>
      <c r="BX44" s="409">
        <v>0</v>
      </c>
      <c r="BY44" s="409">
        <v>0</v>
      </c>
      <c r="BZ44" s="453">
        <f t="shared" si="3"/>
        <v>0</v>
      </c>
      <c r="CA44" s="454">
        <f t="shared" si="4"/>
        <v>30</v>
      </c>
      <c r="CB44" s="411"/>
      <c r="CC44" s="411"/>
      <c r="CD44" s="411"/>
      <c r="CE44" s="411"/>
      <c r="CF44" s="411"/>
      <c r="CG44" s="412"/>
      <c r="CH44" s="413"/>
      <c r="CI44" s="414" t="s">
        <v>71</v>
      </c>
      <c r="CJ44" s="415"/>
      <c r="CK44" s="415"/>
      <c r="CL44" s="415"/>
      <c r="CM44" s="415"/>
      <c r="CN44" s="415"/>
      <c r="CO44" s="415"/>
      <c r="CP44" s="415"/>
      <c r="CQ44" s="415"/>
      <c r="CR44" s="415"/>
      <c r="CS44" s="415"/>
      <c r="CT44" s="415"/>
      <c r="CU44" s="415"/>
      <c r="CV44" s="410">
        <f t="shared" si="22"/>
        <v>0</v>
      </c>
      <c r="CW44" s="415"/>
      <c r="CX44" s="415"/>
      <c r="CY44" s="415"/>
      <c r="CZ44" s="415"/>
      <c r="DA44" s="415"/>
      <c r="DB44" s="415"/>
      <c r="DC44" s="415"/>
      <c r="DD44" s="415"/>
      <c r="DE44" s="415"/>
      <c r="DF44" s="415"/>
      <c r="DG44" s="415"/>
      <c r="DH44" s="415"/>
      <c r="DI44" s="410">
        <f t="shared" si="27"/>
        <v>0</v>
      </c>
      <c r="DJ44" s="415"/>
      <c r="DK44" s="415"/>
      <c r="DL44" s="415"/>
      <c r="DM44" s="415"/>
      <c r="DN44" s="415"/>
      <c r="DO44" s="415"/>
      <c r="DP44" s="415"/>
      <c r="DQ44" s="415"/>
      <c r="DR44" s="415"/>
      <c r="DS44" s="415"/>
      <c r="DT44" s="415"/>
      <c r="DU44" s="415"/>
      <c r="DV44" s="410">
        <f t="shared" si="23"/>
        <v>0</v>
      </c>
      <c r="DW44" s="415"/>
      <c r="DX44" s="415"/>
      <c r="DY44" s="415"/>
      <c r="DZ44" s="415"/>
      <c r="EA44" s="415"/>
      <c r="EB44" s="415"/>
      <c r="EC44" s="415"/>
      <c r="ED44" s="415"/>
      <c r="EE44" s="415"/>
      <c r="EF44" s="415"/>
      <c r="EG44" s="415"/>
      <c r="EH44" s="415">
        <v>1</v>
      </c>
      <c r="EI44" s="410">
        <f t="shared" si="24"/>
        <v>1</v>
      </c>
      <c r="EJ44" s="415"/>
      <c r="EK44" s="415"/>
      <c r="EL44" s="415"/>
      <c r="EM44" s="415"/>
      <c r="EN44" s="415"/>
      <c r="EO44" s="415"/>
      <c r="EP44" s="415"/>
      <c r="EQ44" s="415"/>
      <c r="ER44" s="415"/>
      <c r="ES44" s="415"/>
      <c r="ET44" s="415"/>
      <c r="EU44" s="415"/>
      <c r="EV44" s="410">
        <f t="shared" si="25"/>
        <v>0</v>
      </c>
      <c r="EW44" s="416">
        <f t="shared" si="26"/>
        <v>1</v>
      </c>
      <c r="EX44" s="417">
        <f>IFERROR(VLOOKUP(H44,CEI_012018!$A$1:$U$509,9,FALSE),0)</f>
        <v>0</v>
      </c>
      <c r="EY44" s="417">
        <f>IFERROR(VLOOKUP(H44,CEI_022018!$A$1:$U$509,9,FALSE),0)</f>
        <v>0</v>
      </c>
      <c r="EZ44" s="417">
        <f>IFERROR(VLOOKUP(H44,CEI_032018!$A$1:$U$509,9,FALSE),0)</f>
        <v>0</v>
      </c>
      <c r="FA44" s="417">
        <f>IFERROR(VLOOKUP(H44,CEI_042018!$A$1:$U$491,9,FALSE),0)</f>
        <v>0</v>
      </c>
      <c r="FB44" s="417">
        <f>IFERROR(VLOOKUP(H44,CEI_052018!$A$1:$U$489,9,FALSE),0)</f>
        <v>0</v>
      </c>
      <c r="FC44" s="417">
        <f>IFERROR(VLOOKUP(H44,CEI_062018!$A$1:$U$489,9,FALSE),0)</f>
        <v>0</v>
      </c>
      <c r="FD44" s="417">
        <f>IFERROR(VLOOKUP(H44,CEI_072018!$A$1:$U$489,9,FALSE),0)</f>
        <v>0</v>
      </c>
      <c r="FE44" s="417">
        <f>IFERROR(VLOOKUP(H44,CEI_082018!$A$1:$U$489,9,FALSE),0)</f>
        <v>0</v>
      </c>
      <c r="FF44" s="417">
        <f>IFERROR(VLOOKUP(H44,CEI_092018!$A$1:$U$489,9,FALSE),0)</f>
        <v>0</v>
      </c>
      <c r="FG44" s="417"/>
      <c r="FH44" s="417"/>
      <c r="FI44" s="417"/>
      <c r="FJ44" s="418">
        <f>IFERROR(VLOOKUP(H44,CEI_092018!$A$1:$U$489,12,FALSE),0)</f>
        <v>0</v>
      </c>
      <c r="FK44" s="418">
        <f t="shared" si="20"/>
        <v>0</v>
      </c>
      <c r="FL44" s="418">
        <f t="shared" si="21"/>
        <v>0</v>
      </c>
      <c r="FM44" s="417"/>
      <c r="FN44" s="417"/>
      <c r="FO44" s="417"/>
      <c r="FP44" s="417"/>
      <c r="FQ44" s="417"/>
      <c r="FR44" s="417"/>
      <c r="FS44" s="417"/>
      <c r="FT44" s="417"/>
      <c r="FU44" s="417"/>
      <c r="FV44" s="417"/>
      <c r="FW44" s="417"/>
      <c r="FX44" s="417"/>
      <c r="FY44" s="418"/>
      <c r="FZ44" s="418"/>
      <c r="GA44" s="418"/>
      <c r="GB44" s="417"/>
      <c r="GC44" s="417"/>
      <c r="GD44" s="417"/>
      <c r="GE44" s="417"/>
      <c r="GF44" s="417"/>
      <c r="GG44" s="417"/>
      <c r="GH44" s="417"/>
      <c r="GI44" s="417"/>
      <c r="GJ44" s="417"/>
      <c r="GK44" s="417"/>
      <c r="GL44" s="417"/>
      <c r="GM44" s="417"/>
      <c r="GN44" s="418"/>
      <c r="GO44" s="418"/>
      <c r="GP44" s="418"/>
      <c r="GQ44" s="417"/>
      <c r="GR44" s="417"/>
      <c r="GS44" s="417"/>
      <c r="GT44" s="417"/>
      <c r="GU44" s="417"/>
      <c r="GV44" s="417"/>
      <c r="GW44" s="417"/>
      <c r="GX44" s="417"/>
      <c r="GY44" s="417"/>
      <c r="GZ44" s="417"/>
      <c r="HA44" s="417"/>
      <c r="HB44" s="417"/>
      <c r="HC44" s="418"/>
      <c r="HD44" s="418"/>
      <c r="HE44" s="418"/>
      <c r="HF44" s="417"/>
      <c r="HG44" s="417"/>
      <c r="HH44" s="417"/>
      <c r="HI44" s="417"/>
      <c r="HJ44" s="417"/>
      <c r="HK44" s="417"/>
      <c r="HL44" s="417"/>
      <c r="HM44" s="417"/>
      <c r="HN44" s="417"/>
      <c r="HO44" s="417"/>
      <c r="HP44" s="417"/>
      <c r="HQ44" s="417"/>
      <c r="HR44" s="418"/>
      <c r="HS44" s="418"/>
      <c r="HT44" s="418"/>
    </row>
    <row r="45" spans="1:228" s="387" customFormat="1" ht="12.95" customHeight="1" x14ac:dyDescent="0.2">
      <c r="A45" s="406" t="s">
        <v>52</v>
      </c>
      <c r="B45" s="407" t="s">
        <v>1431</v>
      </c>
      <c r="C45" s="406" t="s">
        <v>165</v>
      </c>
      <c r="D45" s="407" t="s">
        <v>1598</v>
      </c>
      <c r="E45" s="407" t="s">
        <v>165</v>
      </c>
      <c r="F45" s="407" t="s">
        <v>1598</v>
      </c>
      <c r="G45" s="406" t="s">
        <v>63</v>
      </c>
      <c r="H45" s="429" t="s">
        <v>1162</v>
      </c>
      <c r="I45" s="408" t="s">
        <v>1164</v>
      </c>
      <c r="J45" s="406" t="s">
        <v>1163</v>
      </c>
      <c r="K45" s="406" t="s">
        <v>1503</v>
      </c>
      <c r="L45" s="406"/>
      <c r="M45" s="406"/>
      <c r="N45" s="452">
        <v>0</v>
      </c>
      <c r="O45" s="452">
        <v>0</v>
      </c>
      <c r="P45" s="452">
        <v>0</v>
      </c>
      <c r="Q45" s="452">
        <v>0</v>
      </c>
      <c r="R45" s="452">
        <v>0</v>
      </c>
      <c r="S45" s="452">
        <v>3.7000000476837158</v>
      </c>
      <c r="T45" s="452">
        <v>6.5900001525878906</v>
      </c>
      <c r="U45" s="409">
        <v>0</v>
      </c>
      <c r="V45" s="409"/>
      <c r="W45" s="409"/>
      <c r="X45" s="409">
        <v>67</v>
      </c>
      <c r="Y45" s="409"/>
      <c r="Z45" s="453">
        <f t="shared" si="13"/>
        <v>77.290000200271606</v>
      </c>
      <c r="AA45" s="452"/>
      <c r="AB45" s="452"/>
      <c r="AC45" s="452"/>
      <c r="AD45" s="452"/>
      <c r="AE45" s="452"/>
      <c r="AF45" s="452"/>
      <c r="AG45" s="452">
        <v>93.710002294845495</v>
      </c>
      <c r="AH45" s="409"/>
      <c r="AI45" s="409"/>
      <c r="AJ45" s="409"/>
      <c r="AK45" s="409"/>
      <c r="AL45" s="409"/>
      <c r="AM45" s="453">
        <f t="shared" si="0"/>
        <v>93.710002294845495</v>
      </c>
      <c r="AN45" s="452"/>
      <c r="AO45" s="452"/>
      <c r="AP45" s="452"/>
      <c r="AQ45" s="452"/>
      <c r="AR45" s="452"/>
      <c r="AS45" s="452"/>
      <c r="AT45" s="452"/>
      <c r="AU45" s="409"/>
      <c r="AV45" s="409"/>
      <c r="AW45" s="409"/>
      <c r="AX45" s="409"/>
      <c r="AY45" s="409"/>
      <c r="AZ45" s="453">
        <f t="shared" si="1"/>
        <v>0</v>
      </c>
      <c r="BA45" s="452"/>
      <c r="BB45" s="452"/>
      <c r="BC45" s="452"/>
      <c r="BD45" s="452"/>
      <c r="BE45" s="452"/>
      <c r="BF45" s="452"/>
      <c r="BG45" s="452"/>
      <c r="BH45" s="409"/>
      <c r="BI45" s="409"/>
      <c r="BJ45" s="409"/>
      <c r="BK45" s="409"/>
      <c r="BL45" s="409"/>
      <c r="BM45" s="453">
        <f t="shared" si="2"/>
        <v>0</v>
      </c>
      <c r="BN45" s="452"/>
      <c r="BO45" s="452"/>
      <c r="BP45" s="452"/>
      <c r="BQ45" s="452"/>
      <c r="BR45" s="452"/>
      <c r="BS45" s="452"/>
      <c r="BT45" s="452"/>
      <c r="BU45" s="409"/>
      <c r="BV45" s="409"/>
      <c r="BW45" s="409"/>
      <c r="BX45" s="409"/>
      <c r="BY45" s="409"/>
      <c r="BZ45" s="453">
        <f t="shared" si="3"/>
        <v>0</v>
      </c>
      <c r="CA45" s="454">
        <f t="shared" si="4"/>
        <v>171.00000249511709</v>
      </c>
      <c r="CB45" s="419"/>
      <c r="CC45" s="419">
        <v>1</v>
      </c>
      <c r="CD45" s="419">
        <v>1</v>
      </c>
      <c r="CE45" s="419">
        <v>1</v>
      </c>
      <c r="CF45" s="419">
        <v>1</v>
      </c>
      <c r="CG45" s="420">
        <f>IFERROR((FE45/Z45%),0)</f>
        <v>13.313494855231539</v>
      </c>
      <c r="CH45" s="421">
        <f>IFERROR((FK45/Z45%),0)</f>
        <v>84.396427297138715</v>
      </c>
      <c r="CI45" s="414" t="s">
        <v>1506</v>
      </c>
      <c r="CJ45" s="415"/>
      <c r="CK45" s="415"/>
      <c r="CL45" s="415"/>
      <c r="CM45" s="415"/>
      <c r="CN45" s="415"/>
      <c r="CO45" s="415">
        <v>2</v>
      </c>
      <c r="CP45" s="415"/>
      <c r="CQ45" s="415"/>
      <c r="CR45" s="415">
        <v>3</v>
      </c>
      <c r="CS45" s="415"/>
      <c r="CT45" s="415"/>
      <c r="CU45" s="415"/>
      <c r="CV45" s="410">
        <f t="shared" si="22"/>
        <v>5</v>
      </c>
      <c r="CW45" s="415"/>
      <c r="CX45" s="415"/>
      <c r="CY45" s="415"/>
      <c r="CZ45" s="415"/>
      <c r="DA45" s="415"/>
      <c r="DB45" s="415"/>
      <c r="DC45" s="415"/>
      <c r="DD45" s="415"/>
      <c r="DE45" s="415"/>
      <c r="DF45" s="415"/>
      <c r="DG45" s="415"/>
      <c r="DH45" s="415"/>
      <c r="DI45" s="410">
        <f t="shared" si="27"/>
        <v>0</v>
      </c>
      <c r="DJ45" s="415"/>
      <c r="DK45" s="415"/>
      <c r="DL45" s="415"/>
      <c r="DM45" s="415"/>
      <c r="DN45" s="415"/>
      <c r="DO45" s="415"/>
      <c r="DP45" s="415"/>
      <c r="DQ45" s="415"/>
      <c r="DR45" s="415"/>
      <c r="DS45" s="415"/>
      <c r="DT45" s="415"/>
      <c r="DU45" s="415"/>
      <c r="DV45" s="410">
        <f t="shared" si="23"/>
        <v>0</v>
      </c>
      <c r="DW45" s="415"/>
      <c r="DX45" s="415"/>
      <c r="DY45" s="415"/>
      <c r="DZ45" s="415"/>
      <c r="EA45" s="415"/>
      <c r="EB45" s="415"/>
      <c r="EC45" s="415"/>
      <c r="ED45" s="415"/>
      <c r="EE45" s="415"/>
      <c r="EF45" s="415"/>
      <c r="EG45" s="415"/>
      <c r="EH45" s="415"/>
      <c r="EI45" s="410">
        <f t="shared" si="24"/>
        <v>0</v>
      </c>
      <c r="EJ45" s="415"/>
      <c r="EK45" s="415"/>
      <c r="EL45" s="415"/>
      <c r="EM45" s="415"/>
      <c r="EN45" s="415"/>
      <c r="EO45" s="415"/>
      <c r="EP45" s="415"/>
      <c r="EQ45" s="415"/>
      <c r="ER45" s="415"/>
      <c r="ES45" s="415"/>
      <c r="ET45" s="415"/>
      <c r="EU45" s="415"/>
      <c r="EV45" s="410">
        <f t="shared" si="25"/>
        <v>0</v>
      </c>
      <c r="EW45" s="416">
        <f t="shared" si="26"/>
        <v>5</v>
      </c>
      <c r="EX45" s="417">
        <f>IFERROR(VLOOKUP(H45,CEI_012018!$A$1:$U$509,9,FALSE),0)</f>
        <v>0</v>
      </c>
      <c r="EY45" s="417">
        <f>IFERROR(VLOOKUP(H45,CEI_022018!$A$1:$U$509,9,FALSE),0)</f>
        <v>0</v>
      </c>
      <c r="EZ45" s="417">
        <f>IFERROR(VLOOKUP(H45,CEI_032018!$A$1:$U$509,9,FALSE),0)</f>
        <v>0</v>
      </c>
      <c r="FA45" s="417">
        <f>IFERROR(VLOOKUP(H45,CEI_042018!$A$1:$U$491,9,FALSE),0)</f>
        <v>0</v>
      </c>
      <c r="FB45" s="417">
        <f>IFERROR(VLOOKUP(H45,CEI_052018!$A$1:$U$489,9,FALSE),0)</f>
        <v>0</v>
      </c>
      <c r="FC45" s="417">
        <f>IFERROR(VLOOKUP(H45,CEI_062018!$A$1:$U$489,9,FALSE),0)</f>
        <v>3.7000000476837158</v>
      </c>
      <c r="FD45" s="417">
        <f>IFERROR(VLOOKUP(H45,CEI_072018!$A$1:$U$489,9,FALSE),0)</f>
        <v>10.290000200271606</v>
      </c>
      <c r="FE45" s="417">
        <f>IFERROR(VLOOKUP(H45,CEI_082018!$A$1:$U$489,9,FALSE),0)</f>
        <v>10.290000200271606</v>
      </c>
      <c r="FF45" s="417">
        <f>IFERROR(VLOOKUP(H45,CEI_092018!$A$1:$U$489,9,FALSE),0)</f>
        <v>10.290000200271606</v>
      </c>
      <c r="FG45" s="417"/>
      <c r="FH45" s="417"/>
      <c r="FI45" s="417"/>
      <c r="FJ45" s="418">
        <f>IFERROR(VLOOKUP(H45,CEI_092018!$A$1:$U$489,12,FALSE),0)</f>
        <v>54.939998626708984</v>
      </c>
      <c r="FK45" s="418">
        <f t="shared" si="20"/>
        <v>65.229998826980591</v>
      </c>
      <c r="FL45" s="418">
        <f t="shared" si="21"/>
        <v>12.060001373291016</v>
      </c>
      <c r="FM45" s="417"/>
      <c r="FN45" s="417"/>
      <c r="FO45" s="417"/>
      <c r="FP45" s="417"/>
      <c r="FQ45" s="417"/>
      <c r="FR45" s="417"/>
      <c r="FS45" s="417"/>
      <c r="FT45" s="417"/>
      <c r="FU45" s="417"/>
      <c r="FV45" s="417"/>
      <c r="FW45" s="417"/>
      <c r="FX45" s="417"/>
      <c r="FY45" s="418"/>
      <c r="FZ45" s="418"/>
      <c r="GA45" s="418"/>
      <c r="GB45" s="417"/>
      <c r="GC45" s="417"/>
      <c r="GD45" s="417"/>
      <c r="GE45" s="417"/>
      <c r="GF45" s="417"/>
      <c r="GG45" s="417"/>
      <c r="GH45" s="417"/>
      <c r="GI45" s="417"/>
      <c r="GJ45" s="417"/>
      <c r="GK45" s="417"/>
      <c r="GL45" s="417"/>
      <c r="GM45" s="417"/>
      <c r="GN45" s="418"/>
      <c r="GO45" s="418"/>
      <c r="GP45" s="418"/>
      <c r="GQ45" s="417"/>
      <c r="GR45" s="417"/>
      <c r="GS45" s="417"/>
      <c r="GT45" s="417"/>
      <c r="GU45" s="417"/>
      <c r="GV45" s="417"/>
      <c r="GW45" s="417"/>
      <c r="GX45" s="417"/>
      <c r="GY45" s="417"/>
      <c r="GZ45" s="417"/>
      <c r="HA45" s="417"/>
      <c r="HB45" s="417"/>
      <c r="HC45" s="418"/>
      <c r="HD45" s="418"/>
      <c r="HE45" s="418"/>
      <c r="HF45" s="417"/>
      <c r="HG45" s="417"/>
      <c r="HH45" s="417"/>
      <c r="HI45" s="417"/>
      <c r="HJ45" s="417"/>
      <c r="HK45" s="417"/>
      <c r="HL45" s="417"/>
      <c r="HM45" s="417"/>
      <c r="HN45" s="417"/>
      <c r="HO45" s="417"/>
      <c r="HP45" s="417"/>
      <c r="HQ45" s="417"/>
      <c r="HR45" s="418"/>
      <c r="HS45" s="418"/>
      <c r="HT45" s="418"/>
    </row>
    <row r="46" spans="1:228" s="387" customFormat="1" ht="12.95" customHeight="1" x14ac:dyDescent="0.2">
      <c r="A46" s="406" t="s">
        <v>52</v>
      </c>
      <c r="B46" s="407" t="s">
        <v>27</v>
      </c>
      <c r="C46" s="406" t="s">
        <v>1599</v>
      </c>
      <c r="D46" s="407" t="s">
        <v>146</v>
      </c>
      <c r="E46" s="407" t="s">
        <v>1599</v>
      </c>
      <c r="F46" s="407" t="s">
        <v>146</v>
      </c>
      <c r="G46" s="406" t="s">
        <v>63</v>
      </c>
      <c r="H46" s="408" t="s">
        <v>520</v>
      </c>
      <c r="I46" s="408"/>
      <c r="J46" s="406" t="s">
        <v>623</v>
      </c>
      <c r="K46" s="406" t="s">
        <v>150</v>
      </c>
      <c r="L46" s="406" t="s">
        <v>151</v>
      </c>
      <c r="M46" s="406"/>
      <c r="N46" s="452">
        <v>0</v>
      </c>
      <c r="O46" s="452">
        <v>0</v>
      </c>
      <c r="P46" s="452">
        <v>0</v>
      </c>
      <c r="Q46" s="452">
        <v>0</v>
      </c>
      <c r="R46" s="452">
        <v>0</v>
      </c>
      <c r="S46" s="452">
        <v>0</v>
      </c>
      <c r="T46" s="452">
        <v>0</v>
      </c>
      <c r="U46" s="409">
        <v>0</v>
      </c>
      <c r="V46" s="409"/>
      <c r="W46" s="409"/>
      <c r="X46" s="409"/>
      <c r="Y46" s="409"/>
      <c r="Z46" s="453">
        <f t="shared" si="13"/>
        <v>0</v>
      </c>
      <c r="AA46" s="452">
        <v>0</v>
      </c>
      <c r="AB46" s="452">
        <v>0</v>
      </c>
      <c r="AC46" s="452">
        <v>0</v>
      </c>
      <c r="AD46" s="452">
        <v>0</v>
      </c>
      <c r="AE46" s="452">
        <v>0</v>
      </c>
      <c r="AF46" s="452">
        <v>0</v>
      </c>
      <c r="AG46" s="452">
        <v>0</v>
      </c>
      <c r="AH46" s="409">
        <v>0</v>
      </c>
      <c r="AI46" s="409">
        <v>0</v>
      </c>
      <c r="AJ46" s="409">
        <v>0</v>
      </c>
      <c r="AK46" s="409">
        <v>0</v>
      </c>
      <c r="AL46" s="409">
        <v>0</v>
      </c>
      <c r="AM46" s="453">
        <f t="shared" si="0"/>
        <v>0</v>
      </c>
      <c r="AN46" s="452">
        <v>0</v>
      </c>
      <c r="AO46" s="452">
        <v>0</v>
      </c>
      <c r="AP46" s="452">
        <v>0</v>
      </c>
      <c r="AQ46" s="452">
        <v>0</v>
      </c>
      <c r="AR46" s="452">
        <v>0</v>
      </c>
      <c r="AS46" s="452">
        <v>0</v>
      </c>
      <c r="AT46" s="452">
        <v>0</v>
      </c>
      <c r="AU46" s="409">
        <v>0</v>
      </c>
      <c r="AV46" s="409">
        <v>0</v>
      </c>
      <c r="AW46" s="409">
        <v>0</v>
      </c>
      <c r="AX46" s="409">
        <v>24.189</v>
      </c>
      <c r="AY46" s="409">
        <v>0</v>
      </c>
      <c r="AZ46" s="453">
        <f t="shared" si="1"/>
        <v>24.189</v>
      </c>
      <c r="BA46" s="452">
        <v>0</v>
      </c>
      <c r="BB46" s="452">
        <v>0</v>
      </c>
      <c r="BC46" s="452">
        <v>0</v>
      </c>
      <c r="BD46" s="452">
        <v>0</v>
      </c>
      <c r="BE46" s="452">
        <v>0</v>
      </c>
      <c r="BF46" s="452">
        <v>0</v>
      </c>
      <c r="BG46" s="452">
        <v>0</v>
      </c>
      <c r="BH46" s="409">
        <v>0</v>
      </c>
      <c r="BI46" s="409">
        <v>0</v>
      </c>
      <c r="BJ46" s="409">
        <v>0</v>
      </c>
      <c r="BK46" s="409">
        <v>0</v>
      </c>
      <c r="BL46" s="409">
        <v>0</v>
      </c>
      <c r="BM46" s="453">
        <f t="shared" si="2"/>
        <v>0</v>
      </c>
      <c r="BN46" s="452">
        <v>0</v>
      </c>
      <c r="BO46" s="452">
        <v>0</v>
      </c>
      <c r="BP46" s="452">
        <v>0</v>
      </c>
      <c r="BQ46" s="452">
        <v>0</v>
      </c>
      <c r="BR46" s="452">
        <v>0</v>
      </c>
      <c r="BS46" s="452">
        <v>0</v>
      </c>
      <c r="BT46" s="452">
        <v>0</v>
      </c>
      <c r="BU46" s="409">
        <v>0</v>
      </c>
      <c r="BV46" s="409">
        <v>0</v>
      </c>
      <c r="BW46" s="409">
        <v>0</v>
      </c>
      <c r="BX46" s="409">
        <v>0</v>
      </c>
      <c r="BY46" s="409">
        <v>0</v>
      </c>
      <c r="BZ46" s="453">
        <f t="shared" si="3"/>
        <v>0</v>
      </c>
      <c r="CA46" s="454">
        <f t="shared" si="4"/>
        <v>24.189</v>
      </c>
      <c r="CB46" s="411"/>
      <c r="CC46" s="411"/>
      <c r="CD46" s="411"/>
      <c r="CE46" s="411"/>
      <c r="CF46" s="411"/>
      <c r="CG46" s="412"/>
      <c r="CH46" s="413"/>
      <c r="CI46" s="414" t="s">
        <v>71</v>
      </c>
      <c r="CJ46" s="415"/>
      <c r="CK46" s="415"/>
      <c r="CL46" s="415"/>
      <c r="CM46" s="415"/>
      <c r="CN46" s="415"/>
      <c r="CO46" s="415"/>
      <c r="CP46" s="415"/>
      <c r="CQ46" s="415"/>
      <c r="CR46" s="415"/>
      <c r="CS46" s="415"/>
      <c r="CT46" s="415"/>
      <c r="CU46" s="415"/>
      <c r="CV46" s="410">
        <f t="shared" si="22"/>
        <v>0</v>
      </c>
      <c r="CW46" s="415"/>
      <c r="CX46" s="415"/>
      <c r="CY46" s="415"/>
      <c r="CZ46" s="415"/>
      <c r="DA46" s="415"/>
      <c r="DB46" s="415"/>
      <c r="DC46" s="415"/>
      <c r="DD46" s="415"/>
      <c r="DE46" s="415"/>
      <c r="DF46" s="415"/>
      <c r="DG46" s="415"/>
      <c r="DH46" s="415"/>
      <c r="DI46" s="410">
        <f t="shared" si="27"/>
        <v>0</v>
      </c>
      <c r="DJ46" s="415"/>
      <c r="DK46" s="415"/>
      <c r="DL46" s="415"/>
      <c r="DM46" s="415"/>
      <c r="DN46" s="415"/>
      <c r="DO46" s="415"/>
      <c r="DP46" s="415"/>
      <c r="DQ46" s="415"/>
      <c r="DR46" s="415"/>
      <c r="DS46" s="415"/>
      <c r="DT46" s="415">
        <v>2</v>
      </c>
      <c r="DU46" s="415"/>
      <c r="DV46" s="410">
        <f t="shared" si="23"/>
        <v>2</v>
      </c>
      <c r="DW46" s="415"/>
      <c r="DX46" s="415"/>
      <c r="DY46" s="415"/>
      <c r="DZ46" s="415"/>
      <c r="EA46" s="415"/>
      <c r="EB46" s="415"/>
      <c r="EC46" s="415"/>
      <c r="ED46" s="415"/>
      <c r="EE46" s="415"/>
      <c r="EF46" s="415"/>
      <c r="EG46" s="415"/>
      <c r="EH46" s="415"/>
      <c r="EI46" s="410">
        <f t="shared" si="24"/>
        <v>0</v>
      </c>
      <c r="EJ46" s="415"/>
      <c r="EK46" s="415"/>
      <c r="EL46" s="415"/>
      <c r="EM46" s="415"/>
      <c r="EN46" s="415"/>
      <c r="EO46" s="415"/>
      <c r="EP46" s="415"/>
      <c r="EQ46" s="415"/>
      <c r="ER46" s="415"/>
      <c r="ES46" s="415"/>
      <c r="ET46" s="415"/>
      <c r="EU46" s="415"/>
      <c r="EV46" s="410">
        <f t="shared" si="25"/>
        <v>0</v>
      </c>
      <c r="EW46" s="416">
        <f t="shared" si="26"/>
        <v>2</v>
      </c>
      <c r="EX46" s="417">
        <f>IFERROR(VLOOKUP(H46,CEI_012018!$A$1:$U$509,9,FALSE),0)</f>
        <v>0</v>
      </c>
      <c r="EY46" s="417">
        <f>IFERROR(VLOOKUP(H46,CEI_022018!$A$1:$U$509,9,FALSE),0)</f>
        <v>0</v>
      </c>
      <c r="EZ46" s="417">
        <f>IFERROR(VLOOKUP(H46,CEI_032018!$A$1:$U$509,9,FALSE),0)</f>
        <v>0</v>
      </c>
      <c r="FA46" s="417">
        <f>IFERROR(VLOOKUP(H46,CEI_042018!$A$1:$U$491,9,FALSE),0)</f>
        <v>0</v>
      </c>
      <c r="FB46" s="417">
        <f>IFERROR(VLOOKUP(H46,CEI_052018!$A$1:$U$489,9,FALSE),0)</f>
        <v>0</v>
      </c>
      <c r="FC46" s="417">
        <f>IFERROR(VLOOKUP(H46,CEI_062018!$A$1:$U$489,9,FALSE),0)</f>
        <v>0</v>
      </c>
      <c r="FD46" s="417">
        <f>IFERROR(VLOOKUP(H46,CEI_072018!$A$1:$U$489,9,FALSE),0)</f>
        <v>0</v>
      </c>
      <c r="FE46" s="417">
        <f>IFERROR(VLOOKUP(H46,CEI_082018!$A$1:$U$489,9,FALSE),0)</f>
        <v>0</v>
      </c>
      <c r="FF46" s="417">
        <f>IFERROR(VLOOKUP(H46,CEI_092018!$A$1:$U$489,9,FALSE),0)</f>
        <v>0</v>
      </c>
      <c r="FG46" s="417"/>
      <c r="FH46" s="417"/>
      <c r="FI46" s="417"/>
      <c r="FJ46" s="418">
        <f>IFERROR(VLOOKUP(H46,CEI_092018!$A$1:$U$489,12,FALSE),0)</f>
        <v>0</v>
      </c>
      <c r="FK46" s="418">
        <f t="shared" si="20"/>
        <v>0</v>
      </c>
      <c r="FL46" s="418">
        <f t="shared" si="21"/>
        <v>0</v>
      </c>
      <c r="FM46" s="417"/>
      <c r="FN46" s="417"/>
      <c r="FO46" s="417"/>
      <c r="FP46" s="417"/>
      <c r="FQ46" s="417"/>
      <c r="FR46" s="417"/>
      <c r="FS46" s="417"/>
      <c r="FT46" s="417"/>
      <c r="FU46" s="417"/>
      <c r="FV46" s="417"/>
      <c r="FW46" s="417"/>
      <c r="FX46" s="417"/>
      <c r="FY46" s="418"/>
      <c r="FZ46" s="418"/>
      <c r="GA46" s="418"/>
      <c r="GB46" s="417"/>
      <c r="GC46" s="417"/>
      <c r="GD46" s="417"/>
      <c r="GE46" s="417"/>
      <c r="GF46" s="417"/>
      <c r="GG46" s="417"/>
      <c r="GH46" s="417"/>
      <c r="GI46" s="417"/>
      <c r="GJ46" s="417"/>
      <c r="GK46" s="417"/>
      <c r="GL46" s="417"/>
      <c r="GM46" s="417"/>
      <c r="GN46" s="418"/>
      <c r="GO46" s="418"/>
      <c r="GP46" s="418"/>
      <c r="GQ46" s="417"/>
      <c r="GR46" s="417"/>
      <c r="GS46" s="417"/>
      <c r="GT46" s="417"/>
      <c r="GU46" s="417"/>
      <c r="GV46" s="417"/>
      <c r="GW46" s="417"/>
      <c r="GX46" s="417"/>
      <c r="GY46" s="417"/>
      <c r="GZ46" s="417"/>
      <c r="HA46" s="417"/>
      <c r="HB46" s="417"/>
      <c r="HC46" s="418"/>
      <c r="HD46" s="418"/>
      <c r="HE46" s="418"/>
      <c r="HF46" s="417"/>
      <c r="HG46" s="417"/>
      <c r="HH46" s="417"/>
      <c r="HI46" s="417"/>
      <c r="HJ46" s="417"/>
      <c r="HK46" s="417"/>
      <c r="HL46" s="417"/>
      <c r="HM46" s="417"/>
      <c r="HN46" s="417"/>
      <c r="HO46" s="417"/>
      <c r="HP46" s="417"/>
      <c r="HQ46" s="417"/>
      <c r="HR46" s="418"/>
      <c r="HS46" s="418"/>
      <c r="HT46" s="418"/>
    </row>
    <row r="47" spans="1:228" s="387" customFormat="1" ht="12.95" customHeight="1" x14ac:dyDescent="0.2">
      <c r="A47" s="406" t="s">
        <v>52</v>
      </c>
      <c r="B47" s="407" t="s">
        <v>27</v>
      </c>
      <c r="C47" s="406" t="s">
        <v>1599</v>
      </c>
      <c r="D47" s="407" t="s">
        <v>146</v>
      </c>
      <c r="E47" s="407" t="s">
        <v>1599</v>
      </c>
      <c r="F47" s="407" t="s">
        <v>146</v>
      </c>
      <c r="G47" s="406" t="s">
        <v>63</v>
      </c>
      <c r="H47" s="408" t="s">
        <v>520</v>
      </c>
      <c r="I47" s="408"/>
      <c r="J47" s="406" t="s">
        <v>153</v>
      </c>
      <c r="K47" s="406" t="s">
        <v>154</v>
      </c>
      <c r="L47" s="406" t="s">
        <v>152</v>
      </c>
      <c r="M47" s="406"/>
      <c r="N47" s="452">
        <v>0</v>
      </c>
      <c r="O47" s="452">
        <v>0</v>
      </c>
      <c r="P47" s="452">
        <v>0</v>
      </c>
      <c r="Q47" s="452">
        <v>0</v>
      </c>
      <c r="R47" s="452">
        <v>0</v>
      </c>
      <c r="S47" s="452">
        <v>0</v>
      </c>
      <c r="T47" s="452">
        <v>0</v>
      </c>
      <c r="U47" s="409">
        <v>0</v>
      </c>
      <c r="V47" s="409"/>
      <c r="W47" s="409"/>
      <c r="X47" s="409"/>
      <c r="Y47" s="409"/>
      <c r="Z47" s="453">
        <f t="shared" si="13"/>
        <v>0</v>
      </c>
      <c r="AA47" s="452">
        <v>0</v>
      </c>
      <c r="AB47" s="452">
        <v>0</v>
      </c>
      <c r="AC47" s="452">
        <v>0</v>
      </c>
      <c r="AD47" s="452">
        <v>0</v>
      </c>
      <c r="AE47" s="452">
        <v>0</v>
      </c>
      <c r="AF47" s="452">
        <v>0</v>
      </c>
      <c r="AG47" s="452">
        <v>0</v>
      </c>
      <c r="AH47" s="409">
        <v>0</v>
      </c>
      <c r="AI47" s="409">
        <v>0</v>
      </c>
      <c r="AJ47" s="409">
        <v>0</v>
      </c>
      <c r="AK47" s="409">
        <v>0</v>
      </c>
      <c r="AL47" s="409"/>
      <c r="AM47" s="453">
        <f t="shared" si="0"/>
        <v>0</v>
      </c>
      <c r="AN47" s="452">
        <v>0</v>
      </c>
      <c r="AO47" s="452">
        <v>0</v>
      </c>
      <c r="AP47" s="452">
        <v>0</v>
      </c>
      <c r="AQ47" s="452">
        <v>0</v>
      </c>
      <c r="AR47" s="452">
        <v>0</v>
      </c>
      <c r="AS47" s="452">
        <v>0</v>
      </c>
      <c r="AT47" s="452">
        <v>0</v>
      </c>
      <c r="AU47" s="409">
        <v>0</v>
      </c>
      <c r="AV47" s="409">
        <v>0</v>
      </c>
      <c r="AW47" s="409">
        <v>50</v>
      </c>
      <c r="AX47" s="409">
        <v>0</v>
      </c>
      <c r="AY47" s="409">
        <v>0</v>
      </c>
      <c r="AZ47" s="453">
        <f t="shared" si="1"/>
        <v>50</v>
      </c>
      <c r="BA47" s="452">
        <v>0</v>
      </c>
      <c r="BB47" s="452">
        <v>0</v>
      </c>
      <c r="BC47" s="452">
        <v>0</v>
      </c>
      <c r="BD47" s="452">
        <v>0</v>
      </c>
      <c r="BE47" s="452">
        <v>0</v>
      </c>
      <c r="BF47" s="452">
        <v>0</v>
      </c>
      <c r="BG47" s="452">
        <v>0</v>
      </c>
      <c r="BH47" s="409">
        <v>0</v>
      </c>
      <c r="BI47" s="409">
        <v>0</v>
      </c>
      <c r="BJ47" s="409">
        <v>0</v>
      </c>
      <c r="BK47" s="409">
        <v>0</v>
      </c>
      <c r="BL47" s="409">
        <v>0</v>
      </c>
      <c r="BM47" s="453">
        <f t="shared" si="2"/>
        <v>0</v>
      </c>
      <c r="BN47" s="452">
        <v>0</v>
      </c>
      <c r="BO47" s="452">
        <v>0</v>
      </c>
      <c r="BP47" s="452">
        <v>0</v>
      </c>
      <c r="BQ47" s="452">
        <v>0</v>
      </c>
      <c r="BR47" s="452">
        <v>0</v>
      </c>
      <c r="BS47" s="452">
        <v>0</v>
      </c>
      <c r="BT47" s="452">
        <v>0</v>
      </c>
      <c r="BU47" s="409">
        <v>0</v>
      </c>
      <c r="BV47" s="409">
        <v>0</v>
      </c>
      <c r="BW47" s="409">
        <v>0</v>
      </c>
      <c r="BX47" s="409">
        <v>0</v>
      </c>
      <c r="BY47" s="409">
        <v>0</v>
      </c>
      <c r="BZ47" s="453">
        <f t="shared" si="3"/>
        <v>0</v>
      </c>
      <c r="CA47" s="454">
        <f t="shared" si="4"/>
        <v>50</v>
      </c>
      <c r="CB47" s="411"/>
      <c r="CC47" s="411"/>
      <c r="CD47" s="411"/>
      <c r="CE47" s="411"/>
      <c r="CF47" s="411"/>
      <c r="CG47" s="412"/>
      <c r="CH47" s="413"/>
      <c r="CI47" s="414" t="s">
        <v>292</v>
      </c>
      <c r="CJ47" s="415"/>
      <c r="CK47" s="415"/>
      <c r="CL47" s="415"/>
      <c r="CM47" s="415"/>
      <c r="CN47" s="415"/>
      <c r="CO47" s="415"/>
      <c r="CP47" s="415"/>
      <c r="CQ47" s="415"/>
      <c r="CR47" s="415"/>
      <c r="CS47" s="415"/>
      <c r="CT47" s="415"/>
      <c r="CU47" s="415"/>
      <c r="CV47" s="410">
        <f t="shared" si="22"/>
        <v>0</v>
      </c>
      <c r="CW47" s="415"/>
      <c r="CX47" s="415"/>
      <c r="CY47" s="415"/>
      <c r="CZ47" s="415"/>
      <c r="DA47" s="415"/>
      <c r="DB47" s="415"/>
      <c r="DC47" s="415"/>
      <c r="DD47" s="415"/>
      <c r="DE47" s="415"/>
      <c r="DF47" s="415"/>
      <c r="DG47" s="415"/>
      <c r="DH47" s="415">
        <v>1</v>
      </c>
      <c r="DI47" s="410">
        <f t="shared" si="27"/>
        <v>1</v>
      </c>
      <c r="DJ47" s="415"/>
      <c r="DK47" s="415"/>
      <c r="DL47" s="415"/>
      <c r="DM47" s="415"/>
      <c r="DN47" s="415"/>
      <c r="DO47" s="415"/>
      <c r="DP47" s="415"/>
      <c r="DQ47" s="415"/>
      <c r="DR47" s="415"/>
      <c r="DS47" s="415"/>
      <c r="DT47" s="415"/>
      <c r="DU47" s="415"/>
      <c r="DV47" s="410">
        <f t="shared" si="23"/>
        <v>0</v>
      </c>
      <c r="DW47" s="415"/>
      <c r="DX47" s="415"/>
      <c r="DY47" s="415"/>
      <c r="DZ47" s="415"/>
      <c r="EA47" s="415"/>
      <c r="EB47" s="415"/>
      <c r="EC47" s="415"/>
      <c r="ED47" s="415"/>
      <c r="EE47" s="415"/>
      <c r="EF47" s="415"/>
      <c r="EG47" s="415"/>
      <c r="EH47" s="415"/>
      <c r="EI47" s="410">
        <f t="shared" si="24"/>
        <v>0</v>
      </c>
      <c r="EJ47" s="415"/>
      <c r="EK47" s="415"/>
      <c r="EL47" s="415"/>
      <c r="EM47" s="415"/>
      <c r="EN47" s="415"/>
      <c r="EO47" s="415"/>
      <c r="EP47" s="415"/>
      <c r="EQ47" s="415"/>
      <c r="ER47" s="415"/>
      <c r="ES47" s="415"/>
      <c r="ET47" s="415"/>
      <c r="EU47" s="415"/>
      <c r="EV47" s="410">
        <f t="shared" si="25"/>
        <v>0</v>
      </c>
      <c r="EW47" s="416">
        <f t="shared" si="26"/>
        <v>1</v>
      </c>
      <c r="EX47" s="417">
        <f>IFERROR(VLOOKUP(H47,CEI_012018!$A$1:$U$509,9,FALSE),0)</f>
        <v>0</v>
      </c>
      <c r="EY47" s="417">
        <f>IFERROR(VLOOKUP(H47,CEI_022018!$A$1:$U$509,9,FALSE),0)</f>
        <v>0</v>
      </c>
      <c r="EZ47" s="417">
        <f>IFERROR(VLOOKUP(H47,CEI_032018!$A$1:$U$509,9,FALSE),0)</f>
        <v>0</v>
      </c>
      <c r="FA47" s="417">
        <f>IFERROR(VLOOKUP(H47,CEI_042018!$A$1:$U$491,9,FALSE),0)</f>
        <v>0</v>
      </c>
      <c r="FB47" s="417">
        <f>IFERROR(VLOOKUP(H47,CEI_052018!$A$1:$U$489,9,FALSE),0)</f>
        <v>0</v>
      </c>
      <c r="FC47" s="417">
        <f>IFERROR(VLOOKUP(H47,CEI_062018!$A$1:$U$489,9,FALSE),0)</f>
        <v>0</v>
      </c>
      <c r="FD47" s="417">
        <f>IFERROR(VLOOKUP(H47,CEI_072018!$A$1:$U$489,9,FALSE),0)</f>
        <v>0</v>
      </c>
      <c r="FE47" s="417">
        <f>IFERROR(VLOOKUP(H47,CEI_082018!$A$1:$U$489,9,FALSE),0)</f>
        <v>0</v>
      </c>
      <c r="FF47" s="417">
        <f>IFERROR(VLOOKUP(H47,CEI_092018!$A$1:$U$489,9,FALSE),0)</f>
        <v>0</v>
      </c>
      <c r="FG47" s="417"/>
      <c r="FH47" s="417"/>
      <c r="FI47" s="417"/>
      <c r="FJ47" s="418">
        <f>IFERROR(VLOOKUP(H47,CEI_092018!$A$1:$U$489,12,FALSE),0)</f>
        <v>0</v>
      </c>
      <c r="FK47" s="418">
        <f t="shared" si="20"/>
        <v>0</v>
      </c>
      <c r="FL47" s="418">
        <f t="shared" si="21"/>
        <v>0</v>
      </c>
      <c r="FM47" s="417"/>
      <c r="FN47" s="417"/>
      <c r="FO47" s="417"/>
      <c r="FP47" s="417"/>
      <c r="FQ47" s="417"/>
      <c r="FR47" s="417"/>
      <c r="FS47" s="417"/>
      <c r="FT47" s="417"/>
      <c r="FU47" s="417"/>
      <c r="FV47" s="417"/>
      <c r="FW47" s="417"/>
      <c r="FX47" s="417"/>
      <c r="FY47" s="418"/>
      <c r="FZ47" s="418"/>
      <c r="GA47" s="418"/>
      <c r="GB47" s="417"/>
      <c r="GC47" s="417"/>
      <c r="GD47" s="417"/>
      <c r="GE47" s="417"/>
      <c r="GF47" s="417"/>
      <c r="GG47" s="417"/>
      <c r="GH47" s="417"/>
      <c r="GI47" s="417"/>
      <c r="GJ47" s="417"/>
      <c r="GK47" s="417"/>
      <c r="GL47" s="417"/>
      <c r="GM47" s="417"/>
      <c r="GN47" s="418"/>
      <c r="GO47" s="418"/>
      <c r="GP47" s="418"/>
      <c r="GQ47" s="417"/>
      <c r="GR47" s="417"/>
      <c r="GS47" s="417"/>
      <c r="GT47" s="417"/>
      <c r="GU47" s="417"/>
      <c r="GV47" s="417"/>
      <c r="GW47" s="417"/>
      <c r="GX47" s="417"/>
      <c r="GY47" s="417"/>
      <c r="GZ47" s="417"/>
      <c r="HA47" s="417"/>
      <c r="HB47" s="417"/>
      <c r="HC47" s="418"/>
      <c r="HD47" s="418"/>
      <c r="HE47" s="418"/>
      <c r="HF47" s="417"/>
      <c r="HG47" s="417"/>
      <c r="HH47" s="417"/>
      <c r="HI47" s="417"/>
      <c r="HJ47" s="417"/>
      <c r="HK47" s="417"/>
      <c r="HL47" s="417"/>
      <c r="HM47" s="417"/>
      <c r="HN47" s="417"/>
      <c r="HO47" s="417"/>
      <c r="HP47" s="417"/>
      <c r="HQ47" s="417"/>
      <c r="HR47" s="418"/>
      <c r="HS47" s="418"/>
      <c r="HT47" s="418"/>
    </row>
    <row r="48" spans="1:228" s="387" customFormat="1" ht="12.95" customHeight="1" x14ac:dyDescent="0.2">
      <c r="A48" s="406" t="s">
        <v>52</v>
      </c>
      <c r="B48" s="407" t="s">
        <v>1431</v>
      </c>
      <c r="C48" s="406" t="s">
        <v>1599</v>
      </c>
      <c r="D48" s="407" t="s">
        <v>146</v>
      </c>
      <c r="E48" s="407" t="s">
        <v>1599</v>
      </c>
      <c r="F48" s="407" t="s">
        <v>146</v>
      </c>
      <c r="G48" s="406" t="s">
        <v>63</v>
      </c>
      <c r="H48" s="408" t="s">
        <v>520</v>
      </c>
      <c r="I48" s="408"/>
      <c r="J48" s="406" t="s">
        <v>856</v>
      </c>
      <c r="K48" s="406" t="s">
        <v>857</v>
      </c>
      <c r="L48" s="406" t="s">
        <v>149</v>
      </c>
      <c r="M48" s="406"/>
      <c r="N48" s="452">
        <v>0</v>
      </c>
      <c r="O48" s="452">
        <v>0</v>
      </c>
      <c r="P48" s="452">
        <v>0</v>
      </c>
      <c r="Q48" s="452">
        <v>0</v>
      </c>
      <c r="R48" s="452">
        <v>0</v>
      </c>
      <c r="S48" s="452">
        <v>0</v>
      </c>
      <c r="T48" s="452">
        <v>0</v>
      </c>
      <c r="U48" s="409">
        <v>0</v>
      </c>
      <c r="V48" s="409"/>
      <c r="W48" s="409"/>
      <c r="X48" s="409"/>
      <c r="Y48" s="409"/>
      <c r="Z48" s="453">
        <f t="shared" si="13"/>
        <v>0</v>
      </c>
      <c r="AA48" s="452">
        <v>0</v>
      </c>
      <c r="AB48" s="452">
        <v>0</v>
      </c>
      <c r="AC48" s="452">
        <v>0</v>
      </c>
      <c r="AD48" s="452">
        <v>0</v>
      </c>
      <c r="AE48" s="452">
        <v>0</v>
      </c>
      <c r="AF48" s="452"/>
      <c r="AG48" s="452"/>
      <c r="AH48" s="409"/>
      <c r="AI48" s="409"/>
      <c r="AJ48" s="409"/>
      <c r="AK48" s="409"/>
      <c r="AL48" s="409"/>
      <c r="AM48" s="453">
        <f t="shared" si="0"/>
        <v>0</v>
      </c>
      <c r="AN48" s="452">
        <v>0</v>
      </c>
      <c r="AO48" s="452">
        <v>0</v>
      </c>
      <c r="AP48" s="452">
        <v>0</v>
      </c>
      <c r="AQ48" s="452">
        <v>0</v>
      </c>
      <c r="AR48" s="452">
        <v>0</v>
      </c>
      <c r="AS48" s="452">
        <v>0</v>
      </c>
      <c r="AT48" s="452">
        <v>0</v>
      </c>
      <c r="AU48" s="409">
        <v>0</v>
      </c>
      <c r="AV48" s="409">
        <v>0</v>
      </c>
      <c r="AW48" s="409">
        <v>0</v>
      </c>
      <c r="AX48" s="409">
        <v>10.220000000000001</v>
      </c>
      <c r="AY48" s="409">
        <v>0</v>
      </c>
      <c r="AZ48" s="453">
        <f t="shared" si="1"/>
        <v>10.220000000000001</v>
      </c>
      <c r="BA48" s="452">
        <v>0</v>
      </c>
      <c r="BB48" s="452">
        <v>0</v>
      </c>
      <c r="BC48" s="452">
        <v>0</v>
      </c>
      <c r="BD48" s="452">
        <v>0</v>
      </c>
      <c r="BE48" s="452">
        <v>0</v>
      </c>
      <c r="BF48" s="452">
        <v>0</v>
      </c>
      <c r="BG48" s="452">
        <v>0</v>
      </c>
      <c r="BH48" s="409">
        <v>0</v>
      </c>
      <c r="BI48" s="409">
        <v>0</v>
      </c>
      <c r="BJ48" s="409">
        <v>0</v>
      </c>
      <c r="BK48" s="409">
        <v>0</v>
      </c>
      <c r="BL48" s="409">
        <v>0</v>
      </c>
      <c r="BM48" s="453">
        <f t="shared" si="2"/>
        <v>0</v>
      </c>
      <c r="BN48" s="452">
        <v>0</v>
      </c>
      <c r="BO48" s="452">
        <v>0</v>
      </c>
      <c r="BP48" s="452">
        <v>0</v>
      </c>
      <c r="BQ48" s="452">
        <v>0</v>
      </c>
      <c r="BR48" s="452">
        <v>0</v>
      </c>
      <c r="BS48" s="452">
        <v>0</v>
      </c>
      <c r="BT48" s="452">
        <v>0</v>
      </c>
      <c r="BU48" s="409">
        <v>0</v>
      </c>
      <c r="BV48" s="409">
        <v>0</v>
      </c>
      <c r="BW48" s="409">
        <v>0</v>
      </c>
      <c r="BX48" s="409">
        <v>0</v>
      </c>
      <c r="BY48" s="409">
        <v>0</v>
      </c>
      <c r="BZ48" s="453">
        <f t="shared" si="3"/>
        <v>0</v>
      </c>
      <c r="CA48" s="454">
        <f t="shared" si="4"/>
        <v>10.220000000000001</v>
      </c>
      <c r="CB48" s="411"/>
      <c r="CC48" s="411"/>
      <c r="CD48" s="411"/>
      <c r="CE48" s="411"/>
      <c r="CF48" s="411"/>
      <c r="CG48" s="412"/>
      <c r="CH48" s="413"/>
      <c r="CI48" s="414" t="s">
        <v>71</v>
      </c>
      <c r="CJ48" s="415"/>
      <c r="CK48" s="415"/>
      <c r="CL48" s="415"/>
      <c r="CM48" s="415"/>
      <c r="CN48" s="415"/>
      <c r="CO48" s="415"/>
      <c r="CP48" s="415"/>
      <c r="CQ48" s="415"/>
      <c r="CR48" s="415"/>
      <c r="CS48" s="415"/>
      <c r="CT48" s="415"/>
      <c r="CU48" s="415"/>
      <c r="CV48" s="410">
        <f t="shared" si="22"/>
        <v>0</v>
      </c>
      <c r="CW48" s="415"/>
      <c r="CX48" s="415"/>
      <c r="CY48" s="415"/>
      <c r="CZ48" s="415"/>
      <c r="DA48" s="415"/>
      <c r="DB48" s="415"/>
      <c r="DC48" s="415"/>
      <c r="DD48" s="415"/>
      <c r="DE48" s="415"/>
      <c r="DF48" s="415"/>
      <c r="DG48" s="415"/>
      <c r="DH48" s="415"/>
      <c r="DI48" s="410">
        <f t="shared" si="27"/>
        <v>0</v>
      </c>
      <c r="DJ48" s="415"/>
      <c r="DK48" s="415"/>
      <c r="DL48" s="415"/>
      <c r="DM48" s="415"/>
      <c r="DN48" s="415"/>
      <c r="DO48" s="415"/>
      <c r="DP48" s="415"/>
      <c r="DQ48" s="415"/>
      <c r="DR48" s="415"/>
      <c r="DS48" s="415"/>
      <c r="DT48" s="415">
        <v>2</v>
      </c>
      <c r="DU48" s="415"/>
      <c r="DV48" s="410">
        <f t="shared" si="23"/>
        <v>2</v>
      </c>
      <c r="DW48" s="415"/>
      <c r="DX48" s="415"/>
      <c r="DY48" s="415"/>
      <c r="DZ48" s="415"/>
      <c r="EA48" s="415"/>
      <c r="EB48" s="415"/>
      <c r="EC48" s="415"/>
      <c r="ED48" s="415"/>
      <c r="EE48" s="415"/>
      <c r="EF48" s="415"/>
      <c r="EG48" s="415"/>
      <c r="EH48" s="415"/>
      <c r="EI48" s="410">
        <f t="shared" si="24"/>
        <v>0</v>
      </c>
      <c r="EJ48" s="415"/>
      <c r="EK48" s="415"/>
      <c r="EL48" s="415"/>
      <c r="EM48" s="415"/>
      <c r="EN48" s="415"/>
      <c r="EO48" s="415"/>
      <c r="EP48" s="415"/>
      <c r="EQ48" s="415"/>
      <c r="ER48" s="415"/>
      <c r="ES48" s="415"/>
      <c r="ET48" s="415"/>
      <c r="EU48" s="415"/>
      <c r="EV48" s="410">
        <f t="shared" si="25"/>
        <v>0</v>
      </c>
      <c r="EW48" s="416">
        <f t="shared" si="26"/>
        <v>2</v>
      </c>
      <c r="EX48" s="417">
        <f>IFERROR(VLOOKUP(H48,CEI_012018!$A$1:$U$509,9,FALSE),0)</f>
        <v>0</v>
      </c>
      <c r="EY48" s="417">
        <f>IFERROR(VLOOKUP(H48,CEI_022018!$A$1:$U$509,9,FALSE),0)</f>
        <v>0</v>
      </c>
      <c r="EZ48" s="417">
        <f>IFERROR(VLOOKUP(H48,CEI_032018!$A$1:$U$509,9,FALSE),0)</f>
        <v>0</v>
      </c>
      <c r="FA48" s="417">
        <f>IFERROR(VLOOKUP(H48,CEI_042018!$A$1:$U$491,9,FALSE),0)</f>
        <v>0</v>
      </c>
      <c r="FB48" s="417">
        <f>IFERROR(VLOOKUP(H48,CEI_052018!$A$1:$U$489,9,FALSE),0)</f>
        <v>0</v>
      </c>
      <c r="FC48" s="417">
        <f>IFERROR(VLOOKUP(H48,CEI_062018!$A$1:$U$489,9,FALSE),0)</f>
        <v>0</v>
      </c>
      <c r="FD48" s="417">
        <f>IFERROR(VLOOKUP(H48,CEI_072018!$A$1:$U$489,9,FALSE),0)</f>
        <v>0</v>
      </c>
      <c r="FE48" s="417">
        <f>IFERROR(VLOOKUP(H48,CEI_082018!$A$1:$U$489,9,FALSE),0)</f>
        <v>0</v>
      </c>
      <c r="FF48" s="417">
        <f>IFERROR(VLOOKUP(H48,CEI_092018!$A$1:$U$489,9,FALSE),0)</f>
        <v>0</v>
      </c>
      <c r="FG48" s="417"/>
      <c r="FH48" s="417"/>
      <c r="FI48" s="417"/>
      <c r="FJ48" s="418">
        <f>IFERROR(VLOOKUP(H48,CEI_092018!$A$1:$U$489,12,FALSE),0)</f>
        <v>0</v>
      </c>
      <c r="FK48" s="418">
        <f t="shared" si="20"/>
        <v>0</v>
      </c>
      <c r="FL48" s="418">
        <f t="shared" si="21"/>
        <v>0</v>
      </c>
      <c r="FM48" s="417"/>
      <c r="FN48" s="417"/>
      <c r="FO48" s="417"/>
      <c r="FP48" s="417"/>
      <c r="FQ48" s="417"/>
      <c r="FR48" s="417"/>
      <c r="FS48" s="417"/>
      <c r="FT48" s="417"/>
      <c r="FU48" s="417"/>
      <c r="FV48" s="417"/>
      <c r="FW48" s="417"/>
      <c r="FX48" s="417"/>
      <c r="FY48" s="418"/>
      <c r="FZ48" s="418"/>
      <c r="GA48" s="418"/>
      <c r="GB48" s="417"/>
      <c r="GC48" s="417"/>
      <c r="GD48" s="417"/>
      <c r="GE48" s="417"/>
      <c r="GF48" s="417"/>
      <c r="GG48" s="417"/>
      <c r="GH48" s="417"/>
      <c r="GI48" s="417"/>
      <c r="GJ48" s="417"/>
      <c r="GK48" s="417"/>
      <c r="GL48" s="417"/>
      <c r="GM48" s="417"/>
      <c r="GN48" s="418"/>
      <c r="GO48" s="418"/>
      <c r="GP48" s="418"/>
      <c r="GQ48" s="417"/>
      <c r="GR48" s="417"/>
      <c r="GS48" s="417"/>
      <c r="GT48" s="417"/>
      <c r="GU48" s="417"/>
      <c r="GV48" s="417"/>
      <c r="GW48" s="417"/>
      <c r="GX48" s="417"/>
      <c r="GY48" s="417"/>
      <c r="GZ48" s="417"/>
      <c r="HA48" s="417"/>
      <c r="HB48" s="417"/>
      <c r="HC48" s="418"/>
      <c r="HD48" s="418"/>
      <c r="HE48" s="418"/>
      <c r="HF48" s="417"/>
      <c r="HG48" s="417"/>
      <c r="HH48" s="417"/>
      <c r="HI48" s="417"/>
      <c r="HJ48" s="417"/>
      <c r="HK48" s="417"/>
      <c r="HL48" s="417"/>
      <c r="HM48" s="417"/>
      <c r="HN48" s="417"/>
      <c r="HO48" s="417"/>
      <c r="HP48" s="417"/>
      <c r="HQ48" s="417"/>
      <c r="HR48" s="418"/>
      <c r="HS48" s="418"/>
      <c r="HT48" s="418"/>
    </row>
    <row r="49" spans="1:228" s="387" customFormat="1" ht="12.95" customHeight="1" x14ac:dyDescent="0.2">
      <c r="A49" s="406" t="s">
        <v>52</v>
      </c>
      <c r="B49" s="407" t="s">
        <v>1431</v>
      </c>
      <c r="C49" s="406" t="s">
        <v>1599</v>
      </c>
      <c r="D49" s="407" t="s">
        <v>161</v>
      </c>
      <c r="E49" s="407" t="s">
        <v>1599</v>
      </c>
      <c r="F49" s="407" t="s">
        <v>161</v>
      </c>
      <c r="G49" s="406" t="s">
        <v>63</v>
      </c>
      <c r="H49" s="408" t="s">
        <v>520</v>
      </c>
      <c r="I49" s="408"/>
      <c r="J49" s="406" t="s">
        <v>162</v>
      </c>
      <c r="K49" s="406" t="s">
        <v>163</v>
      </c>
      <c r="L49" s="406" t="s">
        <v>164</v>
      </c>
      <c r="M49" s="406"/>
      <c r="N49" s="452">
        <v>0</v>
      </c>
      <c r="O49" s="452">
        <v>0</v>
      </c>
      <c r="P49" s="452">
        <v>0</v>
      </c>
      <c r="Q49" s="452">
        <v>0</v>
      </c>
      <c r="R49" s="452">
        <v>0</v>
      </c>
      <c r="S49" s="452">
        <v>0</v>
      </c>
      <c r="T49" s="452">
        <v>0</v>
      </c>
      <c r="U49" s="409">
        <v>0</v>
      </c>
      <c r="V49" s="409"/>
      <c r="W49" s="409"/>
      <c r="X49" s="409"/>
      <c r="Y49" s="409"/>
      <c r="Z49" s="453">
        <f t="shared" si="13"/>
        <v>0</v>
      </c>
      <c r="AA49" s="452"/>
      <c r="AB49" s="452"/>
      <c r="AC49" s="452"/>
      <c r="AD49" s="452"/>
      <c r="AE49" s="452"/>
      <c r="AF49" s="452"/>
      <c r="AG49" s="452"/>
      <c r="AH49" s="409"/>
      <c r="AI49" s="409"/>
      <c r="AJ49" s="409"/>
      <c r="AK49" s="409"/>
      <c r="AL49" s="409"/>
      <c r="AM49" s="453">
        <f t="shared" si="0"/>
        <v>0</v>
      </c>
      <c r="AN49" s="452"/>
      <c r="AO49" s="452"/>
      <c r="AP49" s="452"/>
      <c r="AQ49" s="452"/>
      <c r="AR49" s="452"/>
      <c r="AS49" s="452"/>
      <c r="AT49" s="452"/>
      <c r="AU49" s="409"/>
      <c r="AV49" s="409"/>
      <c r="AW49" s="409"/>
      <c r="AX49" s="409"/>
      <c r="AY49" s="409">
        <v>50</v>
      </c>
      <c r="AZ49" s="453">
        <f t="shared" si="1"/>
        <v>50</v>
      </c>
      <c r="BA49" s="452"/>
      <c r="BB49" s="452"/>
      <c r="BC49" s="452"/>
      <c r="BD49" s="452"/>
      <c r="BE49" s="452"/>
      <c r="BF49" s="452"/>
      <c r="BG49" s="452"/>
      <c r="BH49" s="409"/>
      <c r="BI49" s="409"/>
      <c r="BJ49" s="409"/>
      <c r="BK49" s="409"/>
      <c r="BL49" s="409">
        <v>63</v>
      </c>
      <c r="BM49" s="453">
        <f t="shared" si="2"/>
        <v>63</v>
      </c>
      <c r="BN49" s="452"/>
      <c r="BO49" s="452"/>
      <c r="BP49" s="452"/>
      <c r="BQ49" s="452"/>
      <c r="BR49" s="452"/>
      <c r="BS49" s="452"/>
      <c r="BT49" s="452"/>
      <c r="BU49" s="409"/>
      <c r="BV49" s="409"/>
      <c r="BW49" s="409"/>
      <c r="BX49" s="409"/>
      <c r="BY49" s="409">
        <v>50</v>
      </c>
      <c r="BZ49" s="453">
        <f t="shared" si="3"/>
        <v>50</v>
      </c>
      <c r="CA49" s="454">
        <f t="shared" si="4"/>
        <v>163</v>
      </c>
      <c r="CB49" s="411"/>
      <c r="CC49" s="411"/>
      <c r="CD49" s="411"/>
      <c r="CE49" s="411"/>
      <c r="CF49" s="411"/>
      <c r="CG49" s="412"/>
      <c r="CH49" s="413"/>
      <c r="CI49" s="414" t="s">
        <v>71</v>
      </c>
      <c r="CJ49" s="415"/>
      <c r="CK49" s="415"/>
      <c r="CL49" s="415"/>
      <c r="CM49" s="415"/>
      <c r="CN49" s="415"/>
      <c r="CO49" s="415"/>
      <c r="CP49" s="415"/>
      <c r="CQ49" s="415"/>
      <c r="CR49" s="415"/>
      <c r="CS49" s="415"/>
      <c r="CT49" s="415"/>
      <c r="CU49" s="415"/>
      <c r="CV49" s="410">
        <f t="shared" si="22"/>
        <v>0</v>
      </c>
      <c r="CW49" s="415"/>
      <c r="CX49" s="415"/>
      <c r="CY49" s="415"/>
      <c r="CZ49" s="415"/>
      <c r="DA49" s="415"/>
      <c r="DB49" s="415"/>
      <c r="DC49" s="415"/>
      <c r="DD49" s="415"/>
      <c r="DE49" s="415"/>
      <c r="DF49" s="415"/>
      <c r="DG49" s="415"/>
      <c r="DH49" s="415"/>
      <c r="DI49" s="410">
        <f t="shared" si="27"/>
        <v>0</v>
      </c>
      <c r="DJ49" s="415"/>
      <c r="DK49" s="415"/>
      <c r="DL49" s="415"/>
      <c r="DM49" s="415"/>
      <c r="DN49" s="415"/>
      <c r="DO49" s="415"/>
      <c r="DP49" s="415"/>
      <c r="DQ49" s="415"/>
      <c r="DR49" s="415"/>
      <c r="DS49" s="415"/>
      <c r="DT49" s="415"/>
      <c r="DU49" s="415">
        <v>10</v>
      </c>
      <c r="DV49" s="410">
        <f t="shared" si="23"/>
        <v>10</v>
      </c>
      <c r="DW49" s="415"/>
      <c r="DX49" s="415"/>
      <c r="DY49" s="415"/>
      <c r="DZ49" s="415"/>
      <c r="EA49" s="415"/>
      <c r="EB49" s="415"/>
      <c r="EC49" s="415"/>
      <c r="ED49" s="415"/>
      <c r="EE49" s="415"/>
      <c r="EF49" s="415"/>
      <c r="EG49" s="415"/>
      <c r="EH49" s="415">
        <v>10</v>
      </c>
      <c r="EI49" s="410">
        <f t="shared" si="24"/>
        <v>10</v>
      </c>
      <c r="EJ49" s="415"/>
      <c r="EK49" s="415"/>
      <c r="EL49" s="415"/>
      <c r="EM49" s="415"/>
      <c r="EN49" s="415"/>
      <c r="EO49" s="415"/>
      <c r="EP49" s="415"/>
      <c r="EQ49" s="415"/>
      <c r="ER49" s="415"/>
      <c r="ES49" s="415"/>
      <c r="ET49" s="415"/>
      <c r="EU49" s="415">
        <v>10</v>
      </c>
      <c r="EV49" s="410">
        <f t="shared" si="25"/>
        <v>10</v>
      </c>
      <c r="EW49" s="416">
        <f t="shared" si="26"/>
        <v>30</v>
      </c>
      <c r="EX49" s="417">
        <f>IFERROR(VLOOKUP(H49,CEI_012018!$A$1:$U$509,9,FALSE),0)</f>
        <v>0</v>
      </c>
      <c r="EY49" s="417">
        <f>IFERROR(VLOOKUP(H49,CEI_022018!$A$1:$U$509,9,FALSE),0)</f>
        <v>0</v>
      </c>
      <c r="EZ49" s="417">
        <f>IFERROR(VLOOKUP(H49,CEI_032018!$A$1:$U$509,9,FALSE),0)</f>
        <v>0</v>
      </c>
      <c r="FA49" s="417">
        <f>IFERROR(VLOOKUP(H49,CEI_042018!$A$1:$U$491,9,FALSE),0)</f>
        <v>0</v>
      </c>
      <c r="FB49" s="417">
        <f>IFERROR(VLOOKUP(H49,CEI_052018!$A$1:$U$489,9,FALSE),0)</f>
        <v>0</v>
      </c>
      <c r="FC49" s="417">
        <f>IFERROR(VLOOKUP(H49,CEI_062018!$A$1:$U$489,9,FALSE),0)</f>
        <v>0</v>
      </c>
      <c r="FD49" s="417">
        <f>IFERROR(VLOOKUP(H49,CEI_072018!$A$1:$U$489,9,FALSE),0)</f>
        <v>0</v>
      </c>
      <c r="FE49" s="417">
        <f>IFERROR(VLOOKUP(H49,CEI_082018!$A$1:$U$489,9,FALSE),0)</f>
        <v>0</v>
      </c>
      <c r="FF49" s="417">
        <f>IFERROR(VLOOKUP(H49,CEI_092018!$A$1:$U$489,9,FALSE),0)</f>
        <v>0</v>
      </c>
      <c r="FG49" s="417"/>
      <c r="FH49" s="417"/>
      <c r="FI49" s="417"/>
      <c r="FJ49" s="418">
        <f>IFERROR(VLOOKUP(H49,CEI_092018!$A$1:$U$489,12,FALSE),0)</f>
        <v>0</v>
      </c>
      <c r="FK49" s="418">
        <f t="shared" si="20"/>
        <v>0</v>
      </c>
      <c r="FL49" s="418">
        <f t="shared" si="21"/>
        <v>0</v>
      </c>
      <c r="FM49" s="417"/>
      <c r="FN49" s="417"/>
      <c r="FO49" s="417"/>
      <c r="FP49" s="417"/>
      <c r="FQ49" s="417"/>
      <c r="FR49" s="417"/>
      <c r="FS49" s="417"/>
      <c r="FT49" s="417"/>
      <c r="FU49" s="417"/>
      <c r="FV49" s="417"/>
      <c r="FW49" s="417"/>
      <c r="FX49" s="417"/>
      <c r="FY49" s="418"/>
      <c r="FZ49" s="418"/>
      <c r="GA49" s="418"/>
      <c r="GB49" s="417"/>
      <c r="GC49" s="417"/>
      <c r="GD49" s="417"/>
      <c r="GE49" s="417"/>
      <c r="GF49" s="417"/>
      <c r="GG49" s="417"/>
      <c r="GH49" s="417"/>
      <c r="GI49" s="417"/>
      <c r="GJ49" s="417"/>
      <c r="GK49" s="417"/>
      <c r="GL49" s="417"/>
      <c r="GM49" s="417"/>
      <c r="GN49" s="418"/>
      <c r="GO49" s="418"/>
      <c r="GP49" s="418"/>
      <c r="GQ49" s="417"/>
      <c r="GR49" s="417"/>
      <c r="GS49" s="417"/>
      <c r="GT49" s="417"/>
      <c r="GU49" s="417"/>
      <c r="GV49" s="417"/>
      <c r="GW49" s="417"/>
      <c r="GX49" s="417"/>
      <c r="GY49" s="417"/>
      <c r="GZ49" s="417"/>
      <c r="HA49" s="417"/>
      <c r="HB49" s="417"/>
      <c r="HC49" s="418"/>
      <c r="HD49" s="418"/>
      <c r="HE49" s="418"/>
      <c r="HF49" s="417"/>
      <c r="HG49" s="417"/>
      <c r="HH49" s="417"/>
      <c r="HI49" s="417"/>
      <c r="HJ49" s="417"/>
      <c r="HK49" s="417"/>
      <c r="HL49" s="417"/>
      <c r="HM49" s="417"/>
      <c r="HN49" s="417"/>
      <c r="HO49" s="417"/>
      <c r="HP49" s="417"/>
      <c r="HQ49" s="417"/>
      <c r="HR49" s="418"/>
      <c r="HS49" s="418"/>
      <c r="HT49" s="418"/>
    </row>
    <row r="50" spans="1:228" s="387" customFormat="1" ht="12.95" customHeight="1" x14ac:dyDescent="0.2">
      <c r="A50" s="406" t="s">
        <v>52</v>
      </c>
      <c r="B50" s="407" t="s">
        <v>1431</v>
      </c>
      <c r="C50" s="406" t="s">
        <v>155</v>
      </c>
      <c r="D50" s="407" t="s">
        <v>156</v>
      </c>
      <c r="E50" s="407" t="s">
        <v>155</v>
      </c>
      <c r="F50" s="407" t="s">
        <v>156</v>
      </c>
      <c r="G50" s="406" t="s">
        <v>63</v>
      </c>
      <c r="H50" s="408" t="s">
        <v>520</v>
      </c>
      <c r="I50" s="408"/>
      <c r="J50" s="406" t="s">
        <v>1925</v>
      </c>
      <c r="K50" s="406" t="s">
        <v>157</v>
      </c>
      <c r="L50" s="406" t="s">
        <v>158</v>
      </c>
      <c r="M50" s="406"/>
      <c r="N50" s="452">
        <v>0</v>
      </c>
      <c r="O50" s="452">
        <v>0</v>
      </c>
      <c r="P50" s="452">
        <v>0</v>
      </c>
      <c r="Q50" s="452">
        <v>0</v>
      </c>
      <c r="R50" s="452">
        <v>0</v>
      </c>
      <c r="S50" s="452">
        <v>0</v>
      </c>
      <c r="T50" s="452">
        <v>0</v>
      </c>
      <c r="U50" s="409">
        <v>0</v>
      </c>
      <c r="V50" s="409"/>
      <c r="W50" s="409"/>
      <c r="X50" s="409"/>
      <c r="Y50" s="409"/>
      <c r="Z50" s="453">
        <f t="shared" si="13"/>
        <v>0</v>
      </c>
      <c r="AA50" s="452"/>
      <c r="AB50" s="452"/>
      <c r="AC50" s="452"/>
      <c r="AD50" s="452"/>
      <c r="AE50" s="452"/>
      <c r="AF50" s="452"/>
      <c r="AG50" s="452"/>
      <c r="AH50" s="409"/>
      <c r="AI50" s="409"/>
      <c r="AJ50" s="409"/>
      <c r="AK50" s="409"/>
      <c r="AL50" s="409"/>
      <c r="AM50" s="453">
        <f t="shared" si="0"/>
        <v>0</v>
      </c>
      <c r="AN50" s="452"/>
      <c r="AO50" s="452"/>
      <c r="AP50" s="452"/>
      <c r="AQ50" s="452"/>
      <c r="AR50" s="452"/>
      <c r="AS50" s="452"/>
      <c r="AT50" s="452"/>
      <c r="AU50" s="409"/>
      <c r="AV50" s="409"/>
      <c r="AW50" s="409">
        <v>5</v>
      </c>
      <c r="AX50" s="409"/>
      <c r="AY50" s="409"/>
      <c r="AZ50" s="453">
        <f t="shared" si="1"/>
        <v>5</v>
      </c>
      <c r="BA50" s="452"/>
      <c r="BB50" s="452"/>
      <c r="BC50" s="452"/>
      <c r="BD50" s="452"/>
      <c r="BE50" s="452"/>
      <c r="BF50" s="452"/>
      <c r="BG50" s="452"/>
      <c r="BH50" s="409"/>
      <c r="BI50" s="409"/>
      <c r="BJ50" s="409">
        <v>5</v>
      </c>
      <c r="BK50" s="409"/>
      <c r="BL50" s="409"/>
      <c r="BM50" s="453">
        <f t="shared" si="2"/>
        <v>5</v>
      </c>
      <c r="BN50" s="452"/>
      <c r="BO50" s="452"/>
      <c r="BP50" s="452"/>
      <c r="BQ50" s="452"/>
      <c r="BR50" s="452"/>
      <c r="BS50" s="452"/>
      <c r="BT50" s="452"/>
      <c r="BU50" s="409"/>
      <c r="BV50" s="409"/>
      <c r="BW50" s="409"/>
      <c r="BX50" s="409"/>
      <c r="BY50" s="409"/>
      <c r="BZ50" s="453">
        <f t="shared" si="3"/>
        <v>0</v>
      </c>
      <c r="CA50" s="454">
        <f t="shared" si="4"/>
        <v>10</v>
      </c>
      <c r="CB50" s="411"/>
      <c r="CC50" s="411"/>
      <c r="CD50" s="411"/>
      <c r="CE50" s="411"/>
      <c r="CF50" s="411"/>
      <c r="CG50" s="412"/>
      <c r="CH50" s="413"/>
      <c r="CI50" s="414" t="s">
        <v>71</v>
      </c>
      <c r="CJ50" s="415"/>
      <c r="CK50" s="415"/>
      <c r="CL50" s="415"/>
      <c r="CM50" s="415"/>
      <c r="CN50" s="415"/>
      <c r="CO50" s="415"/>
      <c r="CP50" s="415"/>
      <c r="CQ50" s="415"/>
      <c r="CR50" s="415"/>
      <c r="CS50" s="415"/>
      <c r="CT50" s="415"/>
      <c r="CU50" s="415"/>
      <c r="CV50" s="410">
        <f t="shared" si="22"/>
        <v>0</v>
      </c>
      <c r="CW50" s="415"/>
      <c r="CX50" s="415"/>
      <c r="CY50" s="415"/>
      <c r="CZ50" s="415"/>
      <c r="DA50" s="415"/>
      <c r="DB50" s="415"/>
      <c r="DC50" s="415"/>
      <c r="DD50" s="415"/>
      <c r="DE50" s="415"/>
      <c r="DF50" s="415"/>
      <c r="DG50" s="415"/>
      <c r="DH50" s="415"/>
      <c r="DI50" s="410">
        <v>19</v>
      </c>
      <c r="DJ50" s="415"/>
      <c r="DK50" s="415"/>
      <c r="DL50" s="415"/>
      <c r="DM50" s="415"/>
      <c r="DN50" s="415"/>
      <c r="DO50" s="415"/>
      <c r="DP50" s="415"/>
      <c r="DQ50" s="415"/>
      <c r="DR50" s="415"/>
      <c r="DS50" s="415">
        <v>1</v>
      </c>
      <c r="DT50" s="415"/>
      <c r="DU50" s="415"/>
      <c r="DV50" s="410">
        <f t="shared" si="23"/>
        <v>1</v>
      </c>
      <c r="DW50" s="415"/>
      <c r="DX50" s="415"/>
      <c r="DY50" s="415"/>
      <c r="DZ50" s="415"/>
      <c r="EA50" s="415"/>
      <c r="EB50" s="415"/>
      <c r="EC50" s="415"/>
      <c r="ED50" s="415"/>
      <c r="EE50" s="415"/>
      <c r="EF50" s="415">
        <v>1</v>
      </c>
      <c r="EG50" s="415"/>
      <c r="EH50" s="415"/>
      <c r="EI50" s="410">
        <f t="shared" si="24"/>
        <v>1</v>
      </c>
      <c r="EJ50" s="415"/>
      <c r="EK50" s="415"/>
      <c r="EL50" s="415"/>
      <c r="EM50" s="415"/>
      <c r="EN50" s="415"/>
      <c r="EO50" s="415"/>
      <c r="EP50" s="415"/>
      <c r="EQ50" s="415"/>
      <c r="ER50" s="415"/>
      <c r="ES50" s="415"/>
      <c r="ET50" s="415"/>
      <c r="EU50" s="415"/>
      <c r="EV50" s="410">
        <f t="shared" si="25"/>
        <v>0</v>
      </c>
      <c r="EW50" s="416">
        <f t="shared" si="26"/>
        <v>21</v>
      </c>
      <c r="EX50" s="417">
        <f>IFERROR(VLOOKUP(H50,CEI_012018!$A$1:$U$509,9,FALSE),0)</f>
        <v>0</v>
      </c>
      <c r="EY50" s="417">
        <f>IFERROR(VLOOKUP(H50,CEI_022018!$A$1:$U$509,9,FALSE),0)</f>
        <v>0</v>
      </c>
      <c r="EZ50" s="417">
        <f>IFERROR(VLOOKUP(H50,CEI_032018!$A$1:$U$509,9,FALSE),0)</f>
        <v>0</v>
      </c>
      <c r="FA50" s="417">
        <f>IFERROR(VLOOKUP(H50,CEI_042018!$A$1:$U$491,9,FALSE),0)</f>
        <v>0</v>
      </c>
      <c r="FB50" s="417">
        <f>IFERROR(VLOOKUP(H50,CEI_052018!$A$1:$U$489,9,FALSE),0)</f>
        <v>0</v>
      </c>
      <c r="FC50" s="417">
        <f>IFERROR(VLOOKUP(H50,CEI_062018!$A$1:$U$489,9,FALSE),0)</f>
        <v>0</v>
      </c>
      <c r="FD50" s="417">
        <f>IFERROR(VLOOKUP(H50,CEI_072018!$A$1:$U$489,9,FALSE),0)</f>
        <v>0</v>
      </c>
      <c r="FE50" s="417">
        <f>IFERROR(VLOOKUP(H50,CEI_082018!$A$1:$U$489,9,FALSE),0)</f>
        <v>0</v>
      </c>
      <c r="FF50" s="417">
        <f>IFERROR(VLOOKUP(H50,CEI_092018!$A$1:$U$489,9,FALSE),0)</f>
        <v>0</v>
      </c>
      <c r="FG50" s="417"/>
      <c r="FH50" s="417"/>
      <c r="FI50" s="417"/>
      <c r="FJ50" s="418">
        <f>IFERROR(VLOOKUP(H50,CEI_092018!$A$1:$U$489,12,FALSE),0)</f>
        <v>0</v>
      </c>
      <c r="FK50" s="418">
        <f t="shared" si="20"/>
        <v>0</v>
      </c>
      <c r="FL50" s="418">
        <f t="shared" si="21"/>
        <v>0</v>
      </c>
      <c r="FM50" s="417"/>
      <c r="FN50" s="417"/>
      <c r="FO50" s="417"/>
      <c r="FP50" s="417"/>
      <c r="FQ50" s="417"/>
      <c r="FR50" s="417"/>
      <c r="FS50" s="417"/>
      <c r="FT50" s="417"/>
      <c r="FU50" s="417"/>
      <c r="FV50" s="417"/>
      <c r="FW50" s="417"/>
      <c r="FX50" s="417"/>
      <c r="FY50" s="418"/>
      <c r="FZ50" s="418"/>
      <c r="GA50" s="418"/>
      <c r="GB50" s="417"/>
      <c r="GC50" s="417"/>
      <c r="GD50" s="417"/>
      <c r="GE50" s="417"/>
      <c r="GF50" s="417"/>
      <c r="GG50" s="417"/>
      <c r="GH50" s="417"/>
      <c r="GI50" s="417"/>
      <c r="GJ50" s="417"/>
      <c r="GK50" s="417"/>
      <c r="GL50" s="417"/>
      <c r="GM50" s="417"/>
      <c r="GN50" s="418"/>
      <c r="GO50" s="418"/>
      <c r="GP50" s="418"/>
      <c r="GQ50" s="417"/>
      <c r="GR50" s="417"/>
      <c r="GS50" s="417"/>
      <c r="GT50" s="417"/>
      <c r="GU50" s="417"/>
      <c r="GV50" s="417"/>
      <c r="GW50" s="417"/>
      <c r="GX50" s="417"/>
      <c r="GY50" s="417"/>
      <c r="GZ50" s="417"/>
      <c r="HA50" s="417"/>
      <c r="HB50" s="417"/>
      <c r="HC50" s="418"/>
      <c r="HD50" s="418"/>
      <c r="HE50" s="418"/>
      <c r="HF50" s="417"/>
      <c r="HG50" s="417"/>
      <c r="HH50" s="417"/>
      <c r="HI50" s="417"/>
      <c r="HJ50" s="417"/>
      <c r="HK50" s="417"/>
      <c r="HL50" s="417"/>
      <c r="HM50" s="417"/>
      <c r="HN50" s="417"/>
      <c r="HO50" s="417"/>
      <c r="HP50" s="417"/>
      <c r="HQ50" s="417"/>
      <c r="HR50" s="418"/>
      <c r="HS50" s="418"/>
      <c r="HT50" s="418"/>
    </row>
    <row r="51" spans="1:228" s="387" customFormat="1" ht="12.95" customHeight="1" x14ac:dyDescent="0.2">
      <c r="A51" s="406" t="s">
        <v>55</v>
      </c>
      <c r="B51" s="407" t="s">
        <v>39</v>
      </c>
      <c r="C51" s="406" t="s">
        <v>1886</v>
      </c>
      <c r="D51" s="407" t="s">
        <v>1887</v>
      </c>
      <c r="E51" s="406" t="s">
        <v>1886</v>
      </c>
      <c r="F51" s="407" t="s">
        <v>1887</v>
      </c>
      <c r="G51" s="406" t="s">
        <v>54</v>
      </c>
      <c r="H51" s="408" t="s">
        <v>1955</v>
      </c>
      <c r="I51" s="408" t="s">
        <v>1956</v>
      </c>
      <c r="J51" s="406" t="s">
        <v>1888</v>
      </c>
      <c r="K51" s="406"/>
      <c r="L51" s="406"/>
      <c r="M51" s="406"/>
      <c r="N51" s="452">
        <v>0</v>
      </c>
      <c r="O51" s="452">
        <v>0</v>
      </c>
      <c r="P51" s="452">
        <v>0</v>
      </c>
      <c r="Q51" s="452">
        <v>0</v>
      </c>
      <c r="R51" s="452">
        <v>0</v>
      </c>
      <c r="S51" s="452">
        <v>0</v>
      </c>
      <c r="T51" s="452">
        <v>0</v>
      </c>
      <c r="U51" s="409">
        <v>0</v>
      </c>
      <c r="V51" s="409"/>
      <c r="W51" s="409"/>
      <c r="X51" s="409"/>
      <c r="Y51" s="409">
        <v>150</v>
      </c>
      <c r="Z51" s="453">
        <f t="shared" si="13"/>
        <v>150</v>
      </c>
      <c r="AA51" s="452"/>
      <c r="AB51" s="452"/>
      <c r="AC51" s="452"/>
      <c r="AD51" s="452"/>
      <c r="AE51" s="452"/>
      <c r="AF51" s="452"/>
      <c r="AG51" s="452"/>
      <c r="AH51" s="409"/>
      <c r="AI51" s="409"/>
      <c r="AJ51" s="409"/>
      <c r="AK51" s="409"/>
      <c r="AL51" s="409"/>
      <c r="AM51" s="453">
        <f t="shared" si="0"/>
        <v>0</v>
      </c>
      <c r="AN51" s="452"/>
      <c r="AO51" s="452"/>
      <c r="AP51" s="452"/>
      <c r="AQ51" s="452"/>
      <c r="AR51" s="452"/>
      <c r="AS51" s="452"/>
      <c r="AT51" s="452"/>
      <c r="AU51" s="409"/>
      <c r="AV51" s="409"/>
      <c r="AW51" s="409"/>
      <c r="AX51" s="409"/>
      <c r="AY51" s="409"/>
      <c r="AZ51" s="453">
        <f t="shared" si="1"/>
        <v>0</v>
      </c>
      <c r="BA51" s="452"/>
      <c r="BB51" s="452"/>
      <c r="BC51" s="452"/>
      <c r="BD51" s="452"/>
      <c r="BE51" s="452"/>
      <c r="BF51" s="452"/>
      <c r="BG51" s="452"/>
      <c r="BH51" s="409"/>
      <c r="BI51" s="409"/>
      <c r="BJ51" s="409"/>
      <c r="BK51" s="409"/>
      <c r="BL51" s="409"/>
      <c r="BM51" s="453">
        <f t="shared" si="2"/>
        <v>0</v>
      </c>
      <c r="BN51" s="452"/>
      <c r="BO51" s="452"/>
      <c r="BP51" s="452"/>
      <c r="BQ51" s="452"/>
      <c r="BR51" s="452"/>
      <c r="BS51" s="452"/>
      <c r="BT51" s="452"/>
      <c r="BU51" s="409"/>
      <c r="BV51" s="409"/>
      <c r="BW51" s="409"/>
      <c r="BX51" s="409"/>
      <c r="BY51" s="409"/>
      <c r="BZ51" s="453">
        <f t="shared" si="3"/>
        <v>0</v>
      </c>
      <c r="CA51" s="454">
        <f t="shared" si="4"/>
        <v>150</v>
      </c>
      <c r="CB51" s="427"/>
      <c r="CC51" s="427">
        <v>1</v>
      </c>
      <c r="CD51" s="427">
        <v>1</v>
      </c>
      <c r="CE51" s="427">
        <v>-1</v>
      </c>
      <c r="CF51" s="427">
        <v>-1</v>
      </c>
      <c r="CG51" s="420">
        <f>IFERROR((FE51/Z51%),0)</f>
        <v>0</v>
      </c>
      <c r="CH51" s="420">
        <f>IFERROR((FK51/Z51%),0)</f>
        <v>0</v>
      </c>
      <c r="CI51" s="414"/>
      <c r="CJ51" s="422"/>
      <c r="CK51" s="422"/>
      <c r="CL51" s="422"/>
      <c r="CM51" s="422"/>
      <c r="CN51" s="423"/>
      <c r="CO51" s="423"/>
      <c r="CP51" s="423"/>
      <c r="CQ51" s="423"/>
      <c r="CR51" s="423"/>
      <c r="CS51" s="423"/>
      <c r="CT51" s="423"/>
      <c r="CU51" s="423"/>
      <c r="CV51" s="410"/>
      <c r="CW51" s="422"/>
      <c r="CX51" s="422"/>
      <c r="CY51" s="422"/>
      <c r="CZ51" s="422"/>
      <c r="DA51" s="423"/>
      <c r="DB51" s="423"/>
      <c r="DC51" s="423"/>
      <c r="DD51" s="423"/>
      <c r="DE51" s="423"/>
      <c r="DF51" s="423"/>
      <c r="DG51" s="423"/>
      <c r="DH51" s="423"/>
      <c r="DI51" s="410"/>
      <c r="DJ51" s="422"/>
      <c r="DK51" s="422"/>
      <c r="DL51" s="422"/>
      <c r="DM51" s="422"/>
      <c r="DN51" s="423"/>
      <c r="DO51" s="423"/>
      <c r="DP51" s="423"/>
      <c r="DQ51" s="423"/>
      <c r="DR51" s="423"/>
      <c r="DS51" s="423"/>
      <c r="DT51" s="423"/>
      <c r="DU51" s="423"/>
      <c r="DV51" s="410"/>
      <c r="DW51" s="422"/>
      <c r="DX51" s="422"/>
      <c r="DY51" s="422"/>
      <c r="DZ51" s="422"/>
      <c r="EA51" s="423"/>
      <c r="EB51" s="423"/>
      <c r="EC51" s="423"/>
      <c r="ED51" s="423"/>
      <c r="EE51" s="423"/>
      <c r="EF51" s="423"/>
      <c r="EG51" s="423"/>
      <c r="EH51" s="423"/>
      <c r="EI51" s="410"/>
      <c r="EJ51" s="422"/>
      <c r="EK51" s="422"/>
      <c r="EL51" s="422"/>
      <c r="EM51" s="422"/>
      <c r="EN51" s="423"/>
      <c r="EO51" s="423"/>
      <c r="EP51" s="423"/>
      <c r="EQ51" s="423"/>
      <c r="ER51" s="423"/>
      <c r="ES51" s="423"/>
      <c r="ET51" s="423"/>
      <c r="EU51" s="423"/>
      <c r="EV51" s="410"/>
      <c r="EW51" s="416"/>
      <c r="EX51" s="417"/>
      <c r="EY51" s="417"/>
      <c r="EZ51" s="417"/>
      <c r="FA51" s="417"/>
      <c r="FB51" s="417"/>
      <c r="FC51" s="417"/>
      <c r="FD51" s="417">
        <f>IFERROR(VLOOKUP(H51,CEI_072018!$A$1:$U$489,9,FALSE),0)</f>
        <v>0</v>
      </c>
      <c r="FE51" s="417">
        <f>IFERROR(VLOOKUP(H51,CEI_082018!$A$1:$U$489,9,FALSE),0)</f>
        <v>0</v>
      </c>
      <c r="FF51" s="417">
        <f>IFERROR(VLOOKUP(H51,CEI_092018!$A$1:$U$489,9,FALSE),0)</f>
        <v>0</v>
      </c>
      <c r="FG51" s="417"/>
      <c r="FH51" s="417"/>
      <c r="FI51" s="417"/>
      <c r="FJ51" s="418">
        <f>IFERROR(VLOOKUP(H51,CEI_092018!$A$1:$U$489,12,FALSE),0)</f>
        <v>0</v>
      </c>
      <c r="FK51" s="418">
        <f t="shared" si="20"/>
        <v>0</v>
      </c>
      <c r="FL51" s="418">
        <f t="shared" si="21"/>
        <v>150</v>
      </c>
      <c r="FM51" s="417"/>
      <c r="FN51" s="417"/>
      <c r="FO51" s="417"/>
      <c r="FP51" s="417"/>
      <c r="FQ51" s="417"/>
      <c r="FR51" s="417"/>
      <c r="FS51" s="417"/>
      <c r="FT51" s="417"/>
      <c r="FU51" s="417"/>
      <c r="FV51" s="417"/>
      <c r="FW51" s="417"/>
      <c r="FX51" s="417"/>
      <c r="FY51" s="418"/>
      <c r="FZ51" s="418"/>
      <c r="GA51" s="418"/>
      <c r="GB51" s="417"/>
      <c r="GC51" s="417"/>
      <c r="GD51" s="417"/>
      <c r="GE51" s="417"/>
      <c r="GF51" s="417"/>
      <c r="GG51" s="417"/>
      <c r="GH51" s="417"/>
      <c r="GI51" s="417"/>
      <c r="GJ51" s="417"/>
      <c r="GK51" s="417"/>
      <c r="GL51" s="417"/>
      <c r="GM51" s="417"/>
      <c r="GN51" s="418"/>
      <c r="GO51" s="418"/>
      <c r="GP51" s="418"/>
      <c r="GQ51" s="417"/>
      <c r="GR51" s="417"/>
      <c r="GS51" s="417"/>
      <c r="GT51" s="417"/>
      <c r="GU51" s="417"/>
      <c r="GV51" s="417"/>
      <c r="GW51" s="417"/>
      <c r="GX51" s="417"/>
      <c r="GY51" s="417"/>
      <c r="GZ51" s="417"/>
      <c r="HA51" s="417"/>
      <c r="HB51" s="417"/>
      <c r="HC51" s="418"/>
      <c r="HD51" s="418"/>
      <c r="HE51" s="418"/>
      <c r="HF51" s="417"/>
      <c r="HG51" s="417"/>
      <c r="HH51" s="417"/>
      <c r="HI51" s="417"/>
      <c r="HJ51" s="417"/>
      <c r="HK51" s="417"/>
      <c r="HL51" s="417"/>
      <c r="HM51" s="417"/>
      <c r="HN51" s="417"/>
      <c r="HO51" s="417"/>
      <c r="HP51" s="417"/>
      <c r="HQ51" s="417"/>
      <c r="HR51" s="418"/>
      <c r="HS51" s="418"/>
      <c r="HT51" s="418"/>
    </row>
    <row r="52" spans="1:228" s="387" customFormat="1" ht="12.95" customHeight="1" x14ac:dyDescent="0.2">
      <c r="A52" s="406" t="s">
        <v>55</v>
      </c>
      <c r="B52" s="407" t="s">
        <v>39</v>
      </c>
      <c r="C52" s="406" t="s">
        <v>541</v>
      </c>
      <c r="D52" s="407" t="s">
        <v>1680</v>
      </c>
      <c r="E52" s="407" t="s">
        <v>541</v>
      </c>
      <c r="F52" s="407" t="s">
        <v>1680</v>
      </c>
      <c r="G52" s="406" t="s">
        <v>60</v>
      </c>
      <c r="H52" s="408" t="s">
        <v>520</v>
      </c>
      <c r="I52" s="408"/>
      <c r="J52" s="406" t="s">
        <v>1802</v>
      </c>
      <c r="K52" s="406"/>
      <c r="L52" s="406"/>
      <c r="M52" s="406"/>
      <c r="N52" s="452">
        <v>0</v>
      </c>
      <c r="O52" s="452">
        <v>0</v>
      </c>
      <c r="P52" s="452">
        <v>0</v>
      </c>
      <c r="Q52" s="452">
        <v>0</v>
      </c>
      <c r="R52" s="452">
        <v>0</v>
      </c>
      <c r="S52" s="452">
        <v>0</v>
      </c>
      <c r="T52" s="452">
        <v>0</v>
      </c>
      <c r="U52" s="409">
        <v>0</v>
      </c>
      <c r="V52" s="409"/>
      <c r="W52" s="409"/>
      <c r="X52" s="409"/>
      <c r="Y52" s="409"/>
      <c r="Z52" s="453">
        <f t="shared" si="13"/>
        <v>0</v>
      </c>
      <c r="AA52" s="452"/>
      <c r="AB52" s="452"/>
      <c r="AC52" s="452"/>
      <c r="AD52" s="452"/>
      <c r="AE52" s="452"/>
      <c r="AF52" s="452"/>
      <c r="AG52" s="452">
        <v>500</v>
      </c>
      <c r="AH52" s="409"/>
      <c r="AI52" s="409"/>
      <c r="AJ52" s="409"/>
      <c r="AK52" s="409"/>
      <c r="AL52" s="409"/>
      <c r="AM52" s="453">
        <f t="shared" si="0"/>
        <v>500</v>
      </c>
      <c r="AN52" s="452"/>
      <c r="AO52" s="452"/>
      <c r="AP52" s="452"/>
      <c r="AQ52" s="452"/>
      <c r="AR52" s="452"/>
      <c r="AS52" s="452"/>
      <c r="AT52" s="452"/>
      <c r="AU52" s="409"/>
      <c r="AV52" s="409"/>
      <c r="AW52" s="409"/>
      <c r="AX52" s="409"/>
      <c r="AY52" s="409"/>
      <c r="AZ52" s="453">
        <f t="shared" si="1"/>
        <v>0</v>
      </c>
      <c r="BA52" s="452"/>
      <c r="BB52" s="452"/>
      <c r="BC52" s="452"/>
      <c r="BD52" s="452"/>
      <c r="BE52" s="452"/>
      <c r="BF52" s="452"/>
      <c r="BG52" s="452"/>
      <c r="BH52" s="409"/>
      <c r="BI52" s="409"/>
      <c r="BJ52" s="409"/>
      <c r="BK52" s="409"/>
      <c r="BL52" s="409"/>
      <c r="BM52" s="453">
        <f t="shared" si="2"/>
        <v>0</v>
      </c>
      <c r="BN52" s="452"/>
      <c r="BO52" s="452"/>
      <c r="BP52" s="452"/>
      <c r="BQ52" s="452"/>
      <c r="BR52" s="452"/>
      <c r="BS52" s="452"/>
      <c r="BT52" s="452"/>
      <c r="BU52" s="409"/>
      <c r="BV52" s="409"/>
      <c r="BW52" s="409"/>
      <c r="BX52" s="409"/>
      <c r="BY52" s="409"/>
      <c r="BZ52" s="453">
        <f t="shared" si="3"/>
        <v>0</v>
      </c>
      <c r="CA52" s="454">
        <f t="shared" si="4"/>
        <v>500</v>
      </c>
      <c r="CB52" s="411"/>
      <c r="CC52" s="411"/>
      <c r="CD52" s="411"/>
      <c r="CE52" s="411"/>
      <c r="CF52" s="411"/>
      <c r="CG52" s="412"/>
      <c r="CH52" s="413"/>
      <c r="CI52" s="414"/>
      <c r="CJ52" s="415"/>
      <c r="CK52" s="415"/>
      <c r="CL52" s="415"/>
      <c r="CM52" s="415"/>
      <c r="CN52" s="415"/>
      <c r="CO52" s="415"/>
      <c r="CP52" s="415"/>
      <c r="CQ52" s="415"/>
      <c r="CR52" s="415"/>
      <c r="CS52" s="415"/>
      <c r="CT52" s="415"/>
      <c r="CU52" s="415"/>
      <c r="CV52" s="410"/>
      <c r="CW52" s="415"/>
      <c r="CX52" s="415"/>
      <c r="CY52" s="415"/>
      <c r="CZ52" s="415"/>
      <c r="DA52" s="415"/>
      <c r="DB52" s="415"/>
      <c r="DC52" s="415"/>
      <c r="DD52" s="415"/>
      <c r="DE52" s="415"/>
      <c r="DF52" s="415"/>
      <c r="DG52" s="415"/>
      <c r="DH52" s="415"/>
      <c r="DI52" s="410"/>
      <c r="DJ52" s="415"/>
      <c r="DK52" s="415"/>
      <c r="DL52" s="415"/>
      <c r="DM52" s="415"/>
      <c r="DN52" s="415"/>
      <c r="DO52" s="415"/>
      <c r="DP52" s="415"/>
      <c r="DQ52" s="415"/>
      <c r="DR52" s="415"/>
      <c r="DS52" s="415"/>
      <c r="DT52" s="415"/>
      <c r="DU52" s="415"/>
      <c r="DV52" s="410"/>
      <c r="DW52" s="415"/>
      <c r="DX52" s="415"/>
      <c r="DY52" s="415"/>
      <c r="DZ52" s="415"/>
      <c r="EA52" s="415"/>
      <c r="EB52" s="415"/>
      <c r="EC52" s="415"/>
      <c r="ED52" s="415"/>
      <c r="EE52" s="415"/>
      <c r="EF52" s="415"/>
      <c r="EG52" s="415"/>
      <c r="EH52" s="415"/>
      <c r="EI52" s="410"/>
      <c r="EJ52" s="415"/>
      <c r="EK52" s="415"/>
      <c r="EL52" s="415"/>
      <c r="EM52" s="415"/>
      <c r="EN52" s="415"/>
      <c r="EO52" s="415"/>
      <c r="EP52" s="415"/>
      <c r="EQ52" s="415"/>
      <c r="ER52" s="415"/>
      <c r="ES52" s="415"/>
      <c r="ET52" s="415"/>
      <c r="EU52" s="415"/>
      <c r="EV52" s="410"/>
      <c r="EW52" s="416"/>
      <c r="EX52" s="417">
        <f>IFERROR(VLOOKUP(H52,CEI_012018!$A$1:$U$509,9,FALSE),0)</f>
        <v>0</v>
      </c>
      <c r="EY52" s="417">
        <f>IFERROR(VLOOKUP(H52,CEI_022018!$A$1:$U$509,9,FALSE),0)</f>
        <v>0</v>
      </c>
      <c r="EZ52" s="417">
        <f>IFERROR(VLOOKUP(H52,CEI_032018!$A$1:$U$509,9,FALSE),0)</f>
        <v>0</v>
      </c>
      <c r="FA52" s="417">
        <f>IFERROR(VLOOKUP(H52,CEI_042018!$A$1:$U$491,9,FALSE),0)</f>
        <v>0</v>
      </c>
      <c r="FB52" s="417">
        <f>IFERROR(VLOOKUP(H52,CEI_052018!$A$1:$U$489,9,FALSE),0)</f>
        <v>0</v>
      </c>
      <c r="FC52" s="417">
        <f>IFERROR(VLOOKUP(H52,CEI_062018!$A$1:$U$489,9,FALSE),0)</f>
        <v>0</v>
      </c>
      <c r="FD52" s="417">
        <f>IFERROR(VLOOKUP(H52,CEI_072018!$A$1:$U$489,9,FALSE),0)</f>
        <v>0</v>
      </c>
      <c r="FE52" s="417">
        <f>IFERROR(VLOOKUP(H52,CEI_082018!$A$1:$U$489,9,FALSE),0)</f>
        <v>0</v>
      </c>
      <c r="FF52" s="417">
        <f>IFERROR(VLOOKUP(H52,CEI_092018!$A$1:$U$489,9,FALSE),0)</f>
        <v>0</v>
      </c>
      <c r="FG52" s="417"/>
      <c r="FH52" s="417"/>
      <c r="FI52" s="417"/>
      <c r="FJ52" s="418">
        <f>IFERROR(VLOOKUP(H52,CEI_092018!$A$1:$U$489,12,FALSE),0)</f>
        <v>0</v>
      </c>
      <c r="FK52" s="418">
        <f t="shared" si="20"/>
        <v>0</v>
      </c>
      <c r="FL52" s="418">
        <f t="shared" si="21"/>
        <v>0</v>
      </c>
      <c r="FM52" s="417"/>
      <c r="FN52" s="417"/>
      <c r="FO52" s="417"/>
      <c r="FP52" s="417"/>
      <c r="FQ52" s="417"/>
      <c r="FR52" s="417"/>
      <c r="FS52" s="417"/>
      <c r="FT52" s="417"/>
      <c r="FU52" s="417"/>
      <c r="FV52" s="417"/>
      <c r="FW52" s="417"/>
      <c r="FX52" s="417"/>
      <c r="FY52" s="418"/>
      <c r="FZ52" s="418"/>
      <c r="GA52" s="418"/>
      <c r="GB52" s="417"/>
      <c r="GC52" s="417"/>
      <c r="GD52" s="417"/>
      <c r="GE52" s="417"/>
      <c r="GF52" s="417"/>
      <c r="GG52" s="417"/>
      <c r="GH52" s="417"/>
      <c r="GI52" s="417"/>
      <c r="GJ52" s="417"/>
      <c r="GK52" s="417"/>
      <c r="GL52" s="417"/>
      <c r="GM52" s="417"/>
      <c r="GN52" s="418"/>
      <c r="GO52" s="418"/>
      <c r="GP52" s="418"/>
      <c r="GQ52" s="417"/>
      <c r="GR52" s="417"/>
      <c r="GS52" s="417"/>
      <c r="GT52" s="417"/>
      <c r="GU52" s="417"/>
      <c r="GV52" s="417"/>
      <c r="GW52" s="417"/>
      <c r="GX52" s="417"/>
      <c r="GY52" s="417"/>
      <c r="GZ52" s="417"/>
      <c r="HA52" s="417"/>
      <c r="HB52" s="417"/>
      <c r="HC52" s="418"/>
      <c r="HD52" s="418"/>
      <c r="HE52" s="418"/>
      <c r="HF52" s="417"/>
      <c r="HG52" s="417"/>
      <c r="HH52" s="417"/>
      <c r="HI52" s="417"/>
      <c r="HJ52" s="417"/>
      <c r="HK52" s="417"/>
      <c r="HL52" s="417"/>
      <c r="HM52" s="417"/>
      <c r="HN52" s="417"/>
      <c r="HO52" s="417"/>
      <c r="HP52" s="417"/>
      <c r="HQ52" s="417"/>
      <c r="HR52" s="418"/>
      <c r="HS52" s="418"/>
      <c r="HT52" s="418"/>
    </row>
    <row r="53" spans="1:228" s="387" customFormat="1" ht="12.95" customHeight="1" x14ac:dyDescent="0.2">
      <c r="A53" s="407" t="s">
        <v>55</v>
      </c>
      <c r="B53" s="407" t="s">
        <v>43</v>
      </c>
      <c r="C53" s="406" t="s">
        <v>541</v>
      </c>
      <c r="D53" s="407" t="s">
        <v>559</v>
      </c>
      <c r="E53" s="407" t="s">
        <v>541</v>
      </c>
      <c r="F53" s="407" t="s">
        <v>559</v>
      </c>
      <c r="G53" s="406" t="s">
        <v>54</v>
      </c>
      <c r="H53" s="408" t="s">
        <v>520</v>
      </c>
      <c r="I53" s="408"/>
      <c r="J53" s="406" t="s">
        <v>989</v>
      </c>
      <c r="K53" s="406" t="s">
        <v>561</v>
      </c>
      <c r="L53" s="406" t="s">
        <v>562</v>
      </c>
      <c r="M53" s="430" t="s">
        <v>1684</v>
      </c>
      <c r="N53" s="452">
        <v>0</v>
      </c>
      <c r="O53" s="452">
        <v>0</v>
      </c>
      <c r="P53" s="452">
        <v>0</v>
      </c>
      <c r="Q53" s="452">
        <v>0</v>
      </c>
      <c r="R53" s="452">
        <v>0</v>
      </c>
      <c r="S53" s="452">
        <v>0</v>
      </c>
      <c r="T53" s="452">
        <v>0</v>
      </c>
      <c r="U53" s="409">
        <v>0</v>
      </c>
      <c r="V53" s="409"/>
      <c r="W53" s="409"/>
      <c r="X53" s="409"/>
      <c r="Y53" s="409"/>
      <c r="Z53" s="453">
        <f t="shared" si="13"/>
        <v>0</v>
      </c>
      <c r="AA53" s="452"/>
      <c r="AB53" s="452"/>
      <c r="AC53" s="452"/>
      <c r="AD53" s="452"/>
      <c r="AE53" s="452"/>
      <c r="AF53" s="452"/>
      <c r="AG53" s="452"/>
      <c r="AH53" s="409"/>
      <c r="AI53" s="409"/>
      <c r="AJ53" s="409">
        <v>82</v>
      </c>
      <c r="AK53" s="409"/>
      <c r="AL53" s="409"/>
      <c r="AM53" s="453">
        <f t="shared" si="0"/>
        <v>82</v>
      </c>
      <c r="AN53" s="452"/>
      <c r="AO53" s="452"/>
      <c r="AP53" s="452"/>
      <c r="AQ53" s="452"/>
      <c r="AR53" s="452"/>
      <c r="AS53" s="452"/>
      <c r="AT53" s="452"/>
      <c r="AU53" s="409"/>
      <c r="AV53" s="409"/>
      <c r="AW53" s="409"/>
      <c r="AX53" s="409"/>
      <c r="AY53" s="409"/>
      <c r="AZ53" s="453">
        <f t="shared" si="1"/>
        <v>0</v>
      </c>
      <c r="BA53" s="452"/>
      <c r="BB53" s="452"/>
      <c r="BC53" s="452"/>
      <c r="BD53" s="452"/>
      <c r="BE53" s="452"/>
      <c r="BF53" s="452"/>
      <c r="BG53" s="452"/>
      <c r="BH53" s="409"/>
      <c r="BI53" s="409"/>
      <c r="BJ53" s="409"/>
      <c r="BK53" s="409"/>
      <c r="BL53" s="409"/>
      <c r="BM53" s="453">
        <f t="shared" si="2"/>
        <v>0</v>
      </c>
      <c r="BN53" s="452"/>
      <c r="BO53" s="452"/>
      <c r="BP53" s="452"/>
      <c r="BQ53" s="452"/>
      <c r="BR53" s="452"/>
      <c r="BS53" s="452"/>
      <c r="BT53" s="452"/>
      <c r="BU53" s="409"/>
      <c r="BV53" s="409"/>
      <c r="BW53" s="409"/>
      <c r="BX53" s="409"/>
      <c r="BY53" s="409"/>
      <c r="BZ53" s="453">
        <f t="shared" si="3"/>
        <v>0</v>
      </c>
      <c r="CA53" s="454">
        <f t="shared" si="4"/>
        <v>82</v>
      </c>
      <c r="CB53" s="411"/>
      <c r="CC53" s="411"/>
      <c r="CD53" s="411"/>
      <c r="CE53" s="411"/>
      <c r="CF53" s="411"/>
      <c r="CG53" s="412"/>
      <c r="CH53" s="413"/>
      <c r="CI53" s="431" t="s">
        <v>71</v>
      </c>
      <c r="CJ53" s="415"/>
      <c r="CK53" s="415"/>
      <c r="CL53" s="415"/>
      <c r="CM53" s="415"/>
      <c r="CN53" s="415"/>
      <c r="CO53" s="415"/>
      <c r="CP53" s="415"/>
      <c r="CQ53" s="415"/>
      <c r="CR53" s="415"/>
      <c r="CS53" s="415">
        <v>1</v>
      </c>
      <c r="CT53" s="415"/>
      <c r="CU53" s="415"/>
      <c r="CV53" s="410">
        <f t="shared" ref="CV53:CV63" si="28">SUM(CJ53:CU53)</f>
        <v>1</v>
      </c>
      <c r="CW53" s="415"/>
      <c r="CX53" s="415"/>
      <c r="CY53" s="415"/>
      <c r="CZ53" s="415"/>
      <c r="DA53" s="415"/>
      <c r="DB53" s="415"/>
      <c r="DC53" s="415"/>
      <c r="DD53" s="415"/>
      <c r="DE53" s="415"/>
      <c r="DF53" s="415"/>
      <c r="DG53" s="415"/>
      <c r="DH53" s="415"/>
      <c r="DI53" s="410">
        <f t="shared" ref="DI53:DI63" si="29">SUM(CW53:DH53)</f>
        <v>0</v>
      </c>
      <c r="DJ53" s="415"/>
      <c r="DK53" s="415"/>
      <c r="DL53" s="415"/>
      <c r="DM53" s="415"/>
      <c r="DN53" s="415"/>
      <c r="DO53" s="415"/>
      <c r="DP53" s="415"/>
      <c r="DQ53" s="415"/>
      <c r="DR53" s="415"/>
      <c r="DS53" s="415"/>
      <c r="DT53" s="415"/>
      <c r="DU53" s="415"/>
      <c r="DV53" s="410">
        <f t="shared" ref="DV53:DV63" si="30">SUM(DJ53:DU53)</f>
        <v>0</v>
      </c>
      <c r="DW53" s="415"/>
      <c r="DX53" s="415"/>
      <c r="DY53" s="415"/>
      <c r="DZ53" s="415"/>
      <c r="EA53" s="415"/>
      <c r="EB53" s="415"/>
      <c r="EC53" s="415"/>
      <c r="ED53" s="415"/>
      <c r="EE53" s="415"/>
      <c r="EF53" s="415"/>
      <c r="EG53" s="415"/>
      <c r="EH53" s="415"/>
      <c r="EI53" s="410">
        <f t="shared" ref="EI53:EI63" si="31">SUM(DW53:EH53)</f>
        <v>0</v>
      </c>
      <c r="EJ53" s="415"/>
      <c r="EK53" s="415"/>
      <c r="EL53" s="415"/>
      <c r="EM53" s="415"/>
      <c r="EN53" s="415"/>
      <c r="EO53" s="415"/>
      <c r="EP53" s="415"/>
      <c r="EQ53" s="415"/>
      <c r="ER53" s="415"/>
      <c r="ES53" s="415"/>
      <c r="ET53" s="415"/>
      <c r="EU53" s="415"/>
      <c r="EV53" s="410">
        <f t="shared" ref="EV53:EV63" si="32">SUM(EJ53:EU53)</f>
        <v>0</v>
      </c>
      <c r="EW53" s="416">
        <f t="shared" ref="EW53:EW63" si="33">SUM(EV53,EI53,DV53,DI53,CV53)</f>
        <v>1</v>
      </c>
      <c r="EX53" s="417">
        <f>IFERROR(VLOOKUP(H53,CEI_012018!$A$1:$U$509,9,FALSE),0)</f>
        <v>0</v>
      </c>
      <c r="EY53" s="417">
        <f>IFERROR(VLOOKUP(H53,CEI_022018!$A$1:$U$509,9,FALSE),0)</f>
        <v>0</v>
      </c>
      <c r="EZ53" s="417">
        <f>IFERROR(VLOOKUP(H53,CEI_032018!$A$1:$U$509,9,FALSE),0)</f>
        <v>0</v>
      </c>
      <c r="FA53" s="417">
        <f>IFERROR(VLOOKUP(H53,CEI_042018!$A$1:$U$491,9,FALSE),0)</f>
        <v>0</v>
      </c>
      <c r="FB53" s="417">
        <f>IFERROR(VLOOKUP(H53,CEI_052018!$A$1:$U$489,9,FALSE),0)</f>
        <v>0</v>
      </c>
      <c r="FC53" s="417">
        <f>IFERROR(VLOOKUP(H53,CEI_062018!$A$1:$U$489,9,FALSE),0)</f>
        <v>0</v>
      </c>
      <c r="FD53" s="417">
        <f>IFERROR(VLOOKUP(H53,CEI_072018!$A$1:$U$489,9,FALSE),0)</f>
        <v>0</v>
      </c>
      <c r="FE53" s="417">
        <f>IFERROR(VLOOKUP(H53,CEI_082018!$A$1:$U$489,9,FALSE),0)</f>
        <v>0</v>
      </c>
      <c r="FF53" s="417">
        <f>IFERROR(VLOOKUP(H53,CEI_092018!$A$1:$U$489,9,FALSE),0)</f>
        <v>0</v>
      </c>
      <c r="FG53" s="417"/>
      <c r="FH53" s="417"/>
      <c r="FI53" s="417"/>
      <c r="FJ53" s="418">
        <f>IFERROR(VLOOKUP(H53,CEI_092018!$A$1:$U$489,12,FALSE),0)</f>
        <v>0</v>
      </c>
      <c r="FK53" s="418">
        <f t="shared" si="20"/>
        <v>0</v>
      </c>
      <c r="FL53" s="418">
        <f t="shared" si="21"/>
        <v>0</v>
      </c>
      <c r="FM53" s="417"/>
      <c r="FN53" s="417"/>
      <c r="FO53" s="417"/>
      <c r="FP53" s="417"/>
      <c r="FQ53" s="417"/>
      <c r="FR53" s="417"/>
      <c r="FS53" s="417"/>
      <c r="FT53" s="417"/>
      <c r="FU53" s="417"/>
      <c r="FV53" s="417"/>
      <c r="FW53" s="417"/>
      <c r="FX53" s="417"/>
      <c r="FY53" s="418"/>
      <c r="FZ53" s="418"/>
      <c r="GA53" s="418"/>
      <c r="GB53" s="417"/>
      <c r="GC53" s="417"/>
      <c r="GD53" s="417"/>
      <c r="GE53" s="417"/>
      <c r="GF53" s="417"/>
      <c r="GG53" s="417"/>
      <c r="GH53" s="417"/>
      <c r="GI53" s="417"/>
      <c r="GJ53" s="417"/>
      <c r="GK53" s="417"/>
      <c r="GL53" s="417"/>
      <c r="GM53" s="417"/>
      <c r="GN53" s="418"/>
      <c r="GO53" s="418"/>
      <c r="GP53" s="418"/>
      <c r="GQ53" s="417"/>
      <c r="GR53" s="417"/>
      <c r="GS53" s="417"/>
      <c r="GT53" s="417"/>
      <c r="GU53" s="417"/>
      <c r="GV53" s="417"/>
      <c r="GW53" s="417"/>
      <c r="GX53" s="417"/>
      <c r="GY53" s="417"/>
      <c r="GZ53" s="417"/>
      <c r="HA53" s="417"/>
      <c r="HB53" s="417"/>
      <c r="HC53" s="418"/>
      <c r="HD53" s="418"/>
      <c r="HE53" s="418"/>
      <c r="HF53" s="417"/>
      <c r="HG53" s="417"/>
      <c r="HH53" s="417"/>
      <c r="HI53" s="417"/>
      <c r="HJ53" s="417"/>
      <c r="HK53" s="417"/>
      <c r="HL53" s="417"/>
      <c r="HM53" s="417"/>
      <c r="HN53" s="417"/>
      <c r="HO53" s="417"/>
      <c r="HP53" s="417"/>
      <c r="HQ53" s="417"/>
      <c r="HR53" s="418"/>
      <c r="HS53" s="418"/>
      <c r="HT53" s="418"/>
    </row>
    <row r="54" spans="1:228" s="387" customFormat="1" ht="12.95" customHeight="1" x14ac:dyDescent="0.2">
      <c r="A54" s="407" t="s">
        <v>55</v>
      </c>
      <c r="B54" s="407" t="s">
        <v>43</v>
      </c>
      <c r="C54" s="406" t="s">
        <v>541</v>
      </c>
      <c r="D54" s="407" t="s">
        <v>559</v>
      </c>
      <c r="E54" s="407" t="s">
        <v>541</v>
      </c>
      <c r="F54" s="407" t="s">
        <v>559</v>
      </c>
      <c r="G54" s="406" t="s">
        <v>54</v>
      </c>
      <c r="H54" s="408" t="s">
        <v>520</v>
      </c>
      <c r="I54" s="408"/>
      <c r="J54" s="406" t="s">
        <v>842</v>
      </c>
      <c r="K54" s="406" t="s">
        <v>560</v>
      </c>
      <c r="L54" s="406" t="s">
        <v>841</v>
      </c>
      <c r="M54" s="406"/>
      <c r="N54" s="452">
        <v>0</v>
      </c>
      <c r="O54" s="452">
        <v>0</v>
      </c>
      <c r="P54" s="452">
        <v>0</v>
      </c>
      <c r="Q54" s="452">
        <v>0</v>
      </c>
      <c r="R54" s="452">
        <v>0</v>
      </c>
      <c r="S54" s="452">
        <v>0</v>
      </c>
      <c r="T54" s="452">
        <v>0</v>
      </c>
      <c r="U54" s="409">
        <v>0</v>
      </c>
      <c r="V54" s="409"/>
      <c r="W54" s="409"/>
      <c r="X54" s="409"/>
      <c r="Y54" s="409"/>
      <c r="Z54" s="453">
        <f t="shared" si="13"/>
        <v>0</v>
      </c>
      <c r="AA54" s="452">
        <v>1364</v>
      </c>
      <c r="AB54" s="452"/>
      <c r="AC54" s="452"/>
      <c r="AD54" s="452"/>
      <c r="AE54" s="452"/>
      <c r="AF54" s="452"/>
      <c r="AG54" s="452"/>
      <c r="AH54" s="409"/>
      <c r="AI54" s="409"/>
      <c r="AJ54" s="409"/>
      <c r="AK54" s="409"/>
      <c r="AL54" s="409"/>
      <c r="AM54" s="453">
        <f t="shared" si="0"/>
        <v>1364</v>
      </c>
      <c r="AN54" s="452">
        <v>1364</v>
      </c>
      <c r="AO54" s="452"/>
      <c r="AP54" s="452"/>
      <c r="AQ54" s="452"/>
      <c r="AR54" s="452"/>
      <c r="AS54" s="452"/>
      <c r="AT54" s="452"/>
      <c r="AU54" s="409"/>
      <c r="AV54" s="409"/>
      <c r="AW54" s="409"/>
      <c r="AX54" s="409"/>
      <c r="AY54" s="409"/>
      <c r="AZ54" s="453">
        <f t="shared" si="1"/>
        <v>1364</v>
      </c>
      <c r="BA54" s="452"/>
      <c r="BB54" s="452"/>
      <c r="BC54" s="452"/>
      <c r="BD54" s="452"/>
      <c r="BE54" s="452"/>
      <c r="BF54" s="452"/>
      <c r="BG54" s="452"/>
      <c r="BH54" s="409"/>
      <c r="BI54" s="409"/>
      <c r="BJ54" s="409"/>
      <c r="BK54" s="409"/>
      <c r="BL54" s="409"/>
      <c r="BM54" s="453">
        <f t="shared" si="2"/>
        <v>0</v>
      </c>
      <c r="BN54" s="452"/>
      <c r="BO54" s="452"/>
      <c r="BP54" s="452"/>
      <c r="BQ54" s="452"/>
      <c r="BR54" s="452"/>
      <c r="BS54" s="452"/>
      <c r="BT54" s="452"/>
      <c r="BU54" s="409"/>
      <c r="BV54" s="409"/>
      <c r="BW54" s="409"/>
      <c r="BX54" s="409"/>
      <c r="BY54" s="409"/>
      <c r="BZ54" s="453">
        <f t="shared" si="3"/>
        <v>0</v>
      </c>
      <c r="CA54" s="454">
        <f t="shared" si="4"/>
        <v>2728</v>
      </c>
      <c r="CB54" s="411"/>
      <c r="CC54" s="411"/>
      <c r="CD54" s="411"/>
      <c r="CE54" s="411"/>
      <c r="CF54" s="411"/>
      <c r="CG54" s="412"/>
      <c r="CH54" s="413"/>
      <c r="CI54" s="431" t="s">
        <v>1091</v>
      </c>
      <c r="CJ54" s="415"/>
      <c r="CK54" s="415"/>
      <c r="CL54" s="415"/>
      <c r="CM54" s="415"/>
      <c r="CN54" s="415"/>
      <c r="CO54" s="415"/>
      <c r="CP54" s="415"/>
      <c r="CQ54" s="415"/>
      <c r="CR54" s="415"/>
      <c r="CS54" s="415"/>
      <c r="CT54" s="415"/>
      <c r="CU54" s="415"/>
      <c r="CV54" s="410">
        <f t="shared" si="28"/>
        <v>0</v>
      </c>
      <c r="CW54" s="415">
        <v>1</v>
      </c>
      <c r="CX54" s="415"/>
      <c r="CY54" s="415"/>
      <c r="CZ54" s="415"/>
      <c r="DA54" s="415"/>
      <c r="DB54" s="415"/>
      <c r="DC54" s="415"/>
      <c r="DD54" s="415"/>
      <c r="DE54" s="415"/>
      <c r="DF54" s="415"/>
      <c r="DG54" s="415"/>
      <c r="DH54" s="415"/>
      <c r="DI54" s="410">
        <f t="shared" si="29"/>
        <v>1</v>
      </c>
      <c r="DJ54" s="415">
        <v>1</v>
      </c>
      <c r="DK54" s="415"/>
      <c r="DL54" s="415"/>
      <c r="DM54" s="415"/>
      <c r="DN54" s="415"/>
      <c r="DO54" s="415"/>
      <c r="DP54" s="415"/>
      <c r="DQ54" s="415"/>
      <c r="DR54" s="415"/>
      <c r="DS54" s="415"/>
      <c r="DT54" s="415"/>
      <c r="DU54" s="415"/>
      <c r="DV54" s="410">
        <f t="shared" si="30"/>
        <v>1</v>
      </c>
      <c r="DW54" s="415"/>
      <c r="DX54" s="415"/>
      <c r="DY54" s="415"/>
      <c r="DZ54" s="415"/>
      <c r="EA54" s="415"/>
      <c r="EB54" s="415"/>
      <c r="EC54" s="415"/>
      <c r="ED54" s="415"/>
      <c r="EE54" s="415"/>
      <c r="EF54" s="415"/>
      <c r="EG54" s="415"/>
      <c r="EH54" s="415"/>
      <c r="EI54" s="410">
        <f t="shared" si="31"/>
        <v>0</v>
      </c>
      <c r="EJ54" s="415"/>
      <c r="EK54" s="415"/>
      <c r="EL54" s="415"/>
      <c r="EM54" s="415"/>
      <c r="EN54" s="415"/>
      <c r="EO54" s="415"/>
      <c r="EP54" s="415"/>
      <c r="EQ54" s="415"/>
      <c r="ER54" s="415"/>
      <c r="ES54" s="415"/>
      <c r="ET54" s="415"/>
      <c r="EU54" s="415"/>
      <c r="EV54" s="410">
        <f t="shared" si="32"/>
        <v>0</v>
      </c>
      <c r="EW54" s="416">
        <f t="shared" si="33"/>
        <v>2</v>
      </c>
      <c r="EX54" s="417">
        <f>IFERROR(VLOOKUP(H54,CEI_012018!$A$1:$U$509,9,FALSE),0)</f>
        <v>0</v>
      </c>
      <c r="EY54" s="417">
        <f>IFERROR(VLOOKUP(H54,CEI_022018!$A$1:$U$509,9,FALSE),0)</f>
        <v>0</v>
      </c>
      <c r="EZ54" s="417">
        <f>IFERROR(VLOOKUP(H54,CEI_032018!$A$1:$U$509,9,FALSE),0)</f>
        <v>0</v>
      </c>
      <c r="FA54" s="417">
        <f>IFERROR(VLOOKUP(H54,CEI_042018!$A$1:$U$491,9,FALSE),0)</f>
        <v>0</v>
      </c>
      <c r="FB54" s="417">
        <f>IFERROR(VLOOKUP(H54,CEI_052018!$A$1:$U$489,9,FALSE),0)</f>
        <v>0</v>
      </c>
      <c r="FC54" s="417">
        <f>IFERROR(VLOOKUP(H54,CEI_062018!$A$1:$U$489,9,FALSE),0)</f>
        <v>0</v>
      </c>
      <c r="FD54" s="417">
        <f>IFERROR(VLOOKUP(H54,CEI_072018!$A$1:$U$489,9,FALSE),0)</f>
        <v>0</v>
      </c>
      <c r="FE54" s="417">
        <f>IFERROR(VLOOKUP(H54,CEI_082018!$A$1:$U$489,9,FALSE),0)</f>
        <v>0</v>
      </c>
      <c r="FF54" s="417">
        <f>IFERROR(VLOOKUP(H54,CEI_092018!$A$1:$U$489,9,FALSE),0)</f>
        <v>0</v>
      </c>
      <c r="FG54" s="417"/>
      <c r="FH54" s="417"/>
      <c r="FI54" s="417"/>
      <c r="FJ54" s="418">
        <f>IFERROR(VLOOKUP(H54,CEI_092018!$A$1:$U$489,12,FALSE),0)</f>
        <v>0</v>
      </c>
      <c r="FK54" s="418">
        <f t="shared" si="20"/>
        <v>0</v>
      </c>
      <c r="FL54" s="418">
        <f t="shared" si="21"/>
        <v>0</v>
      </c>
      <c r="FM54" s="417"/>
      <c r="FN54" s="417"/>
      <c r="FO54" s="417"/>
      <c r="FP54" s="417"/>
      <c r="FQ54" s="417"/>
      <c r="FR54" s="417"/>
      <c r="FS54" s="417"/>
      <c r="FT54" s="417"/>
      <c r="FU54" s="417"/>
      <c r="FV54" s="417"/>
      <c r="FW54" s="417"/>
      <c r="FX54" s="417"/>
      <c r="FY54" s="418"/>
      <c r="FZ54" s="418"/>
      <c r="GA54" s="418"/>
      <c r="GB54" s="417"/>
      <c r="GC54" s="417"/>
      <c r="GD54" s="417"/>
      <c r="GE54" s="417"/>
      <c r="GF54" s="417"/>
      <c r="GG54" s="417"/>
      <c r="GH54" s="417"/>
      <c r="GI54" s="417"/>
      <c r="GJ54" s="417"/>
      <c r="GK54" s="417"/>
      <c r="GL54" s="417"/>
      <c r="GM54" s="417"/>
      <c r="GN54" s="418"/>
      <c r="GO54" s="418"/>
      <c r="GP54" s="418"/>
      <c r="GQ54" s="417"/>
      <c r="GR54" s="417"/>
      <c r="GS54" s="417"/>
      <c r="GT54" s="417"/>
      <c r="GU54" s="417"/>
      <c r="GV54" s="417"/>
      <c r="GW54" s="417"/>
      <c r="GX54" s="417"/>
      <c r="GY54" s="417"/>
      <c r="GZ54" s="417"/>
      <c r="HA54" s="417"/>
      <c r="HB54" s="417"/>
      <c r="HC54" s="418"/>
      <c r="HD54" s="418"/>
      <c r="HE54" s="418"/>
      <c r="HF54" s="417"/>
      <c r="HG54" s="417"/>
      <c r="HH54" s="417"/>
      <c r="HI54" s="417"/>
      <c r="HJ54" s="417"/>
      <c r="HK54" s="417"/>
      <c r="HL54" s="417"/>
      <c r="HM54" s="417"/>
      <c r="HN54" s="417"/>
      <c r="HO54" s="417"/>
      <c r="HP54" s="417"/>
      <c r="HQ54" s="417"/>
      <c r="HR54" s="418"/>
      <c r="HS54" s="418"/>
      <c r="HT54" s="418"/>
    </row>
    <row r="55" spans="1:228" s="387" customFormat="1" ht="12.95" customHeight="1" x14ac:dyDescent="0.2">
      <c r="A55" s="406" t="s">
        <v>55</v>
      </c>
      <c r="B55" s="407" t="s">
        <v>39</v>
      </c>
      <c r="C55" s="406" t="s">
        <v>172</v>
      </c>
      <c r="D55" s="407" t="s">
        <v>168</v>
      </c>
      <c r="E55" s="407" t="s">
        <v>172</v>
      </c>
      <c r="F55" s="407" t="s">
        <v>168</v>
      </c>
      <c r="G55" s="406" t="s">
        <v>54</v>
      </c>
      <c r="H55" s="408" t="s">
        <v>1844</v>
      </c>
      <c r="I55" s="408" t="s">
        <v>1845</v>
      </c>
      <c r="J55" s="406" t="s">
        <v>169</v>
      </c>
      <c r="K55" s="406" t="s">
        <v>170</v>
      </c>
      <c r="L55" s="406" t="s">
        <v>171</v>
      </c>
      <c r="M55" s="406"/>
      <c r="N55" s="452">
        <v>0</v>
      </c>
      <c r="O55" s="452">
        <v>0</v>
      </c>
      <c r="P55" s="452">
        <v>0</v>
      </c>
      <c r="Q55" s="452">
        <v>0</v>
      </c>
      <c r="R55" s="452">
        <v>0</v>
      </c>
      <c r="S55" s="452">
        <v>0</v>
      </c>
      <c r="T55" s="452">
        <v>0</v>
      </c>
      <c r="U55" s="409">
        <v>0</v>
      </c>
      <c r="V55" s="409"/>
      <c r="W55" s="409"/>
      <c r="X55" s="409"/>
      <c r="Y55" s="409">
        <v>114</v>
      </c>
      <c r="Z55" s="453">
        <f t="shared" si="13"/>
        <v>114</v>
      </c>
      <c r="AA55" s="452"/>
      <c r="AB55" s="452"/>
      <c r="AC55" s="452"/>
      <c r="AD55" s="452"/>
      <c r="AE55" s="452"/>
      <c r="AF55" s="452"/>
      <c r="AG55" s="452"/>
      <c r="AH55" s="409"/>
      <c r="AI55" s="409"/>
      <c r="AJ55" s="409"/>
      <c r="AK55" s="409"/>
      <c r="AL55" s="409"/>
      <c r="AM55" s="453">
        <f t="shared" si="0"/>
        <v>0</v>
      </c>
      <c r="AN55" s="452"/>
      <c r="AO55" s="452"/>
      <c r="AP55" s="452"/>
      <c r="AQ55" s="452"/>
      <c r="AR55" s="452"/>
      <c r="AS55" s="452"/>
      <c r="AT55" s="452"/>
      <c r="AU55" s="409"/>
      <c r="AV55" s="409"/>
      <c r="AW55" s="409"/>
      <c r="AX55" s="409"/>
      <c r="AY55" s="409"/>
      <c r="AZ55" s="453">
        <f t="shared" si="1"/>
        <v>0</v>
      </c>
      <c r="BA55" s="452"/>
      <c r="BB55" s="452"/>
      <c r="BC55" s="452"/>
      <c r="BD55" s="452"/>
      <c r="BE55" s="452"/>
      <c r="BF55" s="452"/>
      <c r="BG55" s="452"/>
      <c r="BH55" s="409"/>
      <c r="BI55" s="409"/>
      <c r="BJ55" s="409"/>
      <c r="BK55" s="409"/>
      <c r="BL55" s="409"/>
      <c r="BM55" s="453">
        <f t="shared" si="2"/>
        <v>0</v>
      </c>
      <c r="BN55" s="452"/>
      <c r="BO55" s="452"/>
      <c r="BP55" s="452"/>
      <c r="BQ55" s="452"/>
      <c r="BR55" s="452"/>
      <c r="BS55" s="452"/>
      <c r="BT55" s="452"/>
      <c r="BU55" s="409"/>
      <c r="BV55" s="409"/>
      <c r="BW55" s="409"/>
      <c r="BX55" s="409"/>
      <c r="BY55" s="409"/>
      <c r="BZ55" s="453">
        <f t="shared" si="3"/>
        <v>0</v>
      </c>
      <c r="CA55" s="454">
        <f t="shared" si="4"/>
        <v>114</v>
      </c>
      <c r="CB55" s="419"/>
      <c r="CC55" s="419">
        <v>1</v>
      </c>
      <c r="CD55" s="419">
        <v>0</v>
      </c>
      <c r="CE55" s="419">
        <v>-1</v>
      </c>
      <c r="CF55" s="419">
        <v>-1</v>
      </c>
      <c r="CG55" s="420">
        <f>IFERROR((FE55/Z55%),0)</f>
        <v>0</v>
      </c>
      <c r="CH55" s="421">
        <f>IFERROR((FK55/Z55%),0)</f>
        <v>0</v>
      </c>
      <c r="CI55" s="414" t="s">
        <v>71</v>
      </c>
      <c r="CJ55" s="415"/>
      <c r="CK55" s="415"/>
      <c r="CL55" s="415"/>
      <c r="CM55" s="415"/>
      <c r="CN55" s="415"/>
      <c r="CO55" s="415"/>
      <c r="CP55" s="415">
        <v>4</v>
      </c>
      <c r="CQ55" s="415"/>
      <c r="CR55" s="415"/>
      <c r="CS55" s="415"/>
      <c r="CT55" s="415"/>
      <c r="CU55" s="415"/>
      <c r="CV55" s="410">
        <f t="shared" si="28"/>
        <v>4</v>
      </c>
      <c r="CW55" s="415"/>
      <c r="CX55" s="415"/>
      <c r="CY55" s="415"/>
      <c r="CZ55" s="415"/>
      <c r="DA55" s="415"/>
      <c r="DB55" s="415"/>
      <c r="DC55" s="415"/>
      <c r="DD55" s="415"/>
      <c r="DE55" s="415"/>
      <c r="DF55" s="415"/>
      <c r="DG55" s="415"/>
      <c r="DH55" s="415"/>
      <c r="DI55" s="410">
        <f t="shared" si="29"/>
        <v>0</v>
      </c>
      <c r="DJ55" s="415"/>
      <c r="DK55" s="415"/>
      <c r="DL55" s="415"/>
      <c r="DM55" s="415"/>
      <c r="DN55" s="415"/>
      <c r="DO55" s="415"/>
      <c r="DP55" s="415"/>
      <c r="DQ55" s="415"/>
      <c r="DR55" s="415"/>
      <c r="DS55" s="415"/>
      <c r="DT55" s="415"/>
      <c r="DU55" s="415"/>
      <c r="DV55" s="410">
        <f t="shared" si="30"/>
        <v>0</v>
      </c>
      <c r="DW55" s="415"/>
      <c r="DX55" s="415"/>
      <c r="DY55" s="415"/>
      <c r="DZ55" s="415"/>
      <c r="EA55" s="415"/>
      <c r="EB55" s="415"/>
      <c r="EC55" s="415"/>
      <c r="ED55" s="415"/>
      <c r="EE55" s="415"/>
      <c r="EF55" s="415"/>
      <c r="EG55" s="415"/>
      <c r="EH55" s="415"/>
      <c r="EI55" s="410">
        <f t="shared" si="31"/>
        <v>0</v>
      </c>
      <c r="EJ55" s="415"/>
      <c r="EK55" s="415"/>
      <c r="EL55" s="415"/>
      <c r="EM55" s="415"/>
      <c r="EN55" s="415"/>
      <c r="EO55" s="415"/>
      <c r="EP55" s="415"/>
      <c r="EQ55" s="415"/>
      <c r="ER55" s="415"/>
      <c r="ES55" s="415"/>
      <c r="ET55" s="415"/>
      <c r="EU55" s="415"/>
      <c r="EV55" s="410">
        <f t="shared" si="32"/>
        <v>0</v>
      </c>
      <c r="EW55" s="416">
        <f t="shared" si="33"/>
        <v>4</v>
      </c>
      <c r="EX55" s="417">
        <f>IFERROR(VLOOKUP(H55,CEI_012018!$A$1:$U$509,9,FALSE),0)</f>
        <v>0</v>
      </c>
      <c r="EY55" s="417">
        <f>IFERROR(VLOOKUP(H55,CEI_022018!$A$1:$U$509,9,FALSE),0)</f>
        <v>0</v>
      </c>
      <c r="EZ55" s="417">
        <f>IFERROR(VLOOKUP(H55,CEI_032018!$A$1:$U$509,9,FALSE),0)</f>
        <v>0</v>
      </c>
      <c r="FA55" s="417">
        <f>IFERROR(VLOOKUP(H55,CEI_042018!$A$1:$U$491,9,FALSE),0)</f>
        <v>0</v>
      </c>
      <c r="FB55" s="417">
        <f>IFERROR(VLOOKUP(H55,CEI_052018!$A$1:$U$489,9,FALSE),0)</f>
        <v>0</v>
      </c>
      <c r="FC55" s="417">
        <f>IFERROR(VLOOKUP(H55,CEI_062018!$A$1:$U$489,9,FALSE),0)</f>
        <v>0</v>
      </c>
      <c r="FD55" s="417">
        <f>IFERROR(VLOOKUP(H55,CEI_072018!$A$1:$U$489,9,FALSE),0)</f>
        <v>0</v>
      </c>
      <c r="FE55" s="417">
        <f>IFERROR(VLOOKUP(H55,CEI_082018!$A$1:$U$489,9,FALSE),0)</f>
        <v>0</v>
      </c>
      <c r="FF55" s="417">
        <f>IFERROR(VLOOKUP(H55,CEI_092018!$A$1:$U$489,9,FALSE),0)</f>
        <v>0</v>
      </c>
      <c r="FG55" s="417"/>
      <c r="FH55" s="417"/>
      <c r="FI55" s="417"/>
      <c r="FJ55" s="418">
        <f>IFERROR(VLOOKUP(H55,CEI_092018!$A$1:$U$489,12,FALSE),0)</f>
        <v>0</v>
      </c>
      <c r="FK55" s="418">
        <f t="shared" si="20"/>
        <v>0</v>
      </c>
      <c r="FL55" s="418">
        <f t="shared" si="21"/>
        <v>114</v>
      </c>
      <c r="FM55" s="417"/>
      <c r="FN55" s="417"/>
      <c r="FO55" s="417"/>
      <c r="FP55" s="417"/>
      <c r="FQ55" s="417"/>
      <c r="FR55" s="417"/>
      <c r="FS55" s="417"/>
      <c r="FT55" s="417"/>
      <c r="FU55" s="417"/>
      <c r="FV55" s="417"/>
      <c r="FW55" s="417"/>
      <c r="FX55" s="417"/>
      <c r="FY55" s="418"/>
      <c r="FZ55" s="418"/>
      <c r="GA55" s="418"/>
      <c r="GB55" s="417"/>
      <c r="GC55" s="417"/>
      <c r="GD55" s="417"/>
      <c r="GE55" s="417"/>
      <c r="GF55" s="417"/>
      <c r="GG55" s="417"/>
      <c r="GH55" s="417"/>
      <c r="GI55" s="417"/>
      <c r="GJ55" s="417"/>
      <c r="GK55" s="417"/>
      <c r="GL55" s="417"/>
      <c r="GM55" s="417"/>
      <c r="GN55" s="418"/>
      <c r="GO55" s="418"/>
      <c r="GP55" s="418"/>
      <c r="GQ55" s="417"/>
      <c r="GR55" s="417"/>
      <c r="GS55" s="417"/>
      <c r="GT55" s="417"/>
      <c r="GU55" s="417"/>
      <c r="GV55" s="417"/>
      <c r="GW55" s="417"/>
      <c r="GX55" s="417"/>
      <c r="GY55" s="417"/>
      <c r="GZ55" s="417"/>
      <c r="HA55" s="417"/>
      <c r="HB55" s="417"/>
      <c r="HC55" s="418"/>
      <c r="HD55" s="418"/>
      <c r="HE55" s="418"/>
      <c r="HF55" s="417"/>
      <c r="HG55" s="417"/>
      <c r="HH55" s="417"/>
      <c r="HI55" s="417"/>
      <c r="HJ55" s="417"/>
      <c r="HK55" s="417"/>
      <c r="HL55" s="417"/>
      <c r="HM55" s="417"/>
      <c r="HN55" s="417"/>
      <c r="HO55" s="417"/>
      <c r="HP55" s="417"/>
      <c r="HQ55" s="417"/>
      <c r="HR55" s="418"/>
      <c r="HS55" s="418"/>
      <c r="HT55" s="418"/>
    </row>
    <row r="56" spans="1:228" s="387" customFormat="1" ht="12.95" customHeight="1" x14ac:dyDescent="0.2">
      <c r="A56" s="406" t="s">
        <v>55</v>
      </c>
      <c r="B56" s="407" t="s">
        <v>39</v>
      </c>
      <c r="C56" s="406" t="s">
        <v>172</v>
      </c>
      <c r="D56" s="407" t="s">
        <v>168</v>
      </c>
      <c r="E56" s="407" t="s">
        <v>172</v>
      </c>
      <c r="F56" s="407" t="s">
        <v>168</v>
      </c>
      <c r="G56" s="406" t="s">
        <v>54</v>
      </c>
      <c r="H56" s="408" t="s">
        <v>520</v>
      </c>
      <c r="I56" s="408"/>
      <c r="J56" s="406" t="s">
        <v>548</v>
      </c>
      <c r="K56" s="406" t="s">
        <v>199</v>
      </c>
      <c r="L56" s="406" t="s">
        <v>200</v>
      </c>
      <c r="M56" s="406"/>
      <c r="N56" s="452">
        <v>0</v>
      </c>
      <c r="O56" s="452">
        <v>0</v>
      </c>
      <c r="P56" s="452">
        <v>0</v>
      </c>
      <c r="Q56" s="452">
        <v>0</v>
      </c>
      <c r="R56" s="452">
        <v>0</v>
      </c>
      <c r="S56" s="452">
        <v>0</v>
      </c>
      <c r="T56" s="452">
        <v>0</v>
      </c>
      <c r="U56" s="409">
        <v>0</v>
      </c>
      <c r="V56" s="409"/>
      <c r="W56" s="409"/>
      <c r="X56" s="409"/>
      <c r="Y56" s="409"/>
      <c r="Z56" s="453">
        <f t="shared" si="13"/>
        <v>0</v>
      </c>
      <c r="AA56" s="452"/>
      <c r="AB56" s="452"/>
      <c r="AC56" s="452"/>
      <c r="AD56" s="452"/>
      <c r="AE56" s="452"/>
      <c r="AF56" s="452"/>
      <c r="AG56" s="452"/>
      <c r="AH56" s="409"/>
      <c r="AI56" s="409"/>
      <c r="AJ56" s="409"/>
      <c r="AK56" s="409"/>
      <c r="AL56" s="409"/>
      <c r="AM56" s="453">
        <f t="shared" si="0"/>
        <v>0</v>
      </c>
      <c r="AN56" s="452"/>
      <c r="AO56" s="452">
        <v>10</v>
      </c>
      <c r="AP56" s="452">
        <v>15</v>
      </c>
      <c r="AQ56" s="452">
        <v>20</v>
      </c>
      <c r="AR56" s="452">
        <v>25</v>
      </c>
      <c r="AS56" s="452">
        <v>20</v>
      </c>
      <c r="AT56" s="452">
        <v>15</v>
      </c>
      <c r="AU56" s="409"/>
      <c r="AV56" s="409"/>
      <c r="AW56" s="409"/>
      <c r="AX56" s="409"/>
      <c r="AY56" s="409"/>
      <c r="AZ56" s="453">
        <f t="shared" si="1"/>
        <v>105</v>
      </c>
      <c r="BA56" s="452"/>
      <c r="BB56" s="452"/>
      <c r="BC56" s="452"/>
      <c r="BD56" s="452">
        <f>200-150</f>
        <v>50</v>
      </c>
      <c r="BE56" s="452">
        <v>215</v>
      </c>
      <c r="BF56" s="452">
        <v>220</v>
      </c>
      <c r="BG56" s="452">
        <v>240</v>
      </c>
      <c r="BH56" s="409">
        <v>285</v>
      </c>
      <c r="BI56" s="409">
        <v>265</v>
      </c>
      <c r="BJ56" s="409">
        <v>250</v>
      </c>
      <c r="BK56" s="409">
        <v>220</v>
      </c>
      <c r="BL56" s="409">
        <v>205</v>
      </c>
      <c r="BM56" s="453">
        <f t="shared" si="2"/>
        <v>1950</v>
      </c>
      <c r="BN56" s="452">
        <v>200</v>
      </c>
      <c r="BO56" s="452">
        <v>190</v>
      </c>
      <c r="BP56" s="452">
        <v>175</v>
      </c>
      <c r="BQ56" s="452">
        <v>155</v>
      </c>
      <c r="BR56" s="452">
        <v>135</v>
      </c>
      <c r="BS56" s="452">
        <v>120</v>
      </c>
      <c r="BT56" s="452"/>
      <c r="BU56" s="409"/>
      <c r="BV56" s="409"/>
      <c r="BW56" s="409"/>
      <c r="BX56" s="409"/>
      <c r="BY56" s="409"/>
      <c r="BZ56" s="453">
        <f t="shared" si="3"/>
        <v>975</v>
      </c>
      <c r="CA56" s="454">
        <f t="shared" si="4"/>
        <v>3030</v>
      </c>
      <c r="CB56" s="411"/>
      <c r="CC56" s="411"/>
      <c r="CD56" s="411"/>
      <c r="CE56" s="411"/>
      <c r="CF56" s="411"/>
      <c r="CG56" s="412"/>
      <c r="CH56" s="413"/>
      <c r="CI56" s="414" t="s">
        <v>70</v>
      </c>
      <c r="CJ56" s="422">
        <v>0</v>
      </c>
      <c r="CK56" s="422">
        <v>0</v>
      </c>
      <c r="CL56" s="422">
        <v>0</v>
      </c>
      <c r="CM56" s="422">
        <v>0</v>
      </c>
      <c r="CN56" s="423">
        <v>0</v>
      </c>
      <c r="CO56" s="423">
        <v>0</v>
      </c>
      <c r="CP56" s="423">
        <v>0</v>
      </c>
      <c r="CQ56" s="423">
        <v>0</v>
      </c>
      <c r="CR56" s="423">
        <v>0</v>
      </c>
      <c r="CS56" s="423">
        <v>0</v>
      </c>
      <c r="CT56" s="423">
        <v>0</v>
      </c>
      <c r="CU56" s="423">
        <v>0</v>
      </c>
      <c r="CV56" s="410">
        <f t="shared" si="28"/>
        <v>0</v>
      </c>
      <c r="CW56" s="422">
        <v>0</v>
      </c>
      <c r="CX56" s="422">
        <v>0</v>
      </c>
      <c r="CY56" s="422">
        <v>0</v>
      </c>
      <c r="CZ56" s="422">
        <v>0</v>
      </c>
      <c r="DA56" s="423">
        <v>0</v>
      </c>
      <c r="DB56" s="423">
        <v>0</v>
      </c>
      <c r="DC56" s="423">
        <v>0</v>
      </c>
      <c r="DD56" s="423">
        <v>0</v>
      </c>
      <c r="DE56" s="423">
        <v>0</v>
      </c>
      <c r="DF56" s="423">
        <v>0</v>
      </c>
      <c r="DG56" s="423">
        <v>0</v>
      </c>
      <c r="DH56" s="423">
        <v>0</v>
      </c>
      <c r="DI56" s="410">
        <f t="shared" si="29"/>
        <v>0</v>
      </c>
      <c r="DJ56" s="422">
        <v>0</v>
      </c>
      <c r="DK56" s="422">
        <v>1.1396979208444053E-3</v>
      </c>
      <c r="DL56" s="422">
        <v>1.709546881266608E-3</v>
      </c>
      <c r="DM56" s="422">
        <v>2.2793958416888107E-3</v>
      </c>
      <c r="DN56" s="423">
        <v>2.8492448021110134E-3</v>
      </c>
      <c r="DO56" s="423">
        <v>2.2793958416888107E-3</v>
      </c>
      <c r="DP56" s="423">
        <v>1.709546881266608E-3</v>
      </c>
      <c r="DQ56" s="423">
        <v>0</v>
      </c>
      <c r="DR56" s="423">
        <v>0</v>
      </c>
      <c r="DS56" s="423">
        <v>0</v>
      </c>
      <c r="DT56" s="423">
        <v>0</v>
      </c>
      <c r="DU56" s="423">
        <v>0</v>
      </c>
      <c r="DV56" s="410">
        <f t="shared" si="30"/>
        <v>1.1966828168866257E-2</v>
      </c>
      <c r="DW56" s="422">
        <v>0</v>
      </c>
      <c r="DX56" s="422">
        <v>0</v>
      </c>
      <c r="DY56" s="422">
        <v>0</v>
      </c>
      <c r="DZ56" s="422">
        <v>2.3805799902253386E-2</v>
      </c>
      <c r="EA56" s="423">
        <v>2.5591234894922387E-2</v>
      </c>
      <c r="EB56" s="423">
        <v>2.6186379892478722E-2</v>
      </c>
      <c r="EC56" s="423">
        <v>2.8566959882704062E-2</v>
      </c>
      <c r="ED56" s="423">
        <v>3.3923264860711073E-2</v>
      </c>
      <c r="EE56" s="423">
        <v>3.1542684870485733E-2</v>
      </c>
      <c r="EF56" s="423">
        <v>2.9757249877816732E-2</v>
      </c>
      <c r="EG56" s="423">
        <v>2.6186379892478722E-2</v>
      </c>
      <c r="EH56" s="423">
        <v>2.4400944899809721E-2</v>
      </c>
      <c r="EI56" s="410">
        <f t="shared" si="31"/>
        <v>0.24996089897366053</v>
      </c>
      <c r="EJ56" s="422">
        <v>4.1605991262741837E-2</v>
      </c>
      <c r="EK56" s="422">
        <v>3.9525691699604744E-2</v>
      </c>
      <c r="EL56" s="422">
        <v>3.6405242354899107E-2</v>
      </c>
      <c r="EM56" s="422">
        <v>3.2244643228624921E-2</v>
      </c>
      <c r="EN56" s="423">
        <v>2.8084044102350738E-2</v>
      </c>
      <c r="EO56" s="423">
        <v>2.4963594757645102E-2</v>
      </c>
      <c r="EP56" s="423">
        <v>0</v>
      </c>
      <c r="EQ56" s="423">
        <v>0</v>
      </c>
      <c r="ER56" s="423">
        <v>0</v>
      </c>
      <c r="ES56" s="423">
        <v>0</v>
      </c>
      <c r="ET56" s="423">
        <v>0</v>
      </c>
      <c r="EU56" s="423">
        <v>0</v>
      </c>
      <c r="EV56" s="410">
        <f t="shared" si="32"/>
        <v>0.20282920740586644</v>
      </c>
      <c r="EW56" s="416">
        <f t="shared" si="33"/>
        <v>0.46475693454839323</v>
      </c>
      <c r="EX56" s="417">
        <f>IFERROR(VLOOKUP(H56,CEI_012018!$A$1:$U$509,9,FALSE),0)</f>
        <v>0</v>
      </c>
      <c r="EY56" s="417">
        <f>IFERROR(VLOOKUP(H56,CEI_022018!$A$1:$U$509,9,FALSE),0)</f>
        <v>0</v>
      </c>
      <c r="EZ56" s="417">
        <f>IFERROR(VLOOKUP(H56,CEI_032018!$A$1:$U$509,9,FALSE),0)</f>
        <v>0</v>
      </c>
      <c r="FA56" s="417">
        <f>IFERROR(VLOOKUP(H56,CEI_042018!$A$1:$U$491,9,FALSE),0)</f>
        <v>0</v>
      </c>
      <c r="FB56" s="417">
        <f>IFERROR(VLOOKUP(H56,CEI_052018!$A$1:$U$489,9,FALSE),0)</f>
        <v>0</v>
      </c>
      <c r="FC56" s="417">
        <f>IFERROR(VLOOKUP(H56,CEI_062018!$A$1:$U$489,9,FALSE),0)</f>
        <v>0</v>
      </c>
      <c r="FD56" s="417">
        <f>IFERROR(VLOOKUP(H56,CEI_072018!$A$1:$U$489,9,FALSE),0)</f>
        <v>0</v>
      </c>
      <c r="FE56" s="417">
        <f>IFERROR(VLOOKUP(H56,CEI_082018!$A$1:$U$489,9,FALSE),0)</f>
        <v>0</v>
      </c>
      <c r="FF56" s="417">
        <f>IFERROR(VLOOKUP(H56,CEI_092018!$A$1:$U$489,9,FALSE),0)</f>
        <v>0</v>
      </c>
      <c r="FG56" s="417"/>
      <c r="FH56" s="417"/>
      <c r="FI56" s="417"/>
      <c r="FJ56" s="418">
        <f>IFERROR(VLOOKUP(H56,CEI_092018!$A$1:$U$489,12,FALSE),0)</f>
        <v>0</v>
      </c>
      <c r="FK56" s="418">
        <f t="shared" si="20"/>
        <v>0</v>
      </c>
      <c r="FL56" s="418">
        <f t="shared" si="21"/>
        <v>0</v>
      </c>
      <c r="FM56" s="417"/>
      <c r="FN56" s="417"/>
      <c r="FO56" s="417"/>
      <c r="FP56" s="417"/>
      <c r="FQ56" s="417"/>
      <c r="FR56" s="417"/>
      <c r="FS56" s="417"/>
      <c r="FT56" s="417"/>
      <c r="FU56" s="417"/>
      <c r="FV56" s="417"/>
      <c r="FW56" s="417"/>
      <c r="FX56" s="417"/>
      <c r="FY56" s="418"/>
      <c r="FZ56" s="418"/>
      <c r="GA56" s="418"/>
      <c r="GB56" s="417"/>
      <c r="GC56" s="417"/>
      <c r="GD56" s="417"/>
      <c r="GE56" s="417"/>
      <c r="GF56" s="417"/>
      <c r="GG56" s="417"/>
      <c r="GH56" s="417"/>
      <c r="GI56" s="417"/>
      <c r="GJ56" s="417"/>
      <c r="GK56" s="417"/>
      <c r="GL56" s="417"/>
      <c r="GM56" s="417"/>
      <c r="GN56" s="418"/>
      <c r="GO56" s="418"/>
      <c r="GP56" s="418"/>
      <c r="GQ56" s="417"/>
      <c r="GR56" s="417"/>
      <c r="GS56" s="417"/>
      <c r="GT56" s="417"/>
      <c r="GU56" s="417"/>
      <c r="GV56" s="417"/>
      <c r="GW56" s="417"/>
      <c r="GX56" s="417"/>
      <c r="GY56" s="417"/>
      <c r="GZ56" s="417"/>
      <c r="HA56" s="417"/>
      <c r="HB56" s="417"/>
      <c r="HC56" s="418"/>
      <c r="HD56" s="418"/>
      <c r="HE56" s="418"/>
      <c r="HF56" s="417"/>
      <c r="HG56" s="417"/>
      <c r="HH56" s="417"/>
      <c r="HI56" s="417"/>
      <c r="HJ56" s="417"/>
      <c r="HK56" s="417"/>
      <c r="HL56" s="417"/>
      <c r="HM56" s="417"/>
      <c r="HN56" s="417"/>
      <c r="HO56" s="417"/>
      <c r="HP56" s="417"/>
      <c r="HQ56" s="417"/>
      <c r="HR56" s="418"/>
      <c r="HS56" s="418"/>
      <c r="HT56" s="418"/>
    </row>
    <row r="57" spans="1:228" s="387" customFormat="1" ht="12.95" customHeight="1" x14ac:dyDescent="0.2">
      <c r="A57" s="406" t="s">
        <v>61</v>
      </c>
      <c r="B57" s="407" t="s">
        <v>1432</v>
      </c>
      <c r="C57" s="406" t="s">
        <v>69</v>
      </c>
      <c r="D57" s="407" t="s">
        <v>192</v>
      </c>
      <c r="E57" s="407" t="s">
        <v>69</v>
      </c>
      <c r="F57" s="407" t="s">
        <v>192</v>
      </c>
      <c r="G57" s="406" t="s">
        <v>63</v>
      </c>
      <c r="H57" s="408" t="s">
        <v>1192</v>
      </c>
      <c r="I57" s="408" t="s">
        <v>1194</v>
      </c>
      <c r="J57" s="406" t="s">
        <v>1193</v>
      </c>
      <c r="K57" s="406"/>
      <c r="L57" s="406"/>
      <c r="M57" s="406"/>
      <c r="N57" s="452">
        <v>0</v>
      </c>
      <c r="O57" s="452">
        <v>0</v>
      </c>
      <c r="P57" s="452">
        <v>3.91975998878479</v>
      </c>
      <c r="Q57" s="452">
        <v>0.41826999187469482</v>
      </c>
      <c r="R57" s="452">
        <v>0</v>
      </c>
      <c r="S57" s="452">
        <v>0</v>
      </c>
      <c r="T57" s="452">
        <v>0</v>
      </c>
      <c r="U57" s="409">
        <v>0</v>
      </c>
      <c r="V57" s="409"/>
      <c r="W57" s="409"/>
      <c r="X57" s="409"/>
      <c r="Y57" s="409"/>
      <c r="Z57" s="453">
        <f t="shared" si="13"/>
        <v>4.3380299806594849</v>
      </c>
      <c r="AA57" s="452"/>
      <c r="AB57" s="452"/>
      <c r="AC57" s="452"/>
      <c r="AD57" s="452"/>
      <c r="AE57" s="452"/>
      <c r="AF57" s="452"/>
      <c r="AG57" s="452"/>
      <c r="AH57" s="409"/>
      <c r="AI57" s="409"/>
      <c r="AJ57" s="409"/>
      <c r="AK57" s="409"/>
      <c r="AL57" s="409"/>
      <c r="AM57" s="453">
        <f t="shared" si="0"/>
        <v>0</v>
      </c>
      <c r="AN57" s="452"/>
      <c r="AO57" s="452"/>
      <c r="AP57" s="452"/>
      <c r="AQ57" s="452"/>
      <c r="AR57" s="452"/>
      <c r="AS57" s="452"/>
      <c r="AT57" s="452"/>
      <c r="AU57" s="409"/>
      <c r="AV57" s="409"/>
      <c r="AW57" s="409"/>
      <c r="AX57" s="409"/>
      <c r="AY57" s="409"/>
      <c r="AZ57" s="453">
        <f t="shared" si="1"/>
        <v>0</v>
      </c>
      <c r="BA57" s="452"/>
      <c r="BB57" s="452"/>
      <c r="BC57" s="452"/>
      <c r="BD57" s="452"/>
      <c r="BE57" s="452"/>
      <c r="BF57" s="452"/>
      <c r="BG57" s="452"/>
      <c r="BH57" s="409"/>
      <c r="BI57" s="409"/>
      <c r="BJ57" s="409"/>
      <c r="BK57" s="409"/>
      <c r="BL57" s="409"/>
      <c r="BM57" s="453">
        <f t="shared" si="2"/>
        <v>0</v>
      </c>
      <c r="BN57" s="452"/>
      <c r="BO57" s="452"/>
      <c r="BP57" s="452"/>
      <c r="BQ57" s="452"/>
      <c r="BR57" s="452"/>
      <c r="BS57" s="452"/>
      <c r="BT57" s="452"/>
      <c r="BU57" s="409"/>
      <c r="BV57" s="409"/>
      <c r="BW57" s="409"/>
      <c r="BX57" s="409"/>
      <c r="BY57" s="409"/>
      <c r="BZ57" s="453">
        <f t="shared" si="3"/>
        <v>0</v>
      </c>
      <c r="CA57" s="454">
        <f t="shared" si="4"/>
        <v>4.3380299806594849</v>
      </c>
      <c r="CB57" s="419"/>
      <c r="CC57" s="419">
        <v>1</v>
      </c>
      <c r="CD57" s="419">
        <v>1</v>
      </c>
      <c r="CE57" s="419">
        <v>1</v>
      </c>
      <c r="CF57" s="419">
        <v>1</v>
      </c>
      <c r="CG57" s="420">
        <f>IFERROR((FE57/Z57%),0)</f>
        <v>100</v>
      </c>
      <c r="CH57" s="421">
        <f>IFERROR((FK57/Z57%),0)</f>
        <v>233.60511104785203</v>
      </c>
      <c r="CI57" s="414" t="s">
        <v>70</v>
      </c>
      <c r="CJ57" s="422">
        <v>0</v>
      </c>
      <c r="CK57" s="422">
        <v>0</v>
      </c>
      <c r="CL57" s="422">
        <v>0</v>
      </c>
      <c r="CM57" s="422">
        <v>0</v>
      </c>
      <c r="CN57" s="428">
        <v>2.3898129581079041E-3</v>
      </c>
      <c r="CO57" s="428">
        <v>0</v>
      </c>
      <c r="CP57" s="428">
        <v>0</v>
      </c>
      <c r="CQ57" s="428">
        <v>0</v>
      </c>
      <c r="CR57" s="428">
        <v>0</v>
      </c>
      <c r="CS57" s="428">
        <v>0</v>
      </c>
      <c r="CT57" s="428">
        <v>0</v>
      </c>
      <c r="CU57" s="428">
        <v>0</v>
      </c>
      <c r="CV57" s="410">
        <f t="shared" si="28"/>
        <v>2.3898129581079041E-3</v>
      </c>
      <c r="CW57" s="422"/>
      <c r="CX57" s="422"/>
      <c r="CY57" s="422"/>
      <c r="CZ57" s="422"/>
      <c r="DA57" s="428"/>
      <c r="DB57" s="428"/>
      <c r="DC57" s="428"/>
      <c r="DD57" s="428"/>
      <c r="DE57" s="428"/>
      <c r="DF57" s="428"/>
      <c r="DG57" s="428"/>
      <c r="DH57" s="428"/>
      <c r="DI57" s="410">
        <f t="shared" si="29"/>
        <v>0</v>
      </c>
      <c r="DJ57" s="422"/>
      <c r="DK57" s="422"/>
      <c r="DL57" s="422"/>
      <c r="DM57" s="422"/>
      <c r="DN57" s="428"/>
      <c r="DO57" s="428"/>
      <c r="DP57" s="428"/>
      <c r="DQ57" s="428"/>
      <c r="DR57" s="428"/>
      <c r="DS57" s="428"/>
      <c r="DT57" s="428"/>
      <c r="DU57" s="428"/>
      <c r="DV57" s="410">
        <f t="shared" si="30"/>
        <v>0</v>
      </c>
      <c r="DW57" s="422"/>
      <c r="DX57" s="422"/>
      <c r="DY57" s="422"/>
      <c r="DZ57" s="422"/>
      <c r="EA57" s="428"/>
      <c r="EB57" s="428"/>
      <c r="EC57" s="428"/>
      <c r="ED57" s="428"/>
      <c r="EE57" s="428"/>
      <c r="EF57" s="428"/>
      <c r="EG57" s="428"/>
      <c r="EH57" s="428"/>
      <c r="EI57" s="410">
        <f t="shared" si="31"/>
        <v>0</v>
      </c>
      <c r="EJ57" s="422"/>
      <c r="EK57" s="422"/>
      <c r="EL57" s="422"/>
      <c r="EM57" s="422"/>
      <c r="EN57" s="428"/>
      <c r="EO57" s="428"/>
      <c r="EP57" s="428"/>
      <c r="EQ57" s="428"/>
      <c r="ER57" s="428"/>
      <c r="ES57" s="428"/>
      <c r="ET57" s="428"/>
      <c r="EU57" s="428"/>
      <c r="EV57" s="410">
        <f t="shared" si="32"/>
        <v>0</v>
      </c>
      <c r="EW57" s="416">
        <f t="shared" si="33"/>
        <v>2.3898129581079041E-3</v>
      </c>
      <c r="EX57" s="417">
        <f>IFERROR(VLOOKUP(H57,CEI_012018!$A$1:$U$509,9,FALSE),0)</f>
        <v>0</v>
      </c>
      <c r="EY57" s="417">
        <f>IFERROR(VLOOKUP(H57,CEI_022018!$A$1:$U$509,9,FALSE),0)</f>
        <v>0</v>
      </c>
      <c r="EZ57" s="417">
        <f>IFERROR(VLOOKUP(H57,CEI_032018!$A$1:$U$509,9,FALSE),0)</f>
        <v>3.91975998878479</v>
      </c>
      <c r="FA57" s="417">
        <f>IFERROR(VLOOKUP(H57,CEI_042018!$A$1:$U$491,9,FALSE),0)</f>
        <v>4.3380299806594849</v>
      </c>
      <c r="FB57" s="417">
        <f>IFERROR(VLOOKUP(H57,CEI_052018!$A$1:$U$489,9,FALSE),0)</f>
        <v>4.3380299806594849</v>
      </c>
      <c r="FC57" s="417">
        <f>IFERROR(VLOOKUP(H57,CEI_062018!$A$1:$U$489,9,FALSE),0)</f>
        <v>4.3380299806594849</v>
      </c>
      <c r="FD57" s="417">
        <f>IFERROR(VLOOKUP(H57,CEI_072018!$A$1:$U$489,9,FALSE),0)</f>
        <v>4.3380299806594849</v>
      </c>
      <c r="FE57" s="417">
        <f>IFERROR(VLOOKUP(H57,CEI_082018!$A$1:$U$489,9,FALSE),0)</f>
        <v>4.3380299806594849</v>
      </c>
      <c r="FF57" s="417">
        <f>IFERROR(VLOOKUP(H57,CEI_092018!$A$1:$U$489,9,FALSE),0)</f>
        <v>4.3380299806594849</v>
      </c>
      <c r="FG57" s="417"/>
      <c r="FH57" s="417"/>
      <c r="FI57" s="417"/>
      <c r="FJ57" s="418">
        <f>IFERROR(VLOOKUP(H57,CEI_092018!$A$1:$U$489,12,FALSE),0)</f>
        <v>5.7958297729492188</v>
      </c>
      <c r="FK57" s="418">
        <f t="shared" si="20"/>
        <v>10.133859753608704</v>
      </c>
      <c r="FL57" s="418">
        <f t="shared" si="21"/>
        <v>-5.7958297729492188</v>
      </c>
      <c r="FM57" s="417"/>
      <c r="FN57" s="417"/>
      <c r="FO57" s="417"/>
      <c r="FP57" s="417"/>
      <c r="FQ57" s="417"/>
      <c r="FR57" s="417"/>
      <c r="FS57" s="417"/>
      <c r="FT57" s="417"/>
      <c r="FU57" s="417"/>
      <c r="FV57" s="417"/>
      <c r="FW57" s="417"/>
      <c r="FX57" s="417"/>
      <c r="FY57" s="418"/>
      <c r="FZ57" s="418"/>
      <c r="GA57" s="418"/>
      <c r="GB57" s="417"/>
      <c r="GC57" s="417"/>
      <c r="GD57" s="417"/>
      <c r="GE57" s="417"/>
      <c r="GF57" s="417"/>
      <c r="GG57" s="417"/>
      <c r="GH57" s="417"/>
      <c r="GI57" s="417"/>
      <c r="GJ57" s="417"/>
      <c r="GK57" s="417"/>
      <c r="GL57" s="417"/>
      <c r="GM57" s="417"/>
      <c r="GN57" s="418"/>
      <c r="GO57" s="418"/>
      <c r="GP57" s="418"/>
      <c r="GQ57" s="417"/>
      <c r="GR57" s="417"/>
      <c r="GS57" s="417"/>
      <c r="GT57" s="417"/>
      <c r="GU57" s="417"/>
      <c r="GV57" s="417"/>
      <c r="GW57" s="417"/>
      <c r="GX57" s="417"/>
      <c r="GY57" s="417"/>
      <c r="GZ57" s="417"/>
      <c r="HA57" s="417"/>
      <c r="HB57" s="417"/>
      <c r="HC57" s="418"/>
      <c r="HD57" s="418"/>
      <c r="HE57" s="418"/>
      <c r="HF57" s="417"/>
      <c r="HG57" s="417"/>
      <c r="HH57" s="417"/>
      <c r="HI57" s="417"/>
      <c r="HJ57" s="417"/>
      <c r="HK57" s="417"/>
      <c r="HL57" s="417"/>
      <c r="HM57" s="417"/>
      <c r="HN57" s="417"/>
      <c r="HO57" s="417"/>
      <c r="HP57" s="417"/>
      <c r="HQ57" s="417"/>
      <c r="HR57" s="418"/>
      <c r="HS57" s="418"/>
      <c r="HT57" s="418"/>
    </row>
    <row r="58" spans="1:228" s="387" customFormat="1" ht="12.95" customHeight="1" x14ac:dyDescent="0.2">
      <c r="A58" s="406" t="s">
        <v>61</v>
      </c>
      <c r="B58" s="407" t="s">
        <v>33</v>
      </c>
      <c r="C58" s="406" t="s">
        <v>578</v>
      </c>
      <c r="D58" s="407" t="s">
        <v>64</v>
      </c>
      <c r="E58" s="407" t="s">
        <v>578</v>
      </c>
      <c r="F58" s="407" t="s">
        <v>64</v>
      </c>
      <c r="G58" s="406" t="s">
        <v>63</v>
      </c>
      <c r="H58" s="408" t="s">
        <v>520</v>
      </c>
      <c r="I58" s="408"/>
      <c r="J58" s="406" t="s">
        <v>1019</v>
      </c>
      <c r="K58" s="406" t="s">
        <v>551</v>
      </c>
      <c r="L58" s="406" t="s">
        <v>552</v>
      </c>
      <c r="M58" s="406"/>
      <c r="N58" s="452">
        <v>0</v>
      </c>
      <c r="O58" s="452">
        <v>0</v>
      </c>
      <c r="P58" s="452">
        <v>0</v>
      </c>
      <c r="Q58" s="452">
        <v>0</v>
      </c>
      <c r="R58" s="452">
        <v>0</v>
      </c>
      <c r="S58" s="452">
        <v>0</v>
      </c>
      <c r="T58" s="452">
        <v>0</v>
      </c>
      <c r="U58" s="409">
        <v>0</v>
      </c>
      <c r="V58" s="409"/>
      <c r="W58" s="409"/>
      <c r="X58" s="409"/>
      <c r="Y58" s="409"/>
      <c r="Z58" s="453">
        <f t="shared" si="13"/>
        <v>0</v>
      </c>
      <c r="AA58" s="452"/>
      <c r="AB58" s="452"/>
      <c r="AC58" s="452"/>
      <c r="AD58" s="452"/>
      <c r="AE58" s="452"/>
      <c r="AF58" s="452"/>
      <c r="AG58" s="452"/>
      <c r="AH58" s="409"/>
      <c r="AI58" s="409"/>
      <c r="AJ58" s="409"/>
      <c r="AK58" s="409"/>
      <c r="AL58" s="409"/>
      <c r="AM58" s="453">
        <f t="shared" si="0"/>
        <v>0</v>
      </c>
      <c r="AN58" s="452"/>
      <c r="AO58" s="452"/>
      <c r="AP58" s="452"/>
      <c r="AQ58" s="452"/>
      <c r="AR58" s="452"/>
      <c r="AS58" s="452"/>
      <c r="AT58" s="452"/>
      <c r="AU58" s="409"/>
      <c r="AV58" s="409"/>
      <c r="AW58" s="409"/>
      <c r="AX58" s="409"/>
      <c r="AY58" s="409"/>
      <c r="AZ58" s="453">
        <f t="shared" si="1"/>
        <v>0</v>
      </c>
      <c r="BA58" s="452"/>
      <c r="BB58" s="452"/>
      <c r="BC58" s="452"/>
      <c r="BD58" s="452"/>
      <c r="BE58" s="452">
        <v>8</v>
      </c>
      <c r="BF58" s="452"/>
      <c r="BG58" s="452"/>
      <c r="BH58" s="409"/>
      <c r="BI58" s="409"/>
      <c r="BJ58" s="409"/>
      <c r="BK58" s="409"/>
      <c r="BL58" s="409"/>
      <c r="BM58" s="453">
        <f t="shared" si="2"/>
        <v>8</v>
      </c>
      <c r="BN58" s="452"/>
      <c r="BO58" s="452"/>
      <c r="BP58" s="452"/>
      <c r="BQ58" s="452"/>
      <c r="BR58" s="452"/>
      <c r="BS58" s="452"/>
      <c r="BT58" s="452"/>
      <c r="BU58" s="409"/>
      <c r="BV58" s="409"/>
      <c r="BW58" s="409"/>
      <c r="BX58" s="409"/>
      <c r="BY58" s="409"/>
      <c r="BZ58" s="453">
        <f t="shared" si="3"/>
        <v>0</v>
      </c>
      <c r="CA58" s="454">
        <f t="shared" si="4"/>
        <v>8</v>
      </c>
      <c r="CB58" s="411"/>
      <c r="CC58" s="411"/>
      <c r="CD58" s="411"/>
      <c r="CE58" s="411"/>
      <c r="CF58" s="411"/>
      <c r="CG58" s="412"/>
      <c r="CH58" s="413"/>
      <c r="CI58" s="414" t="s">
        <v>71</v>
      </c>
      <c r="CJ58" s="415">
        <v>0</v>
      </c>
      <c r="CK58" s="415"/>
      <c r="CL58" s="415"/>
      <c r="CM58" s="415"/>
      <c r="CN58" s="415"/>
      <c r="CO58" s="415"/>
      <c r="CP58" s="415"/>
      <c r="CQ58" s="415"/>
      <c r="CR58" s="415"/>
      <c r="CS58" s="415"/>
      <c r="CT58" s="415"/>
      <c r="CU58" s="415"/>
      <c r="CV58" s="410">
        <f t="shared" si="28"/>
        <v>0</v>
      </c>
      <c r="CW58" s="415"/>
      <c r="CX58" s="415"/>
      <c r="CY58" s="415"/>
      <c r="CZ58" s="415"/>
      <c r="DA58" s="415"/>
      <c r="DB58" s="415"/>
      <c r="DC58" s="415"/>
      <c r="DD58" s="415"/>
      <c r="DE58" s="415"/>
      <c r="DF58" s="415"/>
      <c r="DG58" s="415"/>
      <c r="DH58" s="415"/>
      <c r="DI58" s="410">
        <f t="shared" si="29"/>
        <v>0</v>
      </c>
      <c r="DJ58" s="415"/>
      <c r="DK58" s="415"/>
      <c r="DL58" s="415"/>
      <c r="DM58" s="415"/>
      <c r="DN58" s="415"/>
      <c r="DO58" s="415"/>
      <c r="DP58" s="415"/>
      <c r="DQ58" s="415"/>
      <c r="DR58" s="415"/>
      <c r="DS58" s="415"/>
      <c r="DT58" s="415"/>
      <c r="DU58" s="415"/>
      <c r="DV58" s="410">
        <f t="shared" si="30"/>
        <v>0</v>
      </c>
      <c r="DW58" s="415"/>
      <c r="DX58" s="415"/>
      <c r="DY58" s="415"/>
      <c r="DZ58" s="415"/>
      <c r="EA58" s="415">
        <v>4</v>
      </c>
      <c r="EB58" s="415"/>
      <c r="EC58" s="415"/>
      <c r="ED58" s="415"/>
      <c r="EE58" s="415"/>
      <c r="EF58" s="415"/>
      <c r="EG58" s="415"/>
      <c r="EH58" s="415"/>
      <c r="EI58" s="410">
        <f t="shared" si="31"/>
        <v>4</v>
      </c>
      <c r="EJ58" s="415"/>
      <c r="EK58" s="415"/>
      <c r="EL58" s="415"/>
      <c r="EM58" s="415"/>
      <c r="EN58" s="415"/>
      <c r="EO58" s="415"/>
      <c r="EP58" s="415"/>
      <c r="EQ58" s="415"/>
      <c r="ER58" s="415"/>
      <c r="ES58" s="415"/>
      <c r="ET58" s="415"/>
      <c r="EU58" s="415"/>
      <c r="EV58" s="410">
        <f t="shared" si="32"/>
        <v>0</v>
      </c>
      <c r="EW58" s="416">
        <f t="shared" si="33"/>
        <v>4</v>
      </c>
      <c r="EX58" s="417">
        <f>IFERROR(VLOOKUP(H58,CEI_012018!$A$1:$U$509,9,FALSE),0)</f>
        <v>0</v>
      </c>
      <c r="EY58" s="417">
        <f>IFERROR(VLOOKUP(H58,CEI_022018!$A$1:$U$509,9,FALSE),0)</f>
        <v>0</v>
      </c>
      <c r="EZ58" s="417">
        <f>IFERROR(VLOOKUP(H58,CEI_032018!$A$1:$U$509,9,FALSE),0)</f>
        <v>0</v>
      </c>
      <c r="FA58" s="417">
        <f>IFERROR(VLOOKUP(H58,CEI_042018!$A$1:$U$491,9,FALSE),0)</f>
        <v>0</v>
      </c>
      <c r="FB58" s="417">
        <f>IFERROR(VLOOKUP(H58,CEI_052018!$A$1:$U$489,9,FALSE),0)</f>
        <v>0</v>
      </c>
      <c r="FC58" s="417">
        <f>IFERROR(VLOOKUP(H58,CEI_062018!$A$1:$U$489,9,FALSE),0)</f>
        <v>0</v>
      </c>
      <c r="FD58" s="417">
        <f>IFERROR(VLOOKUP(H58,CEI_072018!$A$1:$U$489,9,FALSE),0)</f>
        <v>0</v>
      </c>
      <c r="FE58" s="417">
        <f>IFERROR(VLOOKUP(H58,CEI_082018!$A$1:$U$489,9,FALSE),0)</f>
        <v>0</v>
      </c>
      <c r="FF58" s="417">
        <f>IFERROR(VLOOKUP(H58,CEI_092018!$A$1:$U$489,9,FALSE),0)</f>
        <v>0</v>
      </c>
      <c r="FG58" s="417"/>
      <c r="FH58" s="417"/>
      <c r="FI58" s="417"/>
      <c r="FJ58" s="418">
        <f>IFERROR(VLOOKUP(H58,CEI_092018!$A$1:$U$489,12,FALSE),0)</f>
        <v>0</v>
      </c>
      <c r="FK58" s="418">
        <f t="shared" si="20"/>
        <v>0</v>
      </c>
      <c r="FL58" s="418">
        <f t="shared" si="21"/>
        <v>0</v>
      </c>
      <c r="FM58" s="417"/>
      <c r="FN58" s="417"/>
      <c r="FO58" s="417"/>
      <c r="FP58" s="417"/>
      <c r="FQ58" s="417"/>
      <c r="FR58" s="417"/>
      <c r="FS58" s="417"/>
      <c r="FT58" s="417"/>
      <c r="FU58" s="417"/>
      <c r="FV58" s="417"/>
      <c r="FW58" s="417"/>
      <c r="FX58" s="417"/>
      <c r="FY58" s="418"/>
      <c r="FZ58" s="418"/>
      <c r="GA58" s="418"/>
      <c r="GB58" s="417"/>
      <c r="GC58" s="417"/>
      <c r="GD58" s="417"/>
      <c r="GE58" s="417"/>
      <c r="GF58" s="417"/>
      <c r="GG58" s="417"/>
      <c r="GH58" s="417"/>
      <c r="GI58" s="417"/>
      <c r="GJ58" s="417"/>
      <c r="GK58" s="417"/>
      <c r="GL58" s="417"/>
      <c r="GM58" s="417"/>
      <c r="GN58" s="418"/>
      <c r="GO58" s="418"/>
      <c r="GP58" s="418"/>
      <c r="GQ58" s="417"/>
      <c r="GR58" s="417"/>
      <c r="GS58" s="417"/>
      <c r="GT58" s="417"/>
      <c r="GU58" s="417"/>
      <c r="GV58" s="417"/>
      <c r="GW58" s="417"/>
      <c r="GX58" s="417"/>
      <c r="GY58" s="417"/>
      <c r="GZ58" s="417"/>
      <c r="HA58" s="417"/>
      <c r="HB58" s="417"/>
      <c r="HC58" s="418"/>
      <c r="HD58" s="418"/>
      <c r="HE58" s="418"/>
      <c r="HF58" s="417"/>
      <c r="HG58" s="417"/>
      <c r="HH58" s="417"/>
      <c r="HI58" s="417"/>
      <c r="HJ58" s="417"/>
      <c r="HK58" s="417"/>
      <c r="HL58" s="417"/>
      <c r="HM58" s="417"/>
      <c r="HN58" s="417"/>
      <c r="HO58" s="417"/>
      <c r="HP58" s="417"/>
      <c r="HQ58" s="417"/>
      <c r="HR58" s="418"/>
      <c r="HS58" s="418"/>
      <c r="HT58" s="418"/>
    </row>
    <row r="59" spans="1:228" s="387" customFormat="1" ht="12.95" customHeight="1" x14ac:dyDescent="0.2">
      <c r="A59" s="406" t="s">
        <v>61</v>
      </c>
      <c r="B59" s="407" t="s">
        <v>33</v>
      </c>
      <c r="C59" s="406" t="s">
        <v>583</v>
      </c>
      <c r="D59" s="407" t="s">
        <v>64</v>
      </c>
      <c r="E59" s="407" t="s">
        <v>583</v>
      </c>
      <c r="F59" s="407" t="s">
        <v>64</v>
      </c>
      <c r="G59" s="406" t="s">
        <v>63</v>
      </c>
      <c r="H59" s="408" t="s">
        <v>520</v>
      </c>
      <c r="I59" s="408"/>
      <c r="J59" s="406" t="s">
        <v>593</v>
      </c>
      <c r="K59" s="406" t="s">
        <v>594</v>
      </c>
      <c r="L59" s="406" t="s">
        <v>595</v>
      </c>
      <c r="M59" s="406"/>
      <c r="N59" s="452">
        <v>0</v>
      </c>
      <c r="O59" s="452">
        <v>0</v>
      </c>
      <c r="P59" s="452">
        <v>0</v>
      </c>
      <c r="Q59" s="452">
        <v>0</v>
      </c>
      <c r="R59" s="452">
        <v>0</v>
      </c>
      <c r="S59" s="452">
        <v>0</v>
      </c>
      <c r="T59" s="452">
        <v>0</v>
      </c>
      <c r="U59" s="409">
        <v>0</v>
      </c>
      <c r="V59" s="409"/>
      <c r="W59" s="409"/>
      <c r="X59" s="409"/>
      <c r="Y59" s="409"/>
      <c r="Z59" s="453">
        <f t="shared" si="13"/>
        <v>0</v>
      </c>
      <c r="AA59" s="452"/>
      <c r="AB59" s="452"/>
      <c r="AC59" s="452"/>
      <c r="AD59" s="452"/>
      <c r="AE59" s="452"/>
      <c r="AF59" s="452"/>
      <c r="AG59" s="452"/>
      <c r="AH59" s="409"/>
      <c r="AI59" s="409"/>
      <c r="AJ59" s="409"/>
      <c r="AK59" s="409"/>
      <c r="AL59" s="409"/>
      <c r="AM59" s="453">
        <f t="shared" si="0"/>
        <v>0</v>
      </c>
      <c r="AN59" s="452"/>
      <c r="AO59" s="452"/>
      <c r="AP59" s="452"/>
      <c r="AQ59" s="452"/>
      <c r="AR59" s="452"/>
      <c r="AS59" s="452"/>
      <c r="AT59" s="452"/>
      <c r="AU59" s="409"/>
      <c r="AV59" s="409"/>
      <c r="AW59" s="409"/>
      <c r="AX59" s="409"/>
      <c r="AY59" s="409"/>
      <c r="AZ59" s="453">
        <f t="shared" si="1"/>
        <v>0</v>
      </c>
      <c r="BA59" s="452"/>
      <c r="BB59" s="452"/>
      <c r="BC59" s="452"/>
      <c r="BD59" s="452"/>
      <c r="BE59" s="452">
        <v>12.5</v>
      </c>
      <c r="BF59" s="452"/>
      <c r="BG59" s="452"/>
      <c r="BH59" s="409"/>
      <c r="BI59" s="409"/>
      <c r="BJ59" s="409"/>
      <c r="BK59" s="409"/>
      <c r="BL59" s="409"/>
      <c r="BM59" s="453">
        <f t="shared" si="2"/>
        <v>12.5</v>
      </c>
      <c r="BN59" s="452"/>
      <c r="BO59" s="452"/>
      <c r="BP59" s="452"/>
      <c r="BQ59" s="452"/>
      <c r="BR59" s="452"/>
      <c r="BS59" s="452"/>
      <c r="BT59" s="452"/>
      <c r="BU59" s="409"/>
      <c r="BV59" s="409"/>
      <c r="BW59" s="409"/>
      <c r="BX59" s="409"/>
      <c r="BY59" s="409"/>
      <c r="BZ59" s="453">
        <f t="shared" si="3"/>
        <v>0</v>
      </c>
      <c r="CA59" s="454">
        <f t="shared" si="4"/>
        <v>12.5</v>
      </c>
      <c r="CB59" s="411"/>
      <c r="CC59" s="411"/>
      <c r="CD59" s="411"/>
      <c r="CE59" s="411"/>
      <c r="CF59" s="411"/>
      <c r="CG59" s="412"/>
      <c r="CH59" s="413"/>
      <c r="CI59" s="414" t="s">
        <v>71</v>
      </c>
      <c r="CJ59" s="415">
        <v>0</v>
      </c>
      <c r="CK59" s="415"/>
      <c r="CL59" s="415"/>
      <c r="CM59" s="415"/>
      <c r="CN59" s="415"/>
      <c r="CO59" s="415"/>
      <c r="CP59" s="415"/>
      <c r="CQ59" s="415"/>
      <c r="CR59" s="415"/>
      <c r="CS59" s="415"/>
      <c r="CT59" s="415"/>
      <c r="CU59" s="415"/>
      <c r="CV59" s="410">
        <f t="shared" si="28"/>
        <v>0</v>
      </c>
      <c r="CW59" s="415"/>
      <c r="CX59" s="415"/>
      <c r="CY59" s="415"/>
      <c r="CZ59" s="415"/>
      <c r="DA59" s="415"/>
      <c r="DB59" s="415"/>
      <c r="DC59" s="415"/>
      <c r="DD59" s="415"/>
      <c r="DE59" s="415"/>
      <c r="DF59" s="415"/>
      <c r="DG59" s="415"/>
      <c r="DH59" s="415"/>
      <c r="DI59" s="410">
        <f t="shared" si="29"/>
        <v>0</v>
      </c>
      <c r="DJ59" s="415"/>
      <c r="DK59" s="415"/>
      <c r="DL59" s="415"/>
      <c r="DM59" s="415"/>
      <c r="DN59" s="415"/>
      <c r="DO59" s="415"/>
      <c r="DP59" s="415"/>
      <c r="DQ59" s="415"/>
      <c r="DR59" s="415"/>
      <c r="DS59" s="415"/>
      <c r="DT59" s="415"/>
      <c r="DU59" s="415"/>
      <c r="DV59" s="410">
        <f t="shared" si="30"/>
        <v>0</v>
      </c>
      <c r="DW59" s="415"/>
      <c r="DX59" s="415"/>
      <c r="DY59" s="415"/>
      <c r="DZ59" s="415"/>
      <c r="EA59" s="415">
        <v>5</v>
      </c>
      <c r="EB59" s="415"/>
      <c r="EC59" s="415"/>
      <c r="ED59" s="415"/>
      <c r="EE59" s="415"/>
      <c r="EF59" s="415"/>
      <c r="EG59" s="415"/>
      <c r="EH59" s="415"/>
      <c r="EI59" s="410">
        <f t="shared" si="31"/>
        <v>5</v>
      </c>
      <c r="EJ59" s="415"/>
      <c r="EK59" s="415"/>
      <c r="EL59" s="415"/>
      <c r="EM59" s="415"/>
      <c r="EN59" s="415"/>
      <c r="EO59" s="415"/>
      <c r="EP59" s="415"/>
      <c r="EQ59" s="415"/>
      <c r="ER59" s="415"/>
      <c r="ES59" s="415"/>
      <c r="ET59" s="415"/>
      <c r="EU59" s="415"/>
      <c r="EV59" s="410">
        <f t="shared" si="32"/>
        <v>0</v>
      </c>
      <c r="EW59" s="416">
        <f t="shared" si="33"/>
        <v>5</v>
      </c>
      <c r="EX59" s="417">
        <f>IFERROR(VLOOKUP(H59,CEI_012018!$A$1:$U$509,9,FALSE),0)</f>
        <v>0</v>
      </c>
      <c r="EY59" s="417">
        <f>IFERROR(VLOOKUP(H59,CEI_022018!$A$1:$U$509,9,FALSE),0)</f>
        <v>0</v>
      </c>
      <c r="EZ59" s="417">
        <f>IFERROR(VLOOKUP(H59,CEI_032018!$A$1:$U$509,9,FALSE),0)</f>
        <v>0</v>
      </c>
      <c r="FA59" s="417">
        <f>IFERROR(VLOOKUP(H59,CEI_042018!$A$1:$U$491,9,FALSE),0)</f>
        <v>0</v>
      </c>
      <c r="FB59" s="417">
        <f>IFERROR(VLOOKUP(H59,CEI_052018!$A$1:$U$489,9,FALSE),0)</f>
        <v>0</v>
      </c>
      <c r="FC59" s="417">
        <f>IFERROR(VLOOKUP(H59,CEI_062018!$A$1:$U$489,9,FALSE),0)</f>
        <v>0</v>
      </c>
      <c r="FD59" s="417">
        <f>IFERROR(VLOOKUP(H59,CEI_072018!$A$1:$U$489,9,FALSE),0)</f>
        <v>0</v>
      </c>
      <c r="FE59" s="417">
        <f>IFERROR(VLOOKUP(H59,CEI_082018!$A$1:$U$489,9,FALSE),0)</f>
        <v>0</v>
      </c>
      <c r="FF59" s="417">
        <f>IFERROR(VLOOKUP(H59,CEI_092018!$A$1:$U$489,9,FALSE),0)</f>
        <v>0</v>
      </c>
      <c r="FG59" s="417"/>
      <c r="FH59" s="417"/>
      <c r="FI59" s="417"/>
      <c r="FJ59" s="418">
        <f>IFERROR(VLOOKUP(H59,CEI_092018!$A$1:$U$489,12,FALSE),0)</f>
        <v>0</v>
      </c>
      <c r="FK59" s="418">
        <f t="shared" si="20"/>
        <v>0</v>
      </c>
      <c r="FL59" s="418">
        <f t="shared" si="21"/>
        <v>0</v>
      </c>
      <c r="FM59" s="417"/>
      <c r="FN59" s="417"/>
      <c r="FO59" s="417"/>
      <c r="FP59" s="417"/>
      <c r="FQ59" s="417"/>
      <c r="FR59" s="417"/>
      <c r="FS59" s="417"/>
      <c r="FT59" s="417"/>
      <c r="FU59" s="417"/>
      <c r="FV59" s="417"/>
      <c r="FW59" s="417"/>
      <c r="FX59" s="417"/>
      <c r="FY59" s="418"/>
      <c r="FZ59" s="418"/>
      <c r="GA59" s="418"/>
      <c r="GB59" s="417"/>
      <c r="GC59" s="417"/>
      <c r="GD59" s="417"/>
      <c r="GE59" s="417"/>
      <c r="GF59" s="417"/>
      <c r="GG59" s="417"/>
      <c r="GH59" s="417"/>
      <c r="GI59" s="417"/>
      <c r="GJ59" s="417"/>
      <c r="GK59" s="417"/>
      <c r="GL59" s="417"/>
      <c r="GM59" s="417"/>
      <c r="GN59" s="418"/>
      <c r="GO59" s="418"/>
      <c r="GP59" s="418"/>
      <c r="GQ59" s="417"/>
      <c r="GR59" s="417"/>
      <c r="GS59" s="417"/>
      <c r="GT59" s="417"/>
      <c r="GU59" s="417"/>
      <c r="GV59" s="417"/>
      <c r="GW59" s="417"/>
      <c r="GX59" s="417"/>
      <c r="GY59" s="417"/>
      <c r="GZ59" s="417"/>
      <c r="HA59" s="417"/>
      <c r="HB59" s="417"/>
      <c r="HC59" s="418"/>
      <c r="HD59" s="418"/>
      <c r="HE59" s="418"/>
      <c r="HF59" s="417"/>
      <c r="HG59" s="417"/>
      <c r="HH59" s="417"/>
      <c r="HI59" s="417"/>
      <c r="HJ59" s="417"/>
      <c r="HK59" s="417"/>
      <c r="HL59" s="417"/>
      <c r="HM59" s="417"/>
      <c r="HN59" s="417"/>
      <c r="HO59" s="417"/>
      <c r="HP59" s="417"/>
      <c r="HQ59" s="417"/>
      <c r="HR59" s="418"/>
      <c r="HS59" s="418"/>
      <c r="HT59" s="418"/>
    </row>
    <row r="60" spans="1:228" s="387" customFormat="1" ht="12.95" customHeight="1" x14ac:dyDescent="0.2">
      <c r="A60" s="406" t="s">
        <v>61</v>
      </c>
      <c r="B60" s="407" t="s">
        <v>33</v>
      </c>
      <c r="C60" s="406" t="s">
        <v>579</v>
      </c>
      <c r="D60" s="407" t="s">
        <v>64</v>
      </c>
      <c r="E60" s="407" t="s">
        <v>579</v>
      </c>
      <c r="F60" s="407" t="s">
        <v>64</v>
      </c>
      <c r="G60" s="406" t="s">
        <v>63</v>
      </c>
      <c r="H60" s="408" t="s">
        <v>520</v>
      </c>
      <c r="I60" s="408"/>
      <c r="J60" s="406" t="s">
        <v>820</v>
      </c>
      <c r="K60" s="406" t="s">
        <v>820</v>
      </c>
      <c r="L60" s="406" t="s">
        <v>65</v>
      </c>
      <c r="M60" s="406"/>
      <c r="N60" s="452">
        <v>0</v>
      </c>
      <c r="O60" s="452">
        <v>0</v>
      </c>
      <c r="P60" s="452">
        <v>0</v>
      </c>
      <c r="Q60" s="452">
        <v>0</v>
      </c>
      <c r="R60" s="452">
        <v>0</v>
      </c>
      <c r="S60" s="452">
        <v>0</v>
      </c>
      <c r="T60" s="452">
        <v>0</v>
      </c>
      <c r="U60" s="409">
        <v>0</v>
      </c>
      <c r="V60" s="409"/>
      <c r="W60" s="409"/>
      <c r="X60" s="409"/>
      <c r="Y60" s="409"/>
      <c r="Z60" s="453">
        <f t="shared" si="13"/>
        <v>0</v>
      </c>
      <c r="AA60" s="452"/>
      <c r="AB60" s="452"/>
      <c r="AC60" s="452"/>
      <c r="AD60" s="452"/>
      <c r="AE60" s="452"/>
      <c r="AF60" s="452"/>
      <c r="AG60" s="452"/>
      <c r="AH60" s="409"/>
      <c r="AI60" s="409"/>
      <c r="AJ60" s="409"/>
      <c r="AK60" s="409"/>
      <c r="AL60" s="409"/>
      <c r="AM60" s="453">
        <f t="shared" si="0"/>
        <v>0</v>
      </c>
      <c r="AN60" s="452"/>
      <c r="AO60" s="452"/>
      <c r="AP60" s="452"/>
      <c r="AQ60" s="452"/>
      <c r="AR60" s="452"/>
      <c r="AS60" s="452"/>
      <c r="AT60" s="452"/>
      <c r="AU60" s="409"/>
      <c r="AV60" s="409"/>
      <c r="AW60" s="409"/>
      <c r="AX60" s="409"/>
      <c r="AY60" s="409"/>
      <c r="AZ60" s="453">
        <f t="shared" si="1"/>
        <v>0</v>
      </c>
      <c r="BA60" s="452"/>
      <c r="BB60" s="452"/>
      <c r="BC60" s="452"/>
      <c r="BD60" s="452"/>
      <c r="BE60" s="452">
        <v>15</v>
      </c>
      <c r="BF60" s="452"/>
      <c r="BG60" s="452"/>
      <c r="BH60" s="409"/>
      <c r="BI60" s="409"/>
      <c r="BJ60" s="409"/>
      <c r="BK60" s="409"/>
      <c r="BL60" s="409"/>
      <c r="BM60" s="453">
        <f t="shared" si="2"/>
        <v>15</v>
      </c>
      <c r="BN60" s="452"/>
      <c r="BO60" s="452"/>
      <c r="BP60" s="452"/>
      <c r="BQ60" s="452"/>
      <c r="BR60" s="452"/>
      <c r="BS60" s="452"/>
      <c r="BT60" s="452"/>
      <c r="BU60" s="409"/>
      <c r="BV60" s="409"/>
      <c r="BW60" s="409"/>
      <c r="BX60" s="409"/>
      <c r="BY60" s="409"/>
      <c r="BZ60" s="453">
        <f t="shared" si="3"/>
        <v>0</v>
      </c>
      <c r="CA60" s="454">
        <f t="shared" si="4"/>
        <v>15</v>
      </c>
      <c r="CB60" s="411"/>
      <c r="CC60" s="411"/>
      <c r="CD60" s="411"/>
      <c r="CE60" s="411"/>
      <c r="CF60" s="411"/>
      <c r="CG60" s="412"/>
      <c r="CH60" s="413"/>
      <c r="CI60" s="414" t="s">
        <v>71</v>
      </c>
      <c r="CJ60" s="415">
        <v>0</v>
      </c>
      <c r="CK60" s="415"/>
      <c r="CL60" s="415"/>
      <c r="CM60" s="415"/>
      <c r="CN60" s="415"/>
      <c r="CO60" s="415"/>
      <c r="CP60" s="415"/>
      <c r="CQ60" s="415"/>
      <c r="CR60" s="415"/>
      <c r="CS60" s="415"/>
      <c r="CT60" s="415"/>
      <c r="CU60" s="415"/>
      <c r="CV60" s="410">
        <f t="shared" si="28"/>
        <v>0</v>
      </c>
      <c r="CW60" s="415"/>
      <c r="CX60" s="415"/>
      <c r="CY60" s="415"/>
      <c r="CZ60" s="415"/>
      <c r="DA60" s="415"/>
      <c r="DB60" s="415"/>
      <c r="DC60" s="415"/>
      <c r="DD60" s="415"/>
      <c r="DE60" s="415"/>
      <c r="DF60" s="415"/>
      <c r="DG60" s="415"/>
      <c r="DH60" s="415"/>
      <c r="DI60" s="410">
        <f t="shared" si="29"/>
        <v>0</v>
      </c>
      <c r="DJ60" s="415"/>
      <c r="DK60" s="415"/>
      <c r="DL60" s="415"/>
      <c r="DM60" s="415"/>
      <c r="DN60" s="415"/>
      <c r="DO60" s="415"/>
      <c r="DP60" s="415"/>
      <c r="DQ60" s="415"/>
      <c r="DR60" s="415"/>
      <c r="DS60" s="415"/>
      <c r="DT60" s="415"/>
      <c r="DU60" s="415"/>
      <c r="DV60" s="410">
        <f t="shared" si="30"/>
        <v>0</v>
      </c>
      <c r="DW60" s="415"/>
      <c r="DX60" s="415"/>
      <c r="DY60" s="415"/>
      <c r="DZ60" s="415"/>
      <c r="EA60" s="415">
        <v>5</v>
      </c>
      <c r="EB60" s="415"/>
      <c r="EC60" s="415"/>
      <c r="ED60" s="415"/>
      <c r="EE60" s="415"/>
      <c r="EF60" s="415"/>
      <c r="EG60" s="415"/>
      <c r="EH60" s="415"/>
      <c r="EI60" s="410">
        <f t="shared" si="31"/>
        <v>5</v>
      </c>
      <c r="EJ60" s="415"/>
      <c r="EK60" s="415"/>
      <c r="EL60" s="415"/>
      <c r="EM60" s="415"/>
      <c r="EN60" s="415"/>
      <c r="EO60" s="415"/>
      <c r="EP60" s="415"/>
      <c r="EQ60" s="415"/>
      <c r="ER60" s="415"/>
      <c r="ES60" s="415"/>
      <c r="ET60" s="415"/>
      <c r="EU60" s="415"/>
      <c r="EV60" s="410">
        <f t="shared" si="32"/>
        <v>0</v>
      </c>
      <c r="EW60" s="416">
        <f t="shared" si="33"/>
        <v>5</v>
      </c>
      <c r="EX60" s="417">
        <f>IFERROR(VLOOKUP(H60,CEI_012018!$A$1:$U$509,9,FALSE),0)</f>
        <v>0</v>
      </c>
      <c r="EY60" s="417">
        <f>IFERROR(VLOOKUP(H60,CEI_022018!$A$1:$U$509,9,FALSE),0)</f>
        <v>0</v>
      </c>
      <c r="EZ60" s="417">
        <f>IFERROR(VLOOKUP(H60,CEI_032018!$A$1:$U$509,9,FALSE),0)</f>
        <v>0</v>
      </c>
      <c r="FA60" s="417">
        <f>IFERROR(VLOOKUP(H60,CEI_042018!$A$1:$U$491,9,FALSE),0)</f>
        <v>0</v>
      </c>
      <c r="FB60" s="417">
        <f>IFERROR(VLOOKUP(H60,CEI_052018!$A$1:$U$489,9,FALSE),0)</f>
        <v>0</v>
      </c>
      <c r="FC60" s="417">
        <f>IFERROR(VLOOKUP(H60,CEI_062018!$A$1:$U$489,9,FALSE),0)</f>
        <v>0</v>
      </c>
      <c r="FD60" s="417">
        <f>IFERROR(VLOOKUP(H60,CEI_072018!$A$1:$U$489,9,FALSE),0)</f>
        <v>0</v>
      </c>
      <c r="FE60" s="417">
        <f>IFERROR(VLOOKUP(H60,CEI_082018!$A$1:$U$489,9,FALSE),0)</f>
        <v>0</v>
      </c>
      <c r="FF60" s="417">
        <f>IFERROR(VLOOKUP(H60,CEI_092018!$A$1:$U$489,9,FALSE),0)</f>
        <v>0</v>
      </c>
      <c r="FG60" s="417"/>
      <c r="FH60" s="417"/>
      <c r="FI60" s="417"/>
      <c r="FJ60" s="418">
        <f>IFERROR(VLOOKUP(H60,CEI_092018!$A$1:$U$489,12,FALSE),0)</f>
        <v>0</v>
      </c>
      <c r="FK60" s="418">
        <f t="shared" si="20"/>
        <v>0</v>
      </c>
      <c r="FL60" s="418">
        <f t="shared" si="21"/>
        <v>0</v>
      </c>
      <c r="FM60" s="417"/>
      <c r="FN60" s="417"/>
      <c r="FO60" s="417"/>
      <c r="FP60" s="417"/>
      <c r="FQ60" s="417"/>
      <c r="FR60" s="417"/>
      <c r="FS60" s="417"/>
      <c r="FT60" s="417"/>
      <c r="FU60" s="417"/>
      <c r="FV60" s="417"/>
      <c r="FW60" s="417"/>
      <c r="FX60" s="417"/>
      <c r="FY60" s="418"/>
      <c r="FZ60" s="418"/>
      <c r="GA60" s="418"/>
      <c r="GB60" s="417"/>
      <c r="GC60" s="417"/>
      <c r="GD60" s="417"/>
      <c r="GE60" s="417"/>
      <c r="GF60" s="417"/>
      <c r="GG60" s="417"/>
      <c r="GH60" s="417"/>
      <c r="GI60" s="417"/>
      <c r="GJ60" s="417"/>
      <c r="GK60" s="417"/>
      <c r="GL60" s="417"/>
      <c r="GM60" s="417"/>
      <c r="GN60" s="418"/>
      <c r="GO60" s="418"/>
      <c r="GP60" s="418"/>
      <c r="GQ60" s="417"/>
      <c r="GR60" s="417"/>
      <c r="GS60" s="417"/>
      <c r="GT60" s="417"/>
      <c r="GU60" s="417"/>
      <c r="GV60" s="417"/>
      <c r="GW60" s="417"/>
      <c r="GX60" s="417"/>
      <c r="GY60" s="417"/>
      <c r="GZ60" s="417"/>
      <c r="HA60" s="417"/>
      <c r="HB60" s="417"/>
      <c r="HC60" s="418"/>
      <c r="HD60" s="418"/>
      <c r="HE60" s="418"/>
      <c r="HF60" s="417"/>
      <c r="HG60" s="417"/>
      <c r="HH60" s="417"/>
      <c r="HI60" s="417"/>
      <c r="HJ60" s="417"/>
      <c r="HK60" s="417"/>
      <c r="HL60" s="417"/>
      <c r="HM60" s="417"/>
      <c r="HN60" s="417"/>
      <c r="HO60" s="417"/>
      <c r="HP60" s="417"/>
      <c r="HQ60" s="417"/>
      <c r="HR60" s="418"/>
      <c r="HS60" s="418"/>
      <c r="HT60" s="418"/>
    </row>
    <row r="61" spans="1:228" s="387" customFormat="1" ht="12.95" customHeight="1" x14ac:dyDescent="0.2">
      <c r="A61" s="406" t="s">
        <v>61</v>
      </c>
      <c r="B61" s="407" t="s">
        <v>33</v>
      </c>
      <c r="C61" s="406" t="s">
        <v>582</v>
      </c>
      <c r="D61" s="407" t="s">
        <v>64</v>
      </c>
      <c r="E61" s="407" t="s">
        <v>582</v>
      </c>
      <c r="F61" s="407" t="s">
        <v>64</v>
      </c>
      <c r="G61" s="406" t="s">
        <v>63</v>
      </c>
      <c r="H61" s="408" t="s">
        <v>520</v>
      </c>
      <c r="I61" s="408"/>
      <c r="J61" s="406" t="s">
        <v>67</v>
      </c>
      <c r="K61" s="406" t="s">
        <v>67</v>
      </c>
      <c r="L61" s="406" t="s">
        <v>550</v>
      </c>
      <c r="M61" s="406"/>
      <c r="N61" s="452">
        <v>0</v>
      </c>
      <c r="O61" s="452">
        <v>0</v>
      </c>
      <c r="P61" s="452">
        <v>0</v>
      </c>
      <c r="Q61" s="452">
        <v>0</v>
      </c>
      <c r="R61" s="452">
        <v>0</v>
      </c>
      <c r="S61" s="452">
        <v>0</v>
      </c>
      <c r="T61" s="452">
        <v>0</v>
      </c>
      <c r="U61" s="409">
        <v>0</v>
      </c>
      <c r="V61" s="409"/>
      <c r="W61" s="409"/>
      <c r="X61" s="409"/>
      <c r="Y61" s="409"/>
      <c r="Z61" s="453">
        <f t="shared" si="13"/>
        <v>0</v>
      </c>
      <c r="AA61" s="452"/>
      <c r="AB61" s="452"/>
      <c r="AC61" s="452"/>
      <c r="AD61" s="452"/>
      <c r="AE61" s="452"/>
      <c r="AF61" s="452"/>
      <c r="AG61" s="452"/>
      <c r="AH61" s="409"/>
      <c r="AI61" s="409"/>
      <c r="AJ61" s="409"/>
      <c r="AK61" s="409"/>
      <c r="AL61" s="409"/>
      <c r="AM61" s="453">
        <f t="shared" si="0"/>
        <v>0</v>
      </c>
      <c r="AN61" s="452"/>
      <c r="AO61" s="452"/>
      <c r="AP61" s="452"/>
      <c r="AQ61" s="452"/>
      <c r="AR61" s="452"/>
      <c r="AS61" s="452"/>
      <c r="AT61" s="452"/>
      <c r="AU61" s="409"/>
      <c r="AV61" s="409"/>
      <c r="AW61" s="409"/>
      <c r="AX61" s="409"/>
      <c r="AY61" s="409"/>
      <c r="AZ61" s="453">
        <f t="shared" si="1"/>
        <v>0</v>
      </c>
      <c r="BA61" s="452"/>
      <c r="BB61" s="452"/>
      <c r="BC61" s="452"/>
      <c r="BD61" s="452"/>
      <c r="BE61" s="452">
        <v>100</v>
      </c>
      <c r="BF61" s="452"/>
      <c r="BG61" s="452"/>
      <c r="BH61" s="409"/>
      <c r="BI61" s="409"/>
      <c r="BJ61" s="409"/>
      <c r="BK61" s="409"/>
      <c r="BL61" s="409"/>
      <c r="BM61" s="453">
        <f t="shared" si="2"/>
        <v>100</v>
      </c>
      <c r="BN61" s="452"/>
      <c r="BO61" s="452"/>
      <c r="BP61" s="452"/>
      <c r="BQ61" s="452"/>
      <c r="BR61" s="452"/>
      <c r="BS61" s="452"/>
      <c r="BT61" s="452"/>
      <c r="BU61" s="409"/>
      <c r="BV61" s="409"/>
      <c r="BW61" s="409"/>
      <c r="BX61" s="409"/>
      <c r="BY61" s="409"/>
      <c r="BZ61" s="453">
        <f t="shared" si="3"/>
        <v>0</v>
      </c>
      <c r="CA61" s="454">
        <f t="shared" si="4"/>
        <v>100</v>
      </c>
      <c r="CB61" s="411"/>
      <c r="CC61" s="411"/>
      <c r="CD61" s="411"/>
      <c r="CE61" s="411"/>
      <c r="CF61" s="411"/>
      <c r="CG61" s="412"/>
      <c r="CH61" s="413"/>
      <c r="CI61" s="414" t="s">
        <v>71</v>
      </c>
      <c r="CJ61" s="415">
        <v>0</v>
      </c>
      <c r="CK61" s="415"/>
      <c r="CL61" s="415"/>
      <c r="CM61" s="415"/>
      <c r="CN61" s="415"/>
      <c r="CO61" s="415"/>
      <c r="CP61" s="415"/>
      <c r="CQ61" s="415"/>
      <c r="CR61" s="415"/>
      <c r="CS61" s="415"/>
      <c r="CT61" s="415"/>
      <c r="CU61" s="415"/>
      <c r="CV61" s="410">
        <f t="shared" si="28"/>
        <v>0</v>
      </c>
      <c r="CW61" s="415"/>
      <c r="CX61" s="415"/>
      <c r="CY61" s="415"/>
      <c r="CZ61" s="415"/>
      <c r="DA61" s="415"/>
      <c r="DB61" s="415"/>
      <c r="DC61" s="415"/>
      <c r="DD61" s="415"/>
      <c r="DE61" s="415"/>
      <c r="DF61" s="415"/>
      <c r="DG61" s="415"/>
      <c r="DH61" s="415"/>
      <c r="DI61" s="410">
        <f t="shared" si="29"/>
        <v>0</v>
      </c>
      <c r="DJ61" s="415"/>
      <c r="DK61" s="415"/>
      <c r="DL61" s="415"/>
      <c r="DM61" s="415"/>
      <c r="DN61" s="415"/>
      <c r="DO61" s="415"/>
      <c r="DP61" s="415"/>
      <c r="DQ61" s="415"/>
      <c r="DR61" s="415"/>
      <c r="DS61" s="415"/>
      <c r="DT61" s="415"/>
      <c r="DU61" s="415"/>
      <c r="DV61" s="410">
        <f t="shared" si="30"/>
        <v>0</v>
      </c>
      <c r="DW61" s="415"/>
      <c r="DX61" s="415"/>
      <c r="DY61" s="415"/>
      <c r="DZ61" s="415"/>
      <c r="EA61" s="415">
        <v>17</v>
      </c>
      <c r="EB61" s="415"/>
      <c r="EC61" s="415"/>
      <c r="ED61" s="415"/>
      <c r="EE61" s="415"/>
      <c r="EF61" s="415"/>
      <c r="EG61" s="415"/>
      <c r="EH61" s="415"/>
      <c r="EI61" s="410">
        <f t="shared" si="31"/>
        <v>17</v>
      </c>
      <c r="EJ61" s="415"/>
      <c r="EK61" s="415"/>
      <c r="EL61" s="415"/>
      <c r="EM61" s="415"/>
      <c r="EN61" s="415"/>
      <c r="EO61" s="415"/>
      <c r="EP61" s="415"/>
      <c r="EQ61" s="415"/>
      <c r="ER61" s="415"/>
      <c r="ES61" s="415"/>
      <c r="ET61" s="415"/>
      <c r="EU61" s="415"/>
      <c r="EV61" s="410">
        <f t="shared" si="32"/>
        <v>0</v>
      </c>
      <c r="EW61" s="416">
        <f t="shared" si="33"/>
        <v>17</v>
      </c>
      <c r="EX61" s="417">
        <f>IFERROR(VLOOKUP(H61,CEI_012018!$A$1:$U$509,9,FALSE),0)</f>
        <v>0</v>
      </c>
      <c r="EY61" s="417">
        <f>IFERROR(VLOOKUP(H61,CEI_022018!$A$1:$U$509,9,FALSE),0)</f>
        <v>0</v>
      </c>
      <c r="EZ61" s="417">
        <f>IFERROR(VLOOKUP(H61,CEI_032018!$A$1:$U$509,9,FALSE),0)</f>
        <v>0</v>
      </c>
      <c r="FA61" s="417">
        <f>IFERROR(VLOOKUP(H61,CEI_042018!$A$1:$U$491,9,FALSE),0)</f>
        <v>0</v>
      </c>
      <c r="FB61" s="417">
        <f>IFERROR(VLOOKUP(H61,CEI_052018!$A$1:$U$489,9,FALSE),0)</f>
        <v>0</v>
      </c>
      <c r="FC61" s="417">
        <f>IFERROR(VLOOKUP(H61,CEI_062018!$A$1:$U$489,9,FALSE),0)</f>
        <v>0</v>
      </c>
      <c r="FD61" s="417">
        <f>IFERROR(VLOOKUP(H61,CEI_072018!$A$1:$U$489,9,FALSE),0)</f>
        <v>0</v>
      </c>
      <c r="FE61" s="417">
        <f>IFERROR(VLOOKUP(H61,CEI_082018!$A$1:$U$489,9,FALSE),0)</f>
        <v>0</v>
      </c>
      <c r="FF61" s="417">
        <f>IFERROR(VLOOKUP(H61,CEI_092018!$A$1:$U$489,9,FALSE),0)</f>
        <v>0</v>
      </c>
      <c r="FG61" s="417"/>
      <c r="FH61" s="417"/>
      <c r="FI61" s="417"/>
      <c r="FJ61" s="418">
        <f>IFERROR(VLOOKUP(H61,CEI_092018!$A$1:$U$489,12,FALSE),0)</f>
        <v>0</v>
      </c>
      <c r="FK61" s="418">
        <f t="shared" si="20"/>
        <v>0</v>
      </c>
      <c r="FL61" s="418">
        <f t="shared" si="21"/>
        <v>0</v>
      </c>
      <c r="FM61" s="417"/>
      <c r="FN61" s="417"/>
      <c r="FO61" s="417"/>
      <c r="FP61" s="417"/>
      <c r="FQ61" s="417"/>
      <c r="FR61" s="417"/>
      <c r="FS61" s="417"/>
      <c r="FT61" s="417"/>
      <c r="FU61" s="417"/>
      <c r="FV61" s="417"/>
      <c r="FW61" s="417"/>
      <c r="FX61" s="417"/>
      <c r="FY61" s="418"/>
      <c r="FZ61" s="418"/>
      <c r="GA61" s="418"/>
      <c r="GB61" s="417"/>
      <c r="GC61" s="417"/>
      <c r="GD61" s="417"/>
      <c r="GE61" s="417"/>
      <c r="GF61" s="417"/>
      <c r="GG61" s="417"/>
      <c r="GH61" s="417"/>
      <c r="GI61" s="417"/>
      <c r="GJ61" s="417"/>
      <c r="GK61" s="417"/>
      <c r="GL61" s="417"/>
      <c r="GM61" s="417"/>
      <c r="GN61" s="418"/>
      <c r="GO61" s="418"/>
      <c r="GP61" s="418"/>
      <c r="GQ61" s="417"/>
      <c r="GR61" s="417"/>
      <c r="GS61" s="417"/>
      <c r="GT61" s="417"/>
      <c r="GU61" s="417"/>
      <c r="GV61" s="417"/>
      <c r="GW61" s="417"/>
      <c r="GX61" s="417"/>
      <c r="GY61" s="417"/>
      <c r="GZ61" s="417"/>
      <c r="HA61" s="417"/>
      <c r="HB61" s="417"/>
      <c r="HC61" s="418"/>
      <c r="HD61" s="418"/>
      <c r="HE61" s="418"/>
      <c r="HF61" s="417"/>
      <c r="HG61" s="417"/>
      <c r="HH61" s="417"/>
      <c r="HI61" s="417"/>
      <c r="HJ61" s="417"/>
      <c r="HK61" s="417"/>
      <c r="HL61" s="417"/>
      <c r="HM61" s="417"/>
      <c r="HN61" s="417"/>
      <c r="HO61" s="417"/>
      <c r="HP61" s="417"/>
      <c r="HQ61" s="417"/>
      <c r="HR61" s="418"/>
      <c r="HS61" s="418"/>
      <c r="HT61" s="418"/>
    </row>
    <row r="62" spans="1:228" s="387" customFormat="1" ht="12.95" customHeight="1" x14ac:dyDescent="0.2">
      <c r="A62" s="406" t="s">
        <v>61</v>
      </c>
      <c r="B62" s="407" t="s">
        <v>1432</v>
      </c>
      <c r="C62" s="406" t="s">
        <v>62</v>
      </c>
      <c r="D62" s="407" t="s">
        <v>190</v>
      </c>
      <c r="E62" s="407" t="s">
        <v>62</v>
      </c>
      <c r="F62" s="407" t="s">
        <v>190</v>
      </c>
      <c r="G62" s="406" t="s">
        <v>63</v>
      </c>
      <c r="H62" s="408" t="s">
        <v>520</v>
      </c>
      <c r="I62" s="408" t="s">
        <v>57</v>
      </c>
      <c r="J62" s="406" t="s">
        <v>557</v>
      </c>
      <c r="K62" s="406" t="s">
        <v>556</v>
      </c>
      <c r="L62" s="406" t="s">
        <v>558</v>
      </c>
      <c r="M62" s="406"/>
      <c r="N62" s="452">
        <v>0</v>
      </c>
      <c r="O62" s="452">
        <v>0</v>
      </c>
      <c r="P62" s="452">
        <v>0</v>
      </c>
      <c r="Q62" s="452">
        <v>0</v>
      </c>
      <c r="R62" s="452">
        <v>0</v>
      </c>
      <c r="S62" s="452">
        <v>0</v>
      </c>
      <c r="T62" s="452">
        <v>0</v>
      </c>
      <c r="U62" s="409">
        <v>0</v>
      </c>
      <c r="V62" s="409">
        <v>0</v>
      </c>
      <c r="W62" s="409">
        <v>0</v>
      </c>
      <c r="X62" s="409">
        <v>0</v>
      </c>
      <c r="Y62" s="409">
        <v>0</v>
      </c>
      <c r="Z62" s="453">
        <f t="shared" si="13"/>
        <v>0</v>
      </c>
      <c r="AA62" s="452">
        <v>0</v>
      </c>
      <c r="AB62" s="452">
        <v>0</v>
      </c>
      <c r="AC62" s="452">
        <v>0</v>
      </c>
      <c r="AD62" s="452">
        <v>0</v>
      </c>
      <c r="AE62" s="452">
        <v>0</v>
      </c>
      <c r="AF62" s="452">
        <v>0</v>
      </c>
      <c r="AG62" s="452">
        <v>0</v>
      </c>
      <c r="AH62" s="409">
        <v>0</v>
      </c>
      <c r="AI62" s="409">
        <v>0</v>
      </c>
      <c r="AJ62" s="409">
        <v>0</v>
      </c>
      <c r="AK62" s="409">
        <v>0</v>
      </c>
      <c r="AL62" s="409">
        <v>0</v>
      </c>
      <c r="AM62" s="453">
        <f t="shared" si="0"/>
        <v>0</v>
      </c>
      <c r="AN62" s="452">
        <v>0</v>
      </c>
      <c r="AO62" s="452">
        <v>0</v>
      </c>
      <c r="AP62" s="452">
        <v>0</v>
      </c>
      <c r="AQ62" s="452">
        <v>0</v>
      </c>
      <c r="AR62" s="452">
        <v>0</v>
      </c>
      <c r="AS62" s="452">
        <v>0</v>
      </c>
      <c r="AT62" s="452">
        <v>0</v>
      </c>
      <c r="AU62" s="409">
        <v>0</v>
      </c>
      <c r="AV62" s="409">
        <v>0</v>
      </c>
      <c r="AW62" s="409">
        <v>0</v>
      </c>
      <c r="AX62" s="409">
        <v>0</v>
      </c>
      <c r="AY62" s="409">
        <v>0</v>
      </c>
      <c r="AZ62" s="453">
        <f t="shared" si="1"/>
        <v>0</v>
      </c>
      <c r="BA62" s="452">
        <v>0</v>
      </c>
      <c r="BB62" s="452">
        <v>0</v>
      </c>
      <c r="BC62" s="452">
        <v>2244.14</v>
      </c>
      <c r="BD62" s="452">
        <v>0</v>
      </c>
      <c r="BE62" s="452">
        <v>0</v>
      </c>
      <c r="BF62" s="452">
        <v>305.57898999999998</v>
      </c>
      <c r="BG62" s="452"/>
      <c r="BH62" s="409"/>
      <c r="BI62" s="409"/>
      <c r="BJ62" s="409"/>
      <c r="BK62" s="409"/>
      <c r="BL62" s="409"/>
      <c r="BM62" s="453">
        <f t="shared" si="2"/>
        <v>2549.7189899999998</v>
      </c>
      <c r="BN62" s="452"/>
      <c r="BO62" s="452"/>
      <c r="BP62" s="452"/>
      <c r="BQ62" s="452"/>
      <c r="BR62" s="452"/>
      <c r="BS62" s="452"/>
      <c r="BT62" s="452"/>
      <c r="BU62" s="409"/>
      <c r="BV62" s="409"/>
      <c r="BW62" s="409"/>
      <c r="BX62" s="409"/>
      <c r="BY62" s="409"/>
      <c r="BZ62" s="453">
        <f t="shared" si="3"/>
        <v>0</v>
      </c>
      <c r="CA62" s="454">
        <f t="shared" si="4"/>
        <v>2549.7189899999998</v>
      </c>
      <c r="CB62" s="411"/>
      <c r="CC62" s="411"/>
      <c r="CD62" s="411"/>
      <c r="CE62" s="411"/>
      <c r="CF62" s="411"/>
      <c r="CG62" s="412"/>
      <c r="CH62" s="413"/>
      <c r="CI62" s="414" t="s">
        <v>71</v>
      </c>
      <c r="CJ62" s="415"/>
      <c r="CK62" s="415"/>
      <c r="CL62" s="415"/>
      <c r="CM62" s="415"/>
      <c r="CN62" s="415"/>
      <c r="CO62" s="415"/>
      <c r="CP62" s="415"/>
      <c r="CQ62" s="415"/>
      <c r="CR62" s="415"/>
      <c r="CS62" s="415"/>
      <c r="CT62" s="415"/>
      <c r="CU62" s="415"/>
      <c r="CV62" s="410">
        <f t="shared" si="28"/>
        <v>0</v>
      </c>
      <c r="CW62" s="415"/>
      <c r="CX62" s="415"/>
      <c r="CY62" s="415"/>
      <c r="CZ62" s="415"/>
      <c r="DA62" s="415"/>
      <c r="DB62" s="415"/>
      <c r="DC62" s="415"/>
      <c r="DD62" s="415"/>
      <c r="DE62" s="415"/>
      <c r="DF62" s="415"/>
      <c r="DG62" s="415"/>
      <c r="DH62" s="415"/>
      <c r="DI62" s="410">
        <f t="shared" si="29"/>
        <v>0</v>
      </c>
      <c r="DJ62" s="415"/>
      <c r="DK62" s="415"/>
      <c r="DL62" s="415"/>
      <c r="DM62" s="415"/>
      <c r="DN62" s="415"/>
      <c r="DO62" s="415"/>
      <c r="DP62" s="415"/>
      <c r="DQ62" s="415"/>
      <c r="DR62" s="415"/>
      <c r="DS62" s="415"/>
      <c r="DT62" s="415"/>
      <c r="DU62" s="415"/>
      <c r="DV62" s="410">
        <f t="shared" si="30"/>
        <v>0</v>
      </c>
      <c r="DW62" s="415"/>
      <c r="DX62" s="415"/>
      <c r="DY62" s="415">
        <v>2</v>
      </c>
      <c r="DZ62" s="415"/>
      <c r="EA62" s="415"/>
      <c r="EB62" s="415">
        <v>2</v>
      </c>
      <c r="EC62" s="415"/>
      <c r="ED62" s="415"/>
      <c r="EE62" s="415"/>
      <c r="EF62" s="415"/>
      <c r="EG62" s="415"/>
      <c r="EH62" s="415"/>
      <c r="EI62" s="410">
        <f t="shared" si="31"/>
        <v>4</v>
      </c>
      <c r="EJ62" s="415"/>
      <c r="EK62" s="415"/>
      <c r="EL62" s="415"/>
      <c r="EM62" s="415"/>
      <c r="EN62" s="415"/>
      <c r="EO62" s="415"/>
      <c r="EP62" s="415"/>
      <c r="EQ62" s="415"/>
      <c r="ER62" s="415"/>
      <c r="ES62" s="415"/>
      <c r="ET62" s="415"/>
      <c r="EU62" s="415"/>
      <c r="EV62" s="410">
        <f t="shared" si="32"/>
        <v>0</v>
      </c>
      <c r="EW62" s="416">
        <f t="shared" si="33"/>
        <v>4</v>
      </c>
      <c r="EX62" s="417">
        <f>IFERROR(VLOOKUP(H62,CEI_012018!$A$1:$U$509,9,FALSE),0)</f>
        <v>0</v>
      </c>
      <c r="EY62" s="417">
        <f>IFERROR(VLOOKUP(H62,CEI_022018!$A$1:$U$509,9,FALSE),0)</f>
        <v>0</v>
      </c>
      <c r="EZ62" s="417">
        <f>IFERROR(VLOOKUP(H62,CEI_032018!$A$1:$U$509,9,FALSE),0)</f>
        <v>0</v>
      </c>
      <c r="FA62" s="417">
        <f>IFERROR(VLOOKUP(H62,CEI_042018!$A$1:$U$491,9,FALSE),0)</f>
        <v>0</v>
      </c>
      <c r="FB62" s="417">
        <f>IFERROR(VLOOKUP(H62,CEI_052018!$A$1:$U$489,9,FALSE),0)</f>
        <v>0</v>
      </c>
      <c r="FC62" s="417">
        <f>IFERROR(VLOOKUP(H62,CEI_062018!$A$1:$U$489,9,FALSE),0)</f>
        <v>0</v>
      </c>
      <c r="FD62" s="417">
        <f>IFERROR(VLOOKUP(H62,CEI_072018!$A$1:$U$489,9,FALSE),0)</f>
        <v>0</v>
      </c>
      <c r="FE62" s="417">
        <f>IFERROR(VLOOKUP(H62,CEI_082018!$A$1:$U$489,9,FALSE),0)</f>
        <v>0</v>
      </c>
      <c r="FF62" s="417">
        <f>IFERROR(VLOOKUP(H62,CEI_092018!$A$1:$U$489,9,FALSE),0)</f>
        <v>0</v>
      </c>
      <c r="FG62" s="417"/>
      <c r="FH62" s="417"/>
      <c r="FI62" s="417"/>
      <c r="FJ62" s="418">
        <f>IFERROR(VLOOKUP(H62,CEI_092018!$A$1:$U$489,12,FALSE),0)</f>
        <v>0</v>
      </c>
      <c r="FK62" s="418">
        <f t="shared" si="20"/>
        <v>0</v>
      </c>
      <c r="FL62" s="418">
        <f t="shared" si="21"/>
        <v>0</v>
      </c>
      <c r="FM62" s="417"/>
      <c r="FN62" s="417"/>
      <c r="FO62" s="417"/>
      <c r="FP62" s="417"/>
      <c r="FQ62" s="417"/>
      <c r="FR62" s="417"/>
      <c r="FS62" s="417"/>
      <c r="FT62" s="417"/>
      <c r="FU62" s="417"/>
      <c r="FV62" s="417"/>
      <c r="FW62" s="417"/>
      <c r="FX62" s="417"/>
      <c r="FY62" s="418"/>
      <c r="FZ62" s="418"/>
      <c r="GA62" s="418"/>
      <c r="GB62" s="417"/>
      <c r="GC62" s="417"/>
      <c r="GD62" s="417"/>
      <c r="GE62" s="417"/>
      <c r="GF62" s="417"/>
      <c r="GG62" s="417"/>
      <c r="GH62" s="417"/>
      <c r="GI62" s="417"/>
      <c r="GJ62" s="417"/>
      <c r="GK62" s="417"/>
      <c r="GL62" s="417"/>
      <c r="GM62" s="417"/>
      <c r="GN62" s="418"/>
      <c r="GO62" s="418"/>
      <c r="GP62" s="418"/>
      <c r="GQ62" s="417"/>
      <c r="GR62" s="417"/>
      <c r="GS62" s="417"/>
      <c r="GT62" s="417"/>
      <c r="GU62" s="417"/>
      <c r="GV62" s="417"/>
      <c r="GW62" s="417"/>
      <c r="GX62" s="417"/>
      <c r="GY62" s="417"/>
      <c r="GZ62" s="417"/>
      <c r="HA62" s="417"/>
      <c r="HB62" s="417"/>
      <c r="HC62" s="418"/>
      <c r="HD62" s="418"/>
      <c r="HE62" s="418"/>
      <c r="HF62" s="417"/>
      <c r="HG62" s="417"/>
      <c r="HH62" s="417"/>
      <c r="HI62" s="417"/>
      <c r="HJ62" s="417"/>
      <c r="HK62" s="417"/>
      <c r="HL62" s="417"/>
      <c r="HM62" s="417"/>
      <c r="HN62" s="417"/>
      <c r="HO62" s="417"/>
      <c r="HP62" s="417"/>
      <c r="HQ62" s="417"/>
      <c r="HR62" s="418"/>
      <c r="HS62" s="418"/>
      <c r="HT62" s="418"/>
    </row>
    <row r="63" spans="1:228" s="387" customFormat="1" ht="12.95" customHeight="1" x14ac:dyDescent="0.2">
      <c r="A63" s="406" t="s">
        <v>61</v>
      </c>
      <c r="B63" s="407" t="s">
        <v>1432</v>
      </c>
      <c r="C63" s="406" t="s">
        <v>62</v>
      </c>
      <c r="D63" s="407" t="s">
        <v>196</v>
      </c>
      <c r="E63" s="407" t="s">
        <v>62</v>
      </c>
      <c r="F63" s="407" t="s">
        <v>196</v>
      </c>
      <c r="G63" s="406" t="s">
        <v>63</v>
      </c>
      <c r="H63" s="408" t="s">
        <v>1195</v>
      </c>
      <c r="I63" s="408" t="s">
        <v>1197</v>
      </c>
      <c r="J63" s="406" t="s">
        <v>1891</v>
      </c>
      <c r="K63" s="406" t="s">
        <v>197</v>
      </c>
      <c r="L63" s="406" t="s">
        <v>198</v>
      </c>
      <c r="M63" s="406"/>
      <c r="N63" s="452">
        <v>0</v>
      </c>
      <c r="O63" s="452">
        <v>0</v>
      </c>
      <c r="P63" s="452">
        <v>0</v>
      </c>
      <c r="Q63" s="452">
        <v>14.520000457763672</v>
      </c>
      <c r="R63" s="452">
        <v>4.2993899583816528</v>
      </c>
      <c r="S63" s="452">
        <v>0</v>
      </c>
      <c r="T63" s="452">
        <v>0</v>
      </c>
      <c r="U63" s="409">
        <v>12.989999771118164</v>
      </c>
      <c r="V63" s="409">
        <v>46.746319770812988</v>
      </c>
      <c r="W63" s="409">
        <v>60.330230712890625</v>
      </c>
      <c r="X63" s="409">
        <v>74.525760173797607</v>
      </c>
      <c r="Y63" s="409">
        <v>868.4351591552346</v>
      </c>
      <c r="Z63" s="453">
        <f t="shared" si="13"/>
        <v>1081.8468599999992</v>
      </c>
      <c r="AA63" s="452"/>
      <c r="AB63" s="452"/>
      <c r="AC63" s="452"/>
      <c r="AD63" s="452"/>
      <c r="AE63" s="452"/>
      <c r="AF63" s="452"/>
      <c r="AG63" s="452"/>
      <c r="AH63" s="409"/>
      <c r="AI63" s="409"/>
      <c r="AJ63" s="409"/>
      <c r="AK63" s="409"/>
      <c r="AL63" s="409"/>
      <c r="AM63" s="453">
        <f t="shared" si="0"/>
        <v>0</v>
      </c>
      <c r="AN63" s="452"/>
      <c r="AO63" s="452"/>
      <c r="AP63" s="452"/>
      <c r="AQ63" s="452"/>
      <c r="AR63" s="452"/>
      <c r="AS63" s="452"/>
      <c r="AT63" s="452"/>
      <c r="AU63" s="409"/>
      <c r="AV63" s="409"/>
      <c r="AW63" s="409"/>
      <c r="AX63" s="409"/>
      <c r="AY63" s="409"/>
      <c r="AZ63" s="453">
        <f t="shared" si="1"/>
        <v>0</v>
      </c>
      <c r="BA63" s="452">
        <v>0</v>
      </c>
      <c r="BB63" s="452">
        <v>0</v>
      </c>
      <c r="BC63" s="452">
        <v>0</v>
      </c>
      <c r="BD63" s="452">
        <v>0</v>
      </c>
      <c r="BE63" s="452">
        <v>0</v>
      </c>
      <c r="BF63" s="452">
        <v>0</v>
      </c>
      <c r="BG63" s="452">
        <v>0</v>
      </c>
      <c r="BH63" s="409">
        <v>0</v>
      </c>
      <c r="BI63" s="409">
        <v>0</v>
      </c>
      <c r="BJ63" s="409">
        <v>0</v>
      </c>
      <c r="BK63" s="409">
        <v>0</v>
      </c>
      <c r="BL63" s="409">
        <v>0</v>
      </c>
      <c r="BM63" s="453">
        <f t="shared" si="2"/>
        <v>0</v>
      </c>
      <c r="BN63" s="452"/>
      <c r="BO63" s="452"/>
      <c r="BP63" s="452"/>
      <c r="BQ63" s="452"/>
      <c r="BR63" s="452"/>
      <c r="BS63" s="452"/>
      <c r="BT63" s="452"/>
      <c r="BU63" s="409"/>
      <c r="BV63" s="409"/>
      <c r="BW63" s="409"/>
      <c r="BX63" s="409"/>
      <c r="BY63" s="409"/>
      <c r="BZ63" s="453">
        <f t="shared" si="3"/>
        <v>0</v>
      </c>
      <c r="CA63" s="454">
        <f t="shared" si="4"/>
        <v>1081.8468599999992</v>
      </c>
      <c r="CB63" s="419"/>
      <c r="CC63" s="419">
        <v>1</v>
      </c>
      <c r="CD63" s="419">
        <v>1</v>
      </c>
      <c r="CE63" s="419">
        <v>1</v>
      </c>
      <c r="CF63" s="419">
        <v>1</v>
      </c>
      <c r="CG63" s="420">
        <f>IFERROR((FE63/Z63%),0)</f>
        <v>2.9402858540684318</v>
      </c>
      <c r="CH63" s="421">
        <f>IFERROR((FK63/Z63%),0)</f>
        <v>91.01343695727509</v>
      </c>
      <c r="CI63" s="414" t="s">
        <v>70</v>
      </c>
      <c r="CJ63" s="422">
        <v>0</v>
      </c>
      <c r="CK63" s="422">
        <v>0</v>
      </c>
      <c r="CL63" s="422">
        <v>0</v>
      </c>
      <c r="CM63" s="422">
        <v>0</v>
      </c>
      <c r="CN63" s="428">
        <v>1.0367568523202909E-2</v>
      </c>
      <c r="CO63" s="428">
        <v>0</v>
      </c>
      <c r="CP63" s="428">
        <v>0</v>
      </c>
      <c r="CQ63" s="428">
        <v>8.4788578474181801E-3</v>
      </c>
      <c r="CR63" s="428">
        <v>2.9812451689497803E-2</v>
      </c>
      <c r="CS63" s="428">
        <v>5.4263473840225188E-2</v>
      </c>
      <c r="CT63" s="428">
        <v>0</v>
      </c>
      <c r="CU63" s="428">
        <v>0.49398072753848682</v>
      </c>
      <c r="CV63" s="410">
        <f t="shared" si="28"/>
        <v>0.59690307943883092</v>
      </c>
      <c r="CW63" s="422">
        <v>5.1949763106248589E-2</v>
      </c>
      <c r="CX63" s="422">
        <v>5.1949763106248589E-2</v>
      </c>
      <c r="CY63" s="422">
        <v>5.1949763106248589E-2</v>
      </c>
      <c r="CZ63" s="422">
        <v>5.1949763106248589E-2</v>
      </c>
      <c r="DA63" s="428">
        <v>5.1949763106248589E-2</v>
      </c>
      <c r="DB63" s="428">
        <v>5.1949763106248589E-2</v>
      </c>
      <c r="DC63" s="428">
        <v>5.1949763106248589E-2</v>
      </c>
      <c r="DD63" s="428">
        <v>5.1949763106248589E-2</v>
      </c>
      <c r="DE63" s="428">
        <v>5.1949763106248589E-2</v>
      </c>
      <c r="DF63" s="428">
        <v>5.1949763106248589E-2</v>
      </c>
      <c r="DG63" s="428">
        <v>5.1949763106248589E-2</v>
      </c>
      <c r="DH63" s="428">
        <v>5.1949763106248589E-2</v>
      </c>
      <c r="DI63" s="410">
        <f t="shared" si="29"/>
        <v>0.62339715727498302</v>
      </c>
      <c r="DJ63" s="422">
        <v>9.9999999999999992E-2</v>
      </c>
      <c r="DK63" s="422">
        <v>9.9999999999999992E-2</v>
      </c>
      <c r="DL63" s="422">
        <v>9.9999999999999992E-2</v>
      </c>
      <c r="DM63" s="422">
        <v>9.9999999999999992E-2</v>
      </c>
      <c r="DN63" s="428">
        <v>9.9999999999999992E-2</v>
      </c>
      <c r="DO63" s="428">
        <v>9.9999999999999992E-2</v>
      </c>
      <c r="DP63" s="428">
        <v>9.9999999999999992E-2</v>
      </c>
      <c r="DQ63" s="428">
        <v>9.9999999999999992E-2</v>
      </c>
      <c r="DR63" s="428">
        <v>9.9999999999999992E-2</v>
      </c>
      <c r="DS63" s="428">
        <v>9.9999999999999992E-2</v>
      </c>
      <c r="DT63" s="428">
        <v>0</v>
      </c>
      <c r="DU63" s="428">
        <v>0</v>
      </c>
      <c r="DV63" s="410">
        <f t="shared" si="30"/>
        <v>0.99999999999999989</v>
      </c>
      <c r="DW63" s="422">
        <v>0</v>
      </c>
      <c r="DX63" s="422">
        <v>0</v>
      </c>
      <c r="DY63" s="422">
        <v>0</v>
      </c>
      <c r="DZ63" s="422">
        <v>0</v>
      </c>
      <c r="EA63" s="428">
        <v>0</v>
      </c>
      <c r="EB63" s="428">
        <v>0</v>
      </c>
      <c r="EC63" s="428">
        <v>0</v>
      </c>
      <c r="ED63" s="428">
        <v>0</v>
      </c>
      <c r="EE63" s="428">
        <v>0</v>
      </c>
      <c r="EF63" s="428">
        <v>0</v>
      </c>
      <c r="EG63" s="428">
        <v>0</v>
      </c>
      <c r="EH63" s="428">
        <v>0</v>
      </c>
      <c r="EI63" s="410">
        <f t="shared" si="31"/>
        <v>0</v>
      </c>
      <c r="EJ63" s="422">
        <v>0</v>
      </c>
      <c r="EK63" s="422">
        <v>0</v>
      </c>
      <c r="EL63" s="422">
        <v>0</v>
      </c>
      <c r="EM63" s="422">
        <v>0</v>
      </c>
      <c r="EN63" s="428">
        <v>0</v>
      </c>
      <c r="EO63" s="428">
        <v>0</v>
      </c>
      <c r="EP63" s="428">
        <v>0</v>
      </c>
      <c r="EQ63" s="428">
        <v>0</v>
      </c>
      <c r="ER63" s="428">
        <v>0</v>
      </c>
      <c r="ES63" s="428">
        <v>0</v>
      </c>
      <c r="ET63" s="428">
        <v>0</v>
      </c>
      <c r="EU63" s="428">
        <v>0</v>
      </c>
      <c r="EV63" s="410">
        <f t="shared" si="32"/>
        <v>0</v>
      </c>
      <c r="EW63" s="416">
        <f t="shared" si="33"/>
        <v>2.2203002367138138</v>
      </c>
      <c r="EX63" s="417">
        <f>IFERROR(VLOOKUP(H63,CEI_012018!$A$1:$U$509,9,FALSE),0)</f>
        <v>0</v>
      </c>
      <c r="EY63" s="417">
        <f>IFERROR(VLOOKUP(H63,CEI_022018!$A$1:$U$509,9,FALSE),0)</f>
        <v>0</v>
      </c>
      <c r="EZ63" s="417">
        <f>IFERROR(VLOOKUP(H63,CEI_032018!$A$1:$U$509,9,FALSE),0)</f>
        <v>0</v>
      </c>
      <c r="FA63" s="417">
        <f>IFERROR(VLOOKUP(H63,CEI_042018!$A$1:$U$491,9,FALSE),0)</f>
        <v>14.520000457763672</v>
      </c>
      <c r="FB63" s="417">
        <f>IFERROR(VLOOKUP(H63,CEI_052018!$A$1:$U$489,9,FALSE),0)</f>
        <v>18.819390416145325</v>
      </c>
      <c r="FC63" s="417">
        <f>IFERROR(VLOOKUP(H63,CEI_062018!$A$1:$U$489,9,FALSE),0)</f>
        <v>18.819390416145325</v>
      </c>
      <c r="FD63" s="417">
        <f>IFERROR(VLOOKUP(H63,CEI_072018!$A$1:$U$489,9,FALSE),0)</f>
        <v>18.819390416145325</v>
      </c>
      <c r="FE63" s="417">
        <f>IFERROR(VLOOKUP(H63,CEI_082018!$A$1:$U$489,9,FALSE),0)</f>
        <v>31.809390187263489</v>
      </c>
      <c r="FF63" s="417">
        <f>IFERROR(VLOOKUP(H63,CEI_092018!$A$1:$U$489,9,FALSE),0)</f>
        <v>78.555680394172668</v>
      </c>
      <c r="FG63" s="417"/>
      <c r="FH63" s="417"/>
      <c r="FI63" s="417"/>
      <c r="FJ63" s="418">
        <f>IFERROR(VLOOKUP(H63,CEI_092018!$A$1:$U$489,12,FALSE),0)</f>
        <v>906.07032950618668</v>
      </c>
      <c r="FK63" s="418">
        <f t="shared" si="20"/>
        <v>984.62600990035935</v>
      </c>
      <c r="FL63" s="418">
        <f t="shared" si="21"/>
        <v>97.220850099639847</v>
      </c>
      <c r="FM63" s="417"/>
      <c r="FN63" s="417"/>
      <c r="FO63" s="417"/>
      <c r="FP63" s="417"/>
      <c r="FQ63" s="417"/>
      <c r="FR63" s="417"/>
      <c r="FS63" s="417"/>
      <c r="FT63" s="417"/>
      <c r="FU63" s="417"/>
      <c r="FV63" s="417"/>
      <c r="FW63" s="417"/>
      <c r="FX63" s="417"/>
      <c r="FY63" s="418"/>
      <c r="FZ63" s="418"/>
      <c r="GA63" s="418"/>
      <c r="GB63" s="417"/>
      <c r="GC63" s="417"/>
      <c r="GD63" s="417"/>
      <c r="GE63" s="417"/>
      <c r="GF63" s="417"/>
      <c r="GG63" s="417"/>
      <c r="GH63" s="417"/>
      <c r="GI63" s="417"/>
      <c r="GJ63" s="417"/>
      <c r="GK63" s="417"/>
      <c r="GL63" s="417"/>
      <c r="GM63" s="417"/>
      <c r="GN63" s="418"/>
      <c r="GO63" s="418"/>
      <c r="GP63" s="418"/>
      <c r="GQ63" s="417"/>
      <c r="GR63" s="417"/>
      <c r="GS63" s="417"/>
      <c r="GT63" s="417"/>
      <c r="GU63" s="417"/>
      <c r="GV63" s="417"/>
      <c r="GW63" s="417"/>
      <c r="GX63" s="417"/>
      <c r="GY63" s="417"/>
      <c r="GZ63" s="417"/>
      <c r="HA63" s="417"/>
      <c r="HB63" s="417"/>
      <c r="HC63" s="418"/>
      <c r="HD63" s="418"/>
      <c r="HE63" s="418"/>
      <c r="HF63" s="417"/>
      <c r="HG63" s="417"/>
      <c r="HH63" s="417"/>
      <c r="HI63" s="417"/>
      <c r="HJ63" s="417"/>
      <c r="HK63" s="417"/>
      <c r="HL63" s="417"/>
      <c r="HM63" s="417"/>
      <c r="HN63" s="417"/>
      <c r="HO63" s="417"/>
      <c r="HP63" s="417"/>
      <c r="HQ63" s="417"/>
      <c r="HR63" s="418"/>
      <c r="HS63" s="418"/>
      <c r="HT63" s="418"/>
    </row>
    <row r="64" spans="1:228" s="387" customFormat="1" ht="12.95" customHeight="1" x14ac:dyDescent="0.2">
      <c r="A64" s="406" t="s">
        <v>61</v>
      </c>
      <c r="B64" s="407" t="s">
        <v>1432</v>
      </c>
      <c r="C64" s="406" t="s">
        <v>62</v>
      </c>
      <c r="D64" s="407" t="s">
        <v>196</v>
      </c>
      <c r="E64" s="407" t="s">
        <v>62</v>
      </c>
      <c r="F64" s="407" t="s">
        <v>196</v>
      </c>
      <c r="G64" s="406" t="s">
        <v>63</v>
      </c>
      <c r="H64" s="408" t="s">
        <v>1871</v>
      </c>
      <c r="I64" s="432" t="s">
        <v>1873</v>
      </c>
      <c r="J64" s="406" t="s">
        <v>1889</v>
      </c>
      <c r="K64" s="406"/>
      <c r="L64" s="406"/>
      <c r="M64" s="406"/>
      <c r="N64" s="452">
        <v>0</v>
      </c>
      <c r="O64" s="452">
        <v>0</v>
      </c>
      <c r="P64" s="452">
        <v>0</v>
      </c>
      <c r="Q64" s="452">
        <v>0</v>
      </c>
      <c r="R64" s="452">
        <v>0</v>
      </c>
      <c r="S64" s="452">
        <v>0</v>
      </c>
      <c r="T64" s="452">
        <v>0</v>
      </c>
      <c r="U64" s="409">
        <v>0</v>
      </c>
      <c r="V64" s="409"/>
      <c r="W64" s="409"/>
      <c r="X64" s="409"/>
      <c r="Y64" s="409"/>
      <c r="Z64" s="453">
        <f t="shared" si="13"/>
        <v>0</v>
      </c>
      <c r="AA64" s="452">
        <v>81.5</v>
      </c>
      <c r="AB64" s="452">
        <v>81.5</v>
      </c>
      <c r="AC64" s="452">
        <v>81.5</v>
      </c>
      <c r="AD64" s="452">
        <v>81.5</v>
      </c>
      <c r="AE64" s="452"/>
      <c r="AF64" s="452"/>
      <c r="AG64" s="452"/>
      <c r="AH64" s="409"/>
      <c r="AI64" s="409"/>
      <c r="AJ64" s="409"/>
      <c r="AK64" s="409"/>
      <c r="AL64" s="409"/>
      <c r="AM64" s="453">
        <f t="shared" si="0"/>
        <v>326</v>
      </c>
      <c r="AN64" s="452"/>
      <c r="AO64" s="452"/>
      <c r="AP64" s="452"/>
      <c r="AQ64" s="452"/>
      <c r="AR64" s="452"/>
      <c r="AS64" s="452"/>
      <c r="AT64" s="452"/>
      <c r="AU64" s="409"/>
      <c r="AV64" s="409"/>
      <c r="AW64" s="409"/>
      <c r="AX64" s="409"/>
      <c r="AY64" s="409"/>
      <c r="AZ64" s="453">
        <f t="shared" si="1"/>
        <v>0</v>
      </c>
      <c r="BA64" s="452"/>
      <c r="BB64" s="452"/>
      <c r="BC64" s="452"/>
      <c r="BD64" s="452"/>
      <c r="BE64" s="452"/>
      <c r="BF64" s="452"/>
      <c r="BG64" s="452"/>
      <c r="BH64" s="409"/>
      <c r="BI64" s="409"/>
      <c r="BJ64" s="409"/>
      <c r="BK64" s="409"/>
      <c r="BL64" s="409"/>
      <c r="BM64" s="453">
        <f t="shared" si="2"/>
        <v>0</v>
      </c>
      <c r="BN64" s="452"/>
      <c r="BO64" s="452"/>
      <c r="BP64" s="452"/>
      <c r="BQ64" s="452"/>
      <c r="BR64" s="452"/>
      <c r="BS64" s="452"/>
      <c r="BT64" s="452"/>
      <c r="BU64" s="409"/>
      <c r="BV64" s="409"/>
      <c r="BW64" s="409"/>
      <c r="BX64" s="409"/>
      <c r="BY64" s="409"/>
      <c r="BZ64" s="453">
        <f t="shared" si="3"/>
        <v>0</v>
      </c>
      <c r="CA64" s="454">
        <f t="shared" si="4"/>
        <v>326</v>
      </c>
      <c r="CB64" s="419"/>
      <c r="CC64" s="419">
        <v>1</v>
      </c>
      <c r="CD64" s="419">
        <v>1</v>
      </c>
      <c r="CE64" s="419">
        <v>1</v>
      </c>
      <c r="CF64" s="419">
        <v>1</v>
      </c>
      <c r="CG64" s="420">
        <f>IFERROR((FE64/Z64%),0)</f>
        <v>0</v>
      </c>
      <c r="CH64" s="421">
        <f>IFERROR((FK64/Z64%),0)</f>
        <v>0</v>
      </c>
      <c r="CI64" s="414" t="s">
        <v>70</v>
      </c>
      <c r="CJ64" s="415"/>
      <c r="CK64" s="415"/>
      <c r="CL64" s="415"/>
      <c r="CM64" s="415"/>
      <c r="CN64" s="415"/>
      <c r="CO64" s="415"/>
      <c r="CP64" s="415"/>
      <c r="CQ64" s="415"/>
      <c r="CR64" s="415"/>
      <c r="CS64" s="415"/>
      <c r="CT64" s="415"/>
      <c r="CU64" s="415"/>
      <c r="CV64" s="410"/>
      <c r="CW64" s="415"/>
      <c r="CX64" s="415"/>
      <c r="CY64" s="415"/>
      <c r="CZ64" s="415"/>
      <c r="DA64" s="415"/>
      <c r="DB64" s="415"/>
      <c r="DC64" s="415"/>
      <c r="DD64" s="415"/>
      <c r="DE64" s="415"/>
      <c r="DF64" s="415"/>
      <c r="DG64" s="415"/>
      <c r="DH64" s="415"/>
      <c r="DI64" s="410"/>
      <c r="DJ64" s="415"/>
      <c r="DK64" s="415"/>
      <c r="DL64" s="415"/>
      <c r="DM64" s="415"/>
      <c r="DN64" s="415"/>
      <c r="DO64" s="415"/>
      <c r="DP64" s="415"/>
      <c r="DQ64" s="415"/>
      <c r="DR64" s="415"/>
      <c r="DS64" s="415"/>
      <c r="DT64" s="415"/>
      <c r="DU64" s="415"/>
      <c r="DV64" s="410"/>
      <c r="DW64" s="415"/>
      <c r="DX64" s="415"/>
      <c r="DY64" s="415"/>
      <c r="DZ64" s="415"/>
      <c r="EA64" s="415"/>
      <c r="EB64" s="415"/>
      <c r="EC64" s="415"/>
      <c r="ED64" s="415"/>
      <c r="EE64" s="415"/>
      <c r="EF64" s="415"/>
      <c r="EG64" s="415"/>
      <c r="EH64" s="415"/>
      <c r="EI64" s="410"/>
      <c r="EJ64" s="415"/>
      <c r="EK64" s="415"/>
      <c r="EL64" s="415"/>
      <c r="EM64" s="415"/>
      <c r="EN64" s="415"/>
      <c r="EO64" s="415"/>
      <c r="EP64" s="415"/>
      <c r="EQ64" s="415"/>
      <c r="ER64" s="415"/>
      <c r="ES64" s="415"/>
      <c r="ET64" s="415"/>
      <c r="EU64" s="415"/>
      <c r="EV64" s="410"/>
      <c r="EW64" s="416"/>
      <c r="EX64" s="417"/>
      <c r="EY64" s="417"/>
      <c r="EZ64" s="417"/>
      <c r="FA64" s="417"/>
      <c r="FB64" s="417"/>
      <c r="FC64" s="417"/>
      <c r="FD64" s="417">
        <f>IFERROR(VLOOKUP(H64,CEI_072018!$A$1:$U$489,9,FALSE),0)</f>
        <v>0</v>
      </c>
      <c r="FE64" s="417">
        <f>IFERROR(VLOOKUP(H64,CEI_082018!$A$1:$U$489,9,FALSE),0)</f>
        <v>0</v>
      </c>
      <c r="FF64" s="417">
        <f>IFERROR(VLOOKUP(H64,CEI_092018!$A$1:$U$489,9,FALSE),0)</f>
        <v>0</v>
      </c>
      <c r="FG64" s="417"/>
      <c r="FH64" s="417"/>
      <c r="FI64" s="417"/>
      <c r="FJ64" s="418">
        <f>IFERROR(VLOOKUP(H64,CEI_092018!$A$1:$U$489,12,FALSE),0)</f>
        <v>0</v>
      </c>
      <c r="FK64" s="418">
        <f t="shared" si="20"/>
        <v>0</v>
      </c>
      <c r="FL64" s="418">
        <f t="shared" si="21"/>
        <v>0</v>
      </c>
      <c r="FM64" s="417"/>
      <c r="FN64" s="417"/>
      <c r="FO64" s="417"/>
      <c r="FP64" s="417"/>
      <c r="FQ64" s="417"/>
      <c r="FR64" s="417"/>
      <c r="FS64" s="417"/>
      <c r="FT64" s="417"/>
      <c r="FU64" s="417"/>
      <c r="FV64" s="417"/>
      <c r="FW64" s="417"/>
      <c r="FX64" s="417"/>
      <c r="FY64" s="418"/>
      <c r="FZ64" s="418"/>
      <c r="GA64" s="418"/>
      <c r="GB64" s="417"/>
      <c r="GC64" s="417"/>
      <c r="GD64" s="417"/>
      <c r="GE64" s="417"/>
      <c r="GF64" s="417"/>
      <c r="GG64" s="417"/>
      <c r="GH64" s="417"/>
      <c r="GI64" s="417"/>
      <c r="GJ64" s="417"/>
      <c r="GK64" s="417"/>
      <c r="GL64" s="417"/>
      <c r="GM64" s="417"/>
      <c r="GN64" s="418"/>
      <c r="GO64" s="418"/>
      <c r="GP64" s="418"/>
      <c r="GQ64" s="417"/>
      <c r="GR64" s="417"/>
      <c r="GS64" s="417"/>
      <c r="GT64" s="417"/>
      <c r="GU64" s="417"/>
      <c r="GV64" s="417"/>
      <c r="GW64" s="417"/>
      <c r="GX64" s="417"/>
      <c r="GY64" s="417"/>
      <c r="GZ64" s="417"/>
      <c r="HA64" s="417"/>
      <c r="HB64" s="417"/>
      <c r="HC64" s="418"/>
      <c r="HD64" s="418"/>
      <c r="HE64" s="418"/>
      <c r="HF64" s="417"/>
      <c r="HG64" s="417"/>
      <c r="HH64" s="417"/>
      <c r="HI64" s="417"/>
      <c r="HJ64" s="417"/>
      <c r="HK64" s="417"/>
      <c r="HL64" s="417"/>
      <c r="HM64" s="417"/>
      <c r="HN64" s="417"/>
      <c r="HO64" s="417"/>
      <c r="HP64" s="417"/>
      <c r="HQ64" s="417"/>
      <c r="HR64" s="418"/>
      <c r="HS64" s="418"/>
      <c r="HT64" s="418"/>
    </row>
    <row r="65" spans="1:228" s="387" customFormat="1" ht="12.95" customHeight="1" x14ac:dyDescent="0.2">
      <c r="A65" s="406" t="s">
        <v>61</v>
      </c>
      <c r="B65" s="407" t="s">
        <v>1432</v>
      </c>
      <c r="C65" s="406" t="s">
        <v>62</v>
      </c>
      <c r="D65" s="407" t="s">
        <v>196</v>
      </c>
      <c r="E65" s="407" t="s">
        <v>62</v>
      </c>
      <c r="F65" s="407" t="s">
        <v>196</v>
      </c>
      <c r="G65" s="406" t="s">
        <v>63</v>
      </c>
      <c r="H65" s="408" t="s">
        <v>520</v>
      </c>
      <c r="I65" s="408" t="s">
        <v>57</v>
      </c>
      <c r="J65" s="406" t="s">
        <v>1892</v>
      </c>
      <c r="K65" s="406"/>
      <c r="L65" s="406"/>
      <c r="M65" s="406"/>
      <c r="N65" s="452">
        <v>0</v>
      </c>
      <c r="O65" s="452">
        <v>0</v>
      </c>
      <c r="P65" s="452">
        <v>0</v>
      </c>
      <c r="Q65" s="452">
        <v>0</v>
      </c>
      <c r="R65" s="452">
        <v>0</v>
      </c>
      <c r="S65" s="452">
        <v>0</v>
      </c>
      <c r="T65" s="452">
        <v>0</v>
      </c>
      <c r="U65" s="409">
        <v>0</v>
      </c>
      <c r="V65" s="409"/>
      <c r="W65" s="409"/>
      <c r="X65" s="409"/>
      <c r="Y65" s="409"/>
      <c r="Z65" s="453">
        <f t="shared" si="13"/>
        <v>0</v>
      </c>
      <c r="AA65" s="452"/>
      <c r="AB65" s="452"/>
      <c r="AC65" s="452"/>
      <c r="AD65" s="452"/>
      <c r="AE65" s="452">
        <v>62.516737499999977</v>
      </c>
      <c r="AF65" s="452">
        <v>77.703347499999992</v>
      </c>
      <c r="AG65" s="452">
        <v>77.703347499999992</v>
      </c>
      <c r="AH65" s="409">
        <v>77.703347499999992</v>
      </c>
      <c r="AI65" s="409">
        <v>77.703347499999992</v>
      </c>
      <c r="AJ65" s="409">
        <v>79.365322519340168</v>
      </c>
      <c r="AK65" s="409">
        <v>77.703347499999992</v>
      </c>
      <c r="AL65" s="409">
        <v>77.703347499999992</v>
      </c>
      <c r="AM65" s="453">
        <f t="shared" si="0"/>
        <v>608.10214501934013</v>
      </c>
      <c r="AN65" s="452">
        <v>77.703347499999992</v>
      </c>
      <c r="AO65" s="452">
        <v>77.703347499999992</v>
      </c>
      <c r="AP65" s="452">
        <v>77.703347499999992</v>
      </c>
      <c r="AQ65" s="452">
        <v>77.703347499999992</v>
      </c>
      <c r="AR65" s="452">
        <v>77.703347499999992</v>
      </c>
      <c r="AS65" s="452">
        <v>77.703347499999992</v>
      </c>
      <c r="AT65" s="452">
        <v>77.703347499999992</v>
      </c>
      <c r="AU65" s="409">
        <v>77.703347499999992</v>
      </c>
      <c r="AV65" s="409">
        <v>77.703347499999992</v>
      </c>
      <c r="AW65" s="409">
        <v>77.703347499999992</v>
      </c>
      <c r="AX65" s="409">
        <v>0</v>
      </c>
      <c r="AY65" s="409">
        <v>0</v>
      </c>
      <c r="AZ65" s="453">
        <f t="shared" si="1"/>
        <v>777.03347499999984</v>
      </c>
      <c r="BA65" s="452"/>
      <c r="BB65" s="452"/>
      <c r="BC65" s="452"/>
      <c r="BD65" s="452"/>
      <c r="BE65" s="452"/>
      <c r="BF65" s="452"/>
      <c r="BG65" s="452"/>
      <c r="BH65" s="409"/>
      <c r="BI65" s="409"/>
      <c r="BJ65" s="409"/>
      <c r="BK65" s="409"/>
      <c r="BL65" s="409"/>
      <c r="BM65" s="453">
        <f t="shared" si="2"/>
        <v>0</v>
      </c>
      <c r="BN65" s="452"/>
      <c r="BO65" s="452"/>
      <c r="BP65" s="452"/>
      <c r="BQ65" s="452"/>
      <c r="BR65" s="452"/>
      <c r="BS65" s="452"/>
      <c r="BT65" s="452"/>
      <c r="BU65" s="409"/>
      <c r="BV65" s="409"/>
      <c r="BW65" s="409"/>
      <c r="BX65" s="409"/>
      <c r="BY65" s="409"/>
      <c r="BZ65" s="453">
        <f t="shared" si="3"/>
        <v>0</v>
      </c>
      <c r="CA65" s="454">
        <f t="shared" si="4"/>
        <v>1385.13562001934</v>
      </c>
      <c r="CB65" s="411"/>
      <c r="CC65" s="411"/>
      <c r="CD65" s="411"/>
      <c r="CE65" s="411"/>
      <c r="CF65" s="411"/>
      <c r="CG65" s="412"/>
      <c r="CH65" s="413"/>
      <c r="CI65" s="414" t="s">
        <v>70</v>
      </c>
      <c r="CJ65" s="422"/>
      <c r="CK65" s="422"/>
      <c r="CL65" s="422"/>
      <c r="CM65" s="422"/>
      <c r="CN65" s="428"/>
      <c r="CO65" s="428"/>
      <c r="CP65" s="428"/>
      <c r="CQ65" s="428"/>
      <c r="CR65" s="428"/>
      <c r="CS65" s="428"/>
      <c r="CT65" s="428"/>
      <c r="CU65" s="428"/>
      <c r="CV65" s="410"/>
      <c r="CW65" s="422"/>
      <c r="CX65" s="422"/>
      <c r="CY65" s="422"/>
      <c r="CZ65" s="422"/>
      <c r="DA65" s="428"/>
      <c r="DB65" s="428"/>
      <c r="DC65" s="428"/>
      <c r="DD65" s="428"/>
      <c r="DE65" s="428"/>
      <c r="DF65" s="428"/>
      <c r="DG65" s="428"/>
      <c r="DH65" s="428"/>
      <c r="DI65" s="410"/>
      <c r="DJ65" s="422"/>
      <c r="DK65" s="422"/>
      <c r="DL65" s="422"/>
      <c r="DM65" s="422"/>
      <c r="DN65" s="428"/>
      <c r="DO65" s="428"/>
      <c r="DP65" s="428"/>
      <c r="DQ65" s="428"/>
      <c r="DR65" s="428"/>
      <c r="DS65" s="428"/>
      <c r="DT65" s="428"/>
      <c r="DU65" s="428"/>
      <c r="DV65" s="410"/>
      <c r="DW65" s="422"/>
      <c r="DX65" s="422"/>
      <c r="DY65" s="422"/>
      <c r="DZ65" s="422"/>
      <c r="EA65" s="428"/>
      <c r="EB65" s="428"/>
      <c r="EC65" s="428"/>
      <c r="ED65" s="428"/>
      <c r="EE65" s="428"/>
      <c r="EF65" s="428"/>
      <c r="EG65" s="428"/>
      <c r="EH65" s="428"/>
      <c r="EI65" s="410"/>
      <c r="EJ65" s="422"/>
      <c r="EK65" s="422"/>
      <c r="EL65" s="422"/>
      <c r="EM65" s="422"/>
      <c r="EN65" s="428"/>
      <c r="EO65" s="428"/>
      <c r="EP65" s="428"/>
      <c r="EQ65" s="428"/>
      <c r="ER65" s="428"/>
      <c r="ES65" s="428"/>
      <c r="ET65" s="428"/>
      <c r="EU65" s="428"/>
      <c r="EV65" s="410"/>
      <c r="EW65" s="416"/>
      <c r="EX65" s="417"/>
      <c r="EY65" s="417"/>
      <c r="EZ65" s="417"/>
      <c r="FA65" s="417"/>
      <c r="FB65" s="417"/>
      <c r="FC65" s="417"/>
      <c r="FD65" s="417">
        <f>IFERROR(VLOOKUP(H65,CEI_072018!$A$1:$U$489,9,FALSE),0)</f>
        <v>0</v>
      </c>
      <c r="FE65" s="417">
        <f>IFERROR(VLOOKUP(H65,CEI_082018!$A$1:$U$489,9,FALSE),0)</f>
        <v>0</v>
      </c>
      <c r="FF65" s="417">
        <f>IFERROR(VLOOKUP(H65,CEI_092018!$A$1:$U$489,9,FALSE),0)</f>
        <v>0</v>
      </c>
      <c r="FG65" s="417"/>
      <c r="FH65" s="417"/>
      <c r="FI65" s="417"/>
      <c r="FJ65" s="418">
        <f>IFERROR(VLOOKUP(H65,CEI_092018!$A$1:$U$489,12,FALSE),0)</f>
        <v>0</v>
      </c>
      <c r="FK65" s="418">
        <f t="shared" si="20"/>
        <v>0</v>
      </c>
      <c r="FL65" s="418">
        <f t="shared" si="21"/>
        <v>0</v>
      </c>
      <c r="FM65" s="417"/>
      <c r="FN65" s="417"/>
      <c r="FO65" s="417"/>
      <c r="FP65" s="417"/>
      <c r="FQ65" s="417"/>
      <c r="FR65" s="417"/>
      <c r="FS65" s="417"/>
      <c r="FT65" s="417"/>
      <c r="FU65" s="417"/>
      <c r="FV65" s="417"/>
      <c r="FW65" s="417"/>
      <c r="FX65" s="417"/>
      <c r="FY65" s="418"/>
      <c r="FZ65" s="418"/>
      <c r="GA65" s="418"/>
      <c r="GB65" s="417"/>
      <c r="GC65" s="417"/>
      <c r="GD65" s="417"/>
      <c r="GE65" s="417"/>
      <c r="GF65" s="417"/>
      <c r="GG65" s="417"/>
      <c r="GH65" s="417"/>
      <c r="GI65" s="417"/>
      <c r="GJ65" s="417"/>
      <c r="GK65" s="417"/>
      <c r="GL65" s="417"/>
      <c r="GM65" s="417"/>
      <c r="GN65" s="418"/>
      <c r="GO65" s="418"/>
      <c r="GP65" s="418"/>
      <c r="GQ65" s="417"/>
      <c r="GR65" s="417"/>
      <c r="GS65" s="417"/>
      <c r="GT65" s="417"/>
      <c r="GU65" s="417"/>
      <c r="GV65" s="417"/>
      <c r="GW65" s="417"/>
      <c r="GX65" s="417"/>
      <c r="GY65" s="417"/>
      <c r="GZ65" s="417"/>
      <c r="HA65" s="417"/>
      <c r="HB65" s="417"/>
      <c r="HC65" s="418"/>
      <c r="HD65" s="418"/>
      <c r="HE65" s="418"/>
      <c r="HF65" s="417"/>
      <c r="HG65" s="417"/>
      <c r="HH65" s="417"/>
      <c r="HI65" s="417"/>
      <c r="HJ65" s="417"/>
      <c r="HK65" s="417"/>
      <c r="HL65" s="417"/>
      <c r="HM65" s="417"/>
      <c r="HN65" s="417"/>
      <c r="HO65" s="417"/>
      <c r="HP65" s="417"/>
      <c r="HQ65" s="417"/>
      <c r="HR65" s="418"/>
      <c r="HS65" s="418"/>
      <c r="HT65" s="418"/>
    </row>
    <row r="66" spans="1:228" s="387" customFormat="1" ht="12.95" customHeight="1" x14ac:dyDescent="0.2">
      <c r="A66" s="406" t="s">
        <v>61</v>
      </c>
      <c r="B66" s="407" t="s">
        <v>33</v>
      </c>
      <c r="C66" s="406" t="s">
        <v>66</v>
      </c>
      <c r="D66" s="407" t="s">
        <v>64</v>
      </c>
      <c r="E66" s="407" t="s">
        <v>66</v>
      </c>
      <c r="F66" s="407" t="s">
        <v>64</v>
      </c>
      <c r="G66" s="406" t="s">
        <v>63</v>
      </c>
      <c r="H66" s="408" t="s">
        <v>520</v>
      </c>
      <c r="I66" s="408"/>
      <c r="J66" s="406" t="s">
        <v>821</v>
      </c>
      <c r="K66" s="406" t="s">
        <v>822</v>
      </c>
      <c r="L66" s="406" t="s">
        <v>528</v>
      </c>
      <c r="M66" s="406"/>
      <c r="N66" s="452">
        <v>0</v>
      </c>
      <c r="O66" s="452">
        <v>0</v>
      </c>
      <c r="P66" s="452">
        <v>0</v>
      </c>
      <c r="Q66" s="452">
        <v>0</v>
      </c>
      <c r="R66" s="452">
        <v>0</v>
      </c>
      <c r="S66" s="452">
        <v>0</v>
      </c>
      <c r="T66" s="452">
        <v>0</v>
      </c>
      <c r="U66" s="409">
        <v>0</v>
      </c>
      <c r="V66" s="409"/>
      <c r="W66" s="409"/>
      <c r="X66" s="409"/>
      <c r="Y66" s="409"/>
      <c r="Z66" s="453">
        <f t="shared" si="13"/>
        <v>0</v>
      </c>
      <c r="AA66" s="452"/>
      <c r="AB66" s="452"/>
      <c r="AC66" s="452">
        <v>268.53983000000017</v>
      </c>
      <c r="AD66" s="452"/>
      <c r="AE66" s="452"/>
      <c r="AF66" s="452"/>
      <c r="AG66" s="452"/>
      <c r="AH66" s="409"/>
      <c r="AI66" s="409"/>
      <c r="AJ66" s="409"/>
      <c r="AK66" s="409"/>
      <c r="AL66" s="409"/>
      <c r="AM66" s="453">
        <f t="shared" ref="AM66:AM129" si="34">SUM(AA66:AL66)</f>
        <v>268.53983000000017</v>
      </c>
      <c r="AN66" s="452"/>
      <c r="AO66" s="452"/>
      <c r="AP66" s="452">
        <v>131.46016999999981</v>
      </c>
      <c r="AQ66" s="452"/>
      <c r="AR66" s="452"/>
      <c r="AS66" s="452"/>
      <c r="AT66" s="452"/>
      <c r="AU66" s="409"/>
      <c r="AV66" s="409"/>
      <c r="AW66" s="409"/>
      <c r="AX66" s="409"/>
      <c r="AY66" s="409"/>
      <c r="AZ66" s="453">
        <f t="shared" ref="AZ66:AZ129" si="35">SUM(AN66:AY66)</f>
        <v>131.46016999999981</v>
      </c>
      <c r="BA66" s="452"/>
      <c r="BB66" s="452"/>
      <c r="BC66" s="452"/>
      <c r="BD66" s="452"/>
      <c r="BE66" s="452">
        <v>400</v>
      </c>
      <c r="BF66" s="452"/>
      <c r="BG66" s="452"/>
      <c r="BH66" s="409"/>
      <c r="BI66" s="409"/>
      <c r="BJ66" s="409"/>
      <c r="BK66" s="409"/>
      <c r="BL66" s="409"/>
      <c r="BM66" s="453">
        <f t="shared" ref="BM66:BM129" si="36">SUM(BA66:BL66)</f>
        <v>400</v>
      </c>
      <c r="BN66" s="452"/>
      <c r="BO66" s="452"/>
      <c r="BP66" s="452"/>
      <c r="BQ66" s="452"/>
      <c r="BR66" s="452"/>
      <c r="BS66" s="452"/>
      <c r="BT66" s="452"/>
      <c r="BU66" s="409"/>
      <c r="BV66" s="409"/>
      <c r="BW66" s="409"/>
      <c r="BX66" s="409"/>
      <c r="BY66" s="409"/>
      <c r="BZ66" s="453">
        <f t="shared" ref="BZ66:BZ129" si="37">SUM(BN66:BY66)</f>
        <v>0</v>
      </c>
      <c r="CA66" s="454">
        <f t="shared" ref="CA66:CA129" si="38">SUM(BZ66,BM66,AZ66,AM66,Z66)</f>
        <v>800</v>
      </c>
      <c r="CB66" s="411"/>
      <c r="CC66" s="411"/>
      <c r="CD66" s="411"/>
      <c r="CE66" s="411"/>
      <c r="CF66" s="411"/>
      <c r="CG66" s="412"/>
      <c r="CH66" s="413"/>
      <c r="CI66" s="414" t="s">
        <v>70</v>
      </c>
      <c r="CJ66" s="422">
        <v>0</v>
      </c>
      <c r="CK66" s="422">
        <v>0</v>
      </c>
      <c r="CL66" s="422">
        <v>0</v>
      </c>
      <c r="CM66" s="422">
        <v>0</v>
      </c>
      <c r="CN66" s="422">
        <v>0</v>
      </c>
      <c r="CO66" s="422">
        <v>0</v>
      </c>
      <c r="CP66" s="422">
        <v>0</v>
      </c>
      <c r="CQ66" s="422">
        <v>0</v>
      </c>
      <c r="CR66" s="422">
        <v>0</v>
      </c>
      <c r="CS66" s="422">
        <v>0</v>
      </c>
      <c r="CT66" s="422">
        <v>0</v>
      </c>
      <c r="CU66" s="422">
        <v>0</v>
      </c>
      <c r="CV66" s="410">
        <f t="shared" ref="CV66:CV103" si="39">SUM(CJ66:CU66)</f>
        <v>0</v>
      </c>
      <c r="CW66" s="422">
        <v>0</v>
      </c>
      <c r="CX66" s="422">
        <v>0</v>
      </c>
      <c r="CY66" s="422">
        <v>0.67380926518687023</v>
      </c>
      <c r="CZ66" s="422">
        <v>0</v>
      </c>
      <c r="DA66" s="422">
        <v>0</v>
      </c>
      <c r="DB66" s="422">
        <v>0</v>
      </c>
      <c r="DC66" s="422">
        <v>0</v>
      </c>
      <c r="DD66" s="422">
        <v>0</v>
      </c>
      <c r="DE66" s="422">
        <v>0</v>
      </c>
      <c r="DF66" s="422">
        <v>0</v>
      </c>
      <c r="DG66" s="422">
        <v>0</v>
      </c>
      <c r="DH66" s="422">
        <v>0</v>
      </c>
      <c r="DI66" s="410">
        <f t="shared" ref="DI66:DI103" si="40">SUM(CW66:DH66)</f>
        <v>0.67380926518687023</v>
      </c>
      <c r="DJ66" s="422">
        <v>0</v>
      </c>
      <c r="DK66" s="422">
        <v>0</v>
      </c>
      <c r="DL66" s="422">
        <v>0.68661889310972513</v>
      </c>
      <c r="DM66" s="422">
        <v>0</v>
      </c>
      <c r="DN66" s="422">
        <v>0</v>
      </c>
      <c r="DO66" s="422">
        <v>0</v>
      </c>
      <c r="DP66" s="422">
        <v>0</v>
      </c>
      <c r="DQ66" s="422">
        <v>0</v>
      </c>
      <c r="DR66" s="422">
        <v>0</v>
      </c>
      <c r="DS66" s="422">
        <v>0</v>
      </c>
      <c r="DT66" s="422">
        <v>0</v>
      </c>
      <c r="DU66" s="422">
        <v>0</v>
      </c>
      <c r="DV66" s="410">
        <f t="shared" ref="DV66:DV103" si="41">SUM(DJ66:DU66)</f>
        <v>0.68661889310972513</v>
      </c>
      <c r="DW66" s="422">
        <v>0</v>
      </c>
      <c r="DX66" s="422">
        <v>0</v>
      </c>
      <c r="DY66" s="422">
        <v>0</v>
      </c>
      <c r="DZ66" s="422">
        <v>0</v>
      </c>
      <c r="EA66" s="422">
        <v>0.37209302325581395</v>
      </c>
      <c r="EB66" s="422">
        <v>0</v>
      </c>
      <c r="EC66" s="422">
        <v>0</v>
      </c>
      <c r="ED66" s="422">
        <v>0</v>
      </c>
      <c r="EE66" s="422">
        <v>0</v>
      </c>
      <c r="EF66" s="422">
        <v>0</v>
      </c>
      <c r="EG66" s="422">
        <v>0</v>
      </c>
      <c r="EH66" s="422">
        <v>0</v>
      </c>
      <c r="EI66" s="410">
        <f t="shared" ref="EI66:EI103" si="42">SUM(DW66:EH66)</f>
        <v>0.37209302325581395</v>
      </c>
      <c r="EJ66" s="422">
        <v>0</v>
      </c>
      <c r="EK66" s="422">
        <v>0</v>
      </c>
      <c r="EL66" s="422">
        <v>0</v>
      </c>
      <c r="EM66" s="422">
        <v>0</v>
      </c>
      <c r="EN66" s="422">
        <v>0</v>
      </c>
      <c r="EO66" s="422">
        <v>0</v>
      </c>
      <c r="EP66" s="422">
        <v>0</v>
      </c>
      <c r="EQ66" s="422">
        <v>0</v>
      </c>
      <c r="ER66" s="422">
        <v>0</v>
      </c>
      <c r="ES66" s="422">
        <v>0</v>
      </c>
      <c r="ET66" s="422">
        <v>0</v>
      </c>
      <c r="EU66" s="422">
        <v>0</v>
      </c>
      <c r="EV66" s="410">
        <f t="shared" ref="EV66:EV103" si="43">SUM(EJ66:EU66)</f>
        <v>0</v>
      </c>
      <c r="EW66" s="416">
        <f t="shared" ref="EW66:EW103" si="44">SUM(EV66,EI66,DV66,DI66,CV66)</f>
        <v>1.7325211815524093</v>
      </c>
      <c r="EX66" s="417">
        <f>IFERROR(VLOOKUP(H66,CEI_012018!$A$1:$U$509,9,FALSE),0)</f>
        <v>0</v>
      </c>
      <c r="EY66" s="417">
        <f>IFERROR(VLOOKUP(H66,CEI_022018!$A$1:$U$509,9,FALSE),0)</f>
        <v>0</v>
      </c>
      <c r="EZ66" s="417">
        <f>IFERROR(VLOOKUP(H66,CEI_032018!$A$1:$U$509,9,FALSE),0)</f>
        <v>0</v>
      </c>
      <c r="FA66" s="417">
        <f>IFERROR(VLOOKUP(H66,CEI_042018!$A$1:$U$491,9,FALSE),0)</f>
        <v>0</v>
      </c>
      <c r="FB66" s="417">
        <f>IFERROR(VLOOKUP(H66,CEI_052018!$A$1:$U$489,9,FALSE),0)</f>
        <v>0</v>
      </c>
      <c r="FC66" s="417">
        <f>IFERROR(VLOOKUP(H66,CEI_062018!$A$1:$U$489,9,FALSE),0)</f>
        <v>0</v>
      </c>
      <c r="FD66" s="417">
        <f>IFERROR(VLOOKUP(H66,CEI_072018!$A$1:$U$489,9,FALSE),0)</f>
        <v>0</v>
      </c>
      <c r="FE66" s="417">
        <f>IFERROR(VLOOKUP(H66,CEI_082018!$A$1:$U$489,9,FALSE),0)</f>
        <v>0</v>
      </c>
      <c r="FF66" s="417">
        <f>IFERROR(VLOOKUP(H66,CEI_092018!$A$1:$U$489,9,FALSE),0)</f>
        <v>0</v>
      </c>
      <c r="FG66" s="417"/>
      <c r="FH66" s="417"/>
      <c r="FI66" s="417"/>
      <c r="FJ66" s="418">
        <f>IFERROR(VLOOKUP(H66,CEI_092018!$A$1:$U$489,12,FALSE),0)</f>
        <v>0</v>
      </c>
      <c r="FK66" s="418">
        <f t="shared" ref="FK66:FK97" si="45">FF66+FJ66</f>
        <v>0</v>
      </c>
      <c r="FL66" s="418">
        <f t="shared" ref="FL66:FL97" si="46">SUM(Z66-FK66)</f>
        <v>0</v>
      </c>
      <c r="FM66" s="417"/>
      <c r="FN66" s="417"/>
      <c r="FO66" s="417"/>
      <c r="FP66" s="417"/>
      <c r="FQ66" s="417"/>
      <c r="FR66" s="417"/>
      <c r="FS66" s="417"/>
      <c r="FT66" s="417"/>
      <c r="FU66" s="417"/>
      <c r="FV66" s="417"/>
      <c r="FW66" s="417"/>
      <c r="FX66" s="417"/>
      <c r="FY66" s="418"/>
      <c r="FZ66" s="418"/>
      <c r="GA66" s="418"/>
      <c r="GB66" s="417"/>
      <c r="GC66" s="417"/>
      <c r="GD66" s="417"/>
      <c r="GE66" s="417"/>
      <c r="GF66" s="417"/>
      <c r="GG66" s="417"/>
      <c r="GH66" s="417"/>
      <c r="GI66" s="417"/>
      <c r="GJ66" s="417"/>
      <c r="GK66" s="417"/>
      <c r="GL66" s="417"/>
      <c r="GM66" s="417"/>
      <c r="GN66" s="418"/>
      <c r="GO66" s="418"/>
      <c r="GP66" s="418"/>
      <c r="GQ66" s="417"/>
      <c r="GR66" s="417"/>
      <c r="GS66" s="417"/>
      <c r="GT66" s="417"/>
      <c r="GU66" s="417"/>
      <c r="GV66" s="417"/>
      <c r="GW66" s="417"/>
      <c r="GX66" s="417"/>
      <c r="GY66" s="417"/>
      <c r="GZ66" s="417"/>
      <c r="HA66" s="417"/>
      <c r="HB66" s="417"/>
      <c r="HC66" s="418"/>
      <c r="HD66" s="418"/>
      <c r="HE66" s="418"/>
      <c r="HF66" s="417"/>
      <c r="HG66" s="417"/>
      <c r="HH66" s="417"/>
      <c r="HI66" s="417"/>
      <c r="HJ66" s="417"/>
      <c r="HK66" s="417"/>
      <c r="HL66" s="417"/>
      <c r="HM66" s="417"/>
      <c r="HN66" s="417"/>
      <c r="HO66" s="417"/>
      <c r="HP66" s="417"/>
      <c r="HQ66" s="417"/>
      <c r="HR66" s="418"/>
      <c r="HS66" s="418"/>
      <c r="HT66" s="418"/>
    </row>
    <row r="67" spans="1:228" s="387" customFormat="1" ht="12.95" customHeight="1" x14ac:dyDescent="0.2">
      <c r="A67" s="406" t="s">
        <v>61</v>
      </c>
      <c r="B67" s="407" t="s">
        <v>37</v>
      </c>
      <c r="C67" s="406" t="s">
        <v>66</v>
      </c>
      <c r="D67" s="407" t="s">
        <v>64</v>
      </c>
      <c r="E67" s="407" t="s">
        <v>66</v>
      </c>
      <c r="F67" s="407" t="s">
        <v>64</v>
      </c>
      <c r="G67" s="406" t="s">
        <v>63</v>
      </c>
      <c r="H67" s="408" t="s">
        <v>1453</v>
      </c>
      <c r="I67" s="408" t="s">
        <v>1455</v>
      </c>
      <c r="J67" s="406" t="s">
        <v>68</v>
      </c>
      <c r="K67" s="406" t="s">
        <v>648</v>
      </c>
      <c r="L67" s="406" t="s">
        <v>555</v>
      </c>
      <c r="M67" s="406" t="s">
        <v>1671</v>
      </c>
      <c r="N67" s="452">
        <v>0</v>
      </c>
      <c r="O67" s="452">
        <v>0</v>
      </c>
      <c r="P67" s="452">
        <v>0</v>
      </c>
      <c r="Q67" s="452">
        <v>0</v>
      </c>
      <c r="R67" s="452">
        <v>0</v>
      </c>
      <c r="S67" s="452">
        <v>0</v>
      </c>
      <c r="T67" s="452">
        <v>0</v>
      </c>
      <c r="U67" s="409">
        <v>0</v>
      </c>
      <c r="V67" s="409"/>
      <c r="W67" s="409"/>
      <c r="X67" s="409"/>
      <c r="Y67" s="409"/>
      <c r="Z67" s="453">
        <f t="shared" ref="Z67:Z130" si="47">SUM(N67:Y67)</f>
        <v>0</v>
      </c>
      <c r="AA67" s="452"/>
      <c r="AB67" s="452"/>
      <c r="AC67" s="452"/>
      <c r="AD67" s="452"/>
      <c r="AE67" s="452">
        <v>1513</v>
      </c>
      <c r="AF67" s="452"/>
      <c r="AG67" s="452"/>
      <c r="AH67" s="409"/>
      <c r="AI67" s="409"/>
      <c r="AJ67" s="409"/>
      <c r="AK67" s="409"/>
      <c r="AL67" s="409"/>
      <c r="AM67" s="453">
        <f t="shared" si="34"/>
        <v>1513</v>
      </c>
      <c r="AN67" s="452"/>
      <c r="AO67" s="452"/>
      <c r="AP67" s="452"/>
      <c r="AQ67" s="452"/>
      <c r="AR67" s="452"/>
      <c r="AS67" s="452"/>
      <c r="AT67" s="452"/>
      <c r="AU67" s="409"/>
      <c r="AV67" s="409"/>
      <c r="AW67" s="409"/>
      <c r="AX67" s="409">
        <v>1050</v>
      </c>
      <c r="AY67" s="409"/>
      <c r="AZ67" s="453">
        <f t="shared" si="35"/>
        <v>1050</v>
      </c>
      <c r="BA67" s="452"/>
      <c r="BB67" s="452"/>
      <c r="BC67" s="452"/>
      <c r="BD67" s="452"/>
      <c r="BE67" s="452"/>
      <c r="BF67" s="452"/>
      <c r="BG67" s="452"/>
      <c r="BH67" s="409"/>
      <c r="BI67" s="409"/>
      <c r="BJ67" s="409"/>
      <c r="BK67" s="409">
        <v>1008</v>
      </c>
      <c r="BL67" s="409"/>
      <c r="BM67" s="453">
        <f t="shared" si="36"/>
        <v>1008</v>
      </c>
      <c r="BN67" s="452"/>
      <c r="BO67" s="452"/>
      <c r="BP67" s="452"/>
      <c r="BQ67" s="452"/>
      <c r="BR67" s="452"/>
      <c r="BS67" s="452"/>
      <c r="BT67" s="452"/>
      <c r="BU67" s="409"/>
      <c r="BV67" s="409"/>
      <c r="BW67" s="409"/>
      <c r="BX67" s="409"/>
      <c r="BY67" s="409"/>
      <c r="BZ67" s="453">
        <f t="shared" si="37"/>
        <v>0</v>
      </c>
      <c r="CA67" s="454">
        <f t="shared" si="38"/>
        <v>3571</v>
      </c>
      <c r="CB67" s="411"/>
      <c r="CC67" s="411"/>
      <c r="CD67" s="411"/>
      <c r="CE67" s="411"/>
      <c r="CF67" s="411"/>
      <c r="CG67" s="420">
        <f>IFERROR((FE67/Z67%),0)</f>
        <v>0</v>
      </c>
      <c r="CH67" s="413"/>
      <c r="CI67" s="414" t="s">
        <v>71</v>
      </c>
      <c r="CJ67" s="415">
        <v>0</v>
      </c>
      <c r="CK67" s="415"/>
      <c r="CL67" s="415"/>
      <c r="CM67" s="415"/>
      <c r="CN67" s="415"/>
      <c r="CO67" s="415"/>
      <c r="CP67" s="415"/>
      <c r="CQ67" s="415"/>
      <c r="CR67" s="415"/>
      <c r="CS67" s="415"/>
      <c r="CT67" s="415">
        <v>11</v>
      </c>
      <c r="CU67" s="415"/>
      <c r="CV67" s="410">
        <f t="shared" si="39"/>
        <v>11</v>
      </c>
      <c r="CW67" s="415"/>
      <c r="CX67" s="415"/>
      <c r="CY67" s="415"/>
      <c r="CZ67" s="415"/>
      <c r="DA67" s="415"/>
      <c r="DB67" s="415"/>
      <c r="DC67" s="415"/>
      <c r="DD67" s="415"/>
      <c r="DE67" s="415"/>
      <c r="DF67" s="415"/>
      <c r="DG67" s="415"/>
      <c r="DH67" s="415"/>
      <c r="DI67" s="410">
        <f t="shared" si="40"/>
        <v>0</v>
      </c>
      <c r="DJ67" s="415"/>
      <c r="DK67" s="415"/>
      <c r="DL67" s="415"/>
      <c r="DM67" s="415"/>
      <c r="DN67" s="415"/>
      <c r="DO67" s="415"/>
      <c r="DP67" s="415"/>
      <c r="DQ67" s="415"/>
      <c r="DR67" s="415"/>
      <c r="DS67" s="415"/>
      <c r="DT67" s="415">
        <v>4</v>
      </c>
      <c r="DU67" s="415"/>
      <c r="DV67" s="410">
        <f t="shared" si="41"/>
        <v>4</v>
      </c>
      <c r="DW67" s="415"/>
      <c r="DX67" s="415"/>
      <c r="DY67" s="415"/>
      <c r="DZ67" s="415"/>
      <c r="EA67" s="415"/>
      <c r="EB67" s="415"/>
      <c r="EC67" s="415"/>
      <c r="ED67" s="415"/>
      <c r="EE67" s="415"/>
      <c r="EF67" s="415"/>
      <c r="EG67" s="415">
        <v>3</v>
      </c>
      <c r="EH67" s="415"/>
      <c r="EI67" s="410">
        <f t="shared" si="42"/>
        <v>3</v>
      </c>
      <c r="EJ67" s="415"/>
      <c r="EK67" s="415"/>
      <c r="EL67" s="415"/>
      <c r="EM67" s="415"/>
      <c r="EN67" s="415"/>
      <c r="EO67" s="415"/>
      <c r="EP67" s="415"/>
      <c r="EQ67" s="415"/>
      <c r="ER67" s="415"/>
      <c r="ES67" s="415"/>
      <c r="ET67" s="415"/>
      <c r="EU67" s="415"/>
      <c r="EV67" s="410">
        <f t="shared" si="43"/>
        <v>0</v>
      </c>
      <c r="EW67" s="416">
        <f t="shared" si="44"/>
        <v>18</v>
      </c>
      <c r="EX67" s="417">
        <f>IFERROR(VLOOKUP(H67,CEI_012018!$A$1:$U$509,9,FALSE),0)</f>
        <v>0</v>
      </c>
      <c r="EY67" s="417">
        <f>IFERROR(VLOOKUP(H67,CEI_022018!$A$1:$U$509,9,FALSE),0)</f>
        <v>0</v>
      </c>
      <c r="EZ67" s="417">
        <f>IFERROR(VLOOKUP(H67,CEI_032018!$A$1:$U$509,9,FALSE),0)</f>
        <v>0</v>
      </c>
      <c r="FA67" s="417">
        <f>IFERROR(VLOOKUP(H67,CEI_042018!$A$1:$U$491,9,FALSE),0)</f>
        <v>0</v>
      </c>
      <c r="FB67" s="417">
        <f>IFERROR(VLOOKUP(H67,CEI_052018!$A$1:$U$489,9,FALSE),0)</f>
        <v>0</v>
      </c>
      <c r="FC67" s="417">
        <f>IFERROR(VLOOKUP(H67,CEI_062018!$A$1:$U$489,9,FALSE),0)</f>
        <v>0</v>
      </c>
      <c r="FD67" s="417">
        <f>IFERROR(VLOOKUP(H67,CEI_072018!$A$1:$U$489,9,FALSE),0)</f>
        <v>0</v>
      </c>
      <c r="FE67" s="417">
        <f>IFERROR(VLOOKUP(H67,CEI_082018!$A$1:$U$489,9,FALSE),0)</f>
        <v>0</v>
      </c>
      <c r="FF67" s="417">
        <f>IFERROR(VLOOKUP(H67,CEI_092018!$A$1:$U$489,9,FALSE),0)</f>
        <v>0</v>
      </c>
      <c r="FG67" s="417"/>
      <c r="FH67" s="417"/>
      <c r="FI67" s="417"/>
      <c r="FJ67" s="418">
        <f>IFERROR(VLOOKUP(H67,CEI_092018!$A$1:$U$489,12,FALSE),0)</f>
        <v>988</v>
      </c>
      <c r="FK67" s="418">
        <f t="shared" si="45"/>
        <v>988</v>
      </c>
      <c r="FL67" s="418">
        <f t="shared" si="46"/>
        <v>-988</v>
      </c>
      <c r="FM67" s="417"/>
      <c r="FN67" s="417"/>
      <c r="FO67" s="417"/>
      <c r="FP67" s="417"/>
      <c r="FQ67" s="417"/>
      <c r="FR67" s="417"/>
      <c r="FS67" s="417"/>
      <c r="FT67" s="417"/>
      <c r="FU67" s="417"/>
      <c r="FV67" s="417"/>
      <c r="FW67" s="417"/>
      <c r="FX67" s="417"/>
      <c r="FY67" s="418"/>
      <c r="FZ67" s="418"/>
      <c r="GA67" s="418"/>
      <c r="GB67" s="417"/>
      <c r="GC67" s="417"/>
      <c r="GD67" s="417"/>
      <c r="GE67" s="417"/>
      <c r="GF67" s="417"/>
      <c r="GG67" s="417"/>
      <c r="GH67" s="417"/>
      <c r="GI67" s="417"/>
      <c r="GJ67" s="417"/>
      <c r="GK67" s="417"/>
      <c r="GL67" s="417"/>
      <c r="GM67" s="417"/>
      <c r="GN67" s="418"/>
      <c r="GO67" s="418"/>
      <c r="GP67" s="418"/>
      <c r="GQ67" s="417"/>
      <c r="GR67" s="417"/>
      <c r="GS67" s="417"/>
      <c r="GT67" s="417"/>
      <c r="GU67" s="417"/>
      <c r="GV67" s="417"/>
      <c r="GW67" s="417"/>
      <c r="GX67" s="417"/>
      <c r="GY67" s="417"/>
      <c r="GZ67" s="417"/>
      <c r="HA67" s="417"/>
      <c r="HB67" s="417"/>
      <c r="HC67" s="418"/>
      <c r="HD67" s="418"/>
      <c r="HE67" s="418"/>
      <c r="HF67" s="417"/>
      <c r="HG67" s="417"/>
      <c r="HH67" s="417"/>
      <c r="HI67" s="417"/>
      <c r="HJ67" s="417"/>
      <c r="HK67" s="417"/>
      <c r="HL67" s="417"/>
      <c r="HM67" s="417"/>
      <c r="HN67" s="417"/>
      <c r="HO67" s="417"/>
      <c r="HP67" s="417"/>
      <c r="HQ67" s="417"/>
      <c r="HR67" s="418"/>
      <c r="HS67" s="418"/>
      <c r="HT67" s="418"/>
    </row>
    <row r="68" spans="1:228" s="387" customFormat="1" ht="12.95" customHeight="1" x14ac:dyDescent="0.2">
      <c r="A68" s="406" t="s">
        <v>61</v>
      </c>
      <c r="B68" s="407" t="s">
        <v>33</v>
      </c>
      <c r="C68" s="406" t="s">
        <v>580</v>
      </c>
      <c r="D68" s="407" t="s">
        <v>64</v>
      </c>
      <c r="E68" s="407" t="s">
        <v>580</v>
      </c>
      <c r="F68" s="407" t="s">
        <v>64</v>
      </c>
      <c r="G68" s="406" t="s">
        <v>63</v>
      </c>
      <c r="H68" s="408" t="s">
        <v>520</v>
      </c>
      <c r="I68" s="408"/>
      <c r="J68" s="406" t="s">
        <v>575</v>
      </c>
      <c r="K68" s="406" t="s">
        <v>576</v>
      </c>
      <c r="L68" s="406" t="s">
        <v>577</v>
      </c>
      <c r="M68" s="406"/>
      <c r="N68" s="452">
        <v>0</v>
      </c>
      <c r="O68" s="452">
        <v>0</v>
      </c>
      <c r="P68" s="452">
        <v>0</v>
      </c>
      <c r="Q68" s="452">
        <v>0</v>
      </c>
      <c r="R68" s="452">
        <v>0</v>
      </c>
      <c r="S68" s="452">
        <v>0</v>
      </c>
      <c r="T68" s="452">
        <v>0</v>
      </c>
      <c r="U68" s="409">
        <v>0</v>
      </c>
      <c r="V68" s="409"/>
      <c r="W68" s="409"/>
      <c r="X68" s="409"/>
      <c r="Y68" s="409"/>
      <c r="Z68" s="453">
        <f t="shared" si="47"/>
        <v>0</v>
      </c>
      <c r="AA68" s="452"/>
      <c r="AB68" s="452"/>
      <c r="AC68" s="452"/>
      <c r="AD68" s="452"/>
      <c r="AE68" s="452"/>
      <c r="AF68" s="452"/>
      <c r="AG68" s="452"/>
      <c r="AH68" s="409"/>
      <c r="AI68" s="409"/>
      <c r="AJ68" s="409"/>
      <c r="AK68" s="409"/>
      <c r="AL68" s="409"/>
      <c r="AM68" s="453">
        <f t="shared" si="34"/>
        <v>0</v>
      </c>
      <c r="AN68" s="452"/>
      <c r="AO68" s="452"/>
      <c r="AP68" s="452"/>
      <c r="AQ68" s="452"/>
      <c r="AR68" s="452"/>
      <c r="AS68" s="452"/>
      <c r="AT68" s="452"/>
      <c r="AU68" s="409"/>
      <c r="AV68" s="409"/>
      <c r="AW68" s="409"/>
      <c r="AX68" s="409"/>
      <c r="AY68" s="409"/>
      <c r="AZ68" s="453">
        <f t="shared" si="35"/>
        <v>0</v>
      </c>
      <c r="BA68" s="452"/>
      <c r="BB68" s="452"/>
      <c r="BC68" s="452"/>
      <c r="BD68" s="452"/>
      <c r="BE68" s="452">
        <v>4</v>
      </c>
      <c r="BF68" s="452"/>
      <c r="BG68" s="452"/>
      <c r="BH68" s="409"/>
      <c r="BI68" s="409"/>
      <c r="BJ68" s="409"/>
      <c r="BK68" s="409"/>
      <c r="BL68" s="409"/>
      <c r="BM68" s="453">
        <f t="shared" si="36"/>
        <v>4</v>
      </c>
      <c r="BN68" s="452"/>
      <c r="BO68" s="452"/>
      <c r="BP68" s="452"/>
      <c r="BQ68" s="452"/>
      <c r="BR68" s="452"/>
      <c r="BS68" s="452"/>
      <c r="BT68" s="452"/>
      <c r="BU68" s="409"/>
      <c r="BV68" s="409"/>
      <c r="BW68" s="409"/>
      <c r="BX68" s="409"/>
      <c r="BY68" s="409"/>
      <c r="BZ68" s="453">
        <f t="shared" si="37"/>
        <v>0</v>
      </c>
      <c r="CA68" s="454">
        <f t="shared" si="38"/>
        <v>4</v>
      </c>
      <c r="CB68" s="411"/>
      <c r="CC68" s="411"/>
      <c r="CD68" s="411"/>
      <c r="CE68" s="411"/>
      <c r="CF68" s="411"/>
      <c r="CG68" s="412"/>
      <c r="CH68" s="413"/>
      <c r="CI68" s="414" t="s">
        <v>71</v>
      </c>
      <c r="CJ68" s="415">
        <v>0</v>
      </c>
      <c r="CK68" s="415"/>
      <c r="CL68" s="415"/>
      <c r="CM68" s="415"/>
      <c r="CN68" s="415"/>
      <c r="CO68" s="415"/>
      <c r="CP68" s="415"/>
      <c r="CQ68" s="415"/>
      <c r="CR68" s="415"/>
      <c r="CS68" s="415"/>
      <c r="CT68" s="415"/>
      <c r="CU68" s="415"/>
      <c r="CV68" s="410">
        <f t="shared" si="39"/>
        <v>0</v>
      </c>
      <c r="CW68" s="415"/>
      <c r="CX68" s="415"/>
      <c r="CY68" s="415"/>
      <c r="CZ68" s="415"/>
      <c r="DA68" s="415"/>
      <c r="DB68" s="415"/>
      <c r="DC68" s="415"/>
      <c r="DD68" s="415"/>
      <c r="DE68" s="415"/>
      <c r="DF68" s="415"/>
      <c r="DG68" s="415"/>
      <c r="DH68" s="415"/>
      <c r="DI68" s="410">
        <f t="shared" si="40"/>
        <v>0</v>
      </c>
      <c r="DJ68" s="415"/>
      <c r="DK68" s="415"/>
      <c r="DL68" s="415"/>
      <c r="DM68" s="415"/>
      <c r="DN68" s="415"/>
      <c r="DO68" s="415"/>
      <c r="DP68" s="415"/>
      <c r="DQ68" s="415"/>
      <c r="DR68" s="415"/>
      <c r="DS68" s="415"/>
      <c r="DT68" s="415"/>
      <c r="DU68" s="415"/>
      <c r="DV68" s="410">
        <f t="shared" si="41"/>
        <v>0</v>
      </c>
      <c r="DW68" s="415"/>
      <c r="DX68" s="415"/>
      <c r="DY68" s="415"/>
      <c r="DZ68" s="415"/>
      <c r="EA68" s="415">
        <v>2</v>
      </c>
      <c r="EB68" s="415"/>
      <c r="EC68" s="415"/>
      <c r="ED68" s="415"/>
      <c r="EE68" s="415"/>
      <c r="EF68" s="415"/>
      <c r="EG68" s="415"/>
      <c r="EH68" s="415"/>
      <c r="EI68" s="410">
        <f t="shared" si="42"/>
        <v>2</v>
      </c>
      <c r="EJ68" s="415"/>
      <c r="EK68" s="415"/>
      <c r="EL68" s="415"/>
      <c r="EM68" s="415"/>
      <c r="EN68" s="415"/>
      <c r="EO68" s="415"/>
      <c r="EP68" s="415"/>
      <c r="EQ68" s="415"/>
      <c r="ER68" s="415"/>
      <c r="ES68" s="415"/>
      <c r="ET68" s="415"/>
      <c r="EU68" s="415"/>
      <c r="EV68" s="410">
        <f t="shared" si="43"/>
        <v>0</v>
      </c>
      <c r="EW68" s="416">
        <f t="shared" si="44"/>
        <v>2</v>
      </c>
      <c r="EX68" s="417">
        <f>IFERROR(VLOOKUP(H68,CEI_012018!$A$1:$U$509,9,FALSE),0)</f>
        <v>0</v>
      </c>
      <c r="EY68" s="417">
        <f>IFERROR(VLOOKUP(H68,CEI_022018!$A$1:$U$509,9,FALSE),0)</f>
        <v>0</v>
      </c>
      <c r="EZ68" s="417">
        <f>IFERROR(VLOOKUP(H68,CEI_032018!$A$1:$U$509,9,FALSE),0)</f>
        <v>0</v>
      </c>
      <c r="FA68" s="417">
        <f>IFERROR(VLOOKUP(H68,CEI_042018!$A$1:$U$491,9,FALSE),0)</f>
        <v>0</v>
      </c>
      <c r="FB68" s="417">
        <f>IFERROR(VLOOKUP(H68,CEI_052018!$A$1:$U$489,9,FALSE),0)</f>
        <v>0</v>
      </c>
      <c r="FC68" s="417">
        <f>IFERROR(VLOOKUP(H68,CEI_062018!$A$1:$U$489,9,FALSE),0)</f>
        <v>0</v>
      </c>
      <c r="FD68" s="417">
        <f>IFERROR(VLOOKUP(H68,CEI_072018!$A$1:$U$489,9,FALSE),0)</f>
        <v>0</v>
      </c>
      <c r="FE68" s="417">
        <f>IFERROR(VLOOKUP(H68,CEI_082018!$A$1:$U$489,9,FALSE),0)</f>
        <v>0</v>
      </c>
      <c r="FF68" s="417">
        <f>IFERROR(VLOOKUP(H68,CEI_092018!$A$1:$U$489,9,FALSE),0)</f>
        <v>0</v>
      </c>
      <c r="FG68" s="417"/>
      <c r="FH68" s="417"/>
      <c r="FI68" s="417"/>
      <c r="FJ68" s="418">
        <f>IFERROR(VLOOKUP(H68,CEI_092018!$A$1:$U$489,12,FALSE),0)</f>
        <v>0</v>
      </c>
      <c r="FK68" s="418">
        <f t="shared" si="45"/>
        <v>0</v>
      </c>
      <c r="FL68" s="418">
        <f t="shared" si="46"/>
        <v>0</v>
      </c>
      <c r="FM68" s="417"/>
      <c r="FN68" s="417"/>
      <c r="FO68" s="417"/>
      <c r="FP68" s="417"/>
      <c r="FQ68" s="417"/>
      <c r="FR68" s="417"/>
      <c r="FS68" s="417"/>
      <c r="FT68" s="417"/>
      <c r="FU68" s="417"/>
      <c r="FV68" s="417"/>
      <c r="FW68" s="417"/>
      <c r="FX68" s="417"/>
      <c r="FY68" s="418"/>
      <c r="FZ68" s="418"/>
      <c r="GA68" s="418"/>
      <c r="GB68" s="417"/>
      <c r="GC68" s="417"/>
      <c r="GD68" s="417"/>
      <c r="GE68" s="417"/>
      <c r="GF68" s="417"/>
      <c r="GG68" s="417"/>
      <c r="GH68" s="417"/>
      <c r="GI68" s="417"/>
      <c r="GJ68" s="417"/>
      <c r="GK68" s="417"/>
      <c r="GL68" s="417"/>
      <c r="GM68" s="417"/>
      <c r="GN68" s="418"/>
      <c r="GO68" s="418"/>
      <c r="GP68" s="418"/>
      <c r="GQ68" s="417"/>
      <c r="GR68" s="417"/>
      <c r="GS68" s="417"/>
      <c r="GT68" s="417"/>
      <c r="GU68" s="417"/>
      <c r="GV68" s="417"/>
      <c r="GW68" s="417"/>
      <c r="GX68" s="417"/>
      <c r="GY68" s="417"/>
      <c r="GZ68" s="417"/>
      <c r="HA68" s="417"/>
      <c r="HB68" s="417"/>
      <c r="HC68" s="418"/>
      <c r="HD68" s="418"/>
      <c r="HE68" s="418"/>
      <c r="HF68" s="417"/>
      <c r="HG68" s="417"/>
      <c r="HH68" s="417"/>
      <c r="HI68" s="417"/>
      <c r="HJ68" s="417"/>
      <c r="HK68" s="417"/>
      <c r="HL68" s="417"/>
      <c r="HM68" s="417"/>
      <c r="HN68" s="417"/>
      <c r="HO68" s="417"/>
      <c r="HP68" s="417"/>
      <c r="HQ68" s="417"/>
      <c r="HR68" s="418"/>
      <c r="HS68" s="418"/>
      <c r="HT68" s="418"/>
    </row>
    <row r="69" spans="1:228" s="387" customFormat="1" ht="12.95" customHeight="1" x14ac:dyDescent="0.2">
      <c r="A69" s="406" t="s">
        <v>61</v>
      </c>
      <c r="B69" s="407" t="s">
        <v>33</v>
      </c>
      <c r="C69" s="406" t="s">
        <v>581</v>
      </c>
      <c r="D69" s="407" t="s">
        <v>64</v>
      </c>
      <c r="E69" s="407" t="s">
        <v>581</v>
      </c>
      <c r="F69" s="407" t="s">
        <v>64</v>
      </c>
      <c r="G69" s="406" t="s">
        <v>63</v>
      </c>
      <c r="H69" s="408" t="s">
        <v>520</v>
      </c>
      <c r="I69" s="408"/>
      <c r="J69" s="406" t="s">
        <v>823</v>
      </c>
      <c r="K69" s="406" t="s">
        <v>824</v>
      </c>
      <c r="L69" s="406" t="s">
        <v>797</v>
      </c>
      <c r="M69" s="406"/>
      <c r="N69" s="452">
        <v>0</v>
      </c>
      <c r="O69" s="452">
        <v>0</v>
      </c>
      <c r="P69" s="452">
        <v>0</v>
      </c>
      <c r="Q69" s="452">
        <v>0</v>
      </c>
      <c r="R69" s="452">
        <v>0</v>
      </c>
      <c r="S69" s="452">
        <v>0</v>
      </c>
      <c r="T69" s="452">
        <v>0</v>
      </c>
      <c r="U69" s="409">
        <v>0</v>
      </c>
      <c r="V69" s="409"/>
      <c r="W69" s="409"/>
      <c r="X69" s="409"/>
      <c r="Y69" s="409"/>
      <c r="Z69" s="453">
        <f t="shared" si="47"/>
        <v>0</v>
      </c>
      <c r="AA69" s="452"/>
      <c r="AB69" s="452"/>
      <c r="AC69" s="452"/>
      <c r="AD69" s="452"/>
      <c r="AE69" s="452"/>
      <c r="AF69" s="452"/>
      <c r="AG69" s="452">
        <v>60</v>
      </c>
      <c r="AH69" s="409"/>
      <c r="AI69" s="409"/>
      <c r="AJ69" s="409"/>
      <c r="AK69" s="409"/>
      <c r="AL69" s="409"/>
      <c r="AM69" s="453">
        <f t="shared" si="34"/>
        <v>60</v>
      </c>
      <c r="AN69" s="452"/>
      <c r="AO69" s="452"/>
      <c r="AP69" s="452">
        <v>60</v>
      </c>
      <c r="AQ69" s="452"/>
      <c r="AR69" s="452"/>
      <c r="AS69" s="452"/>
      <c r="AT69" s="452"/>
      <c r="AU69" s="409"/>
      <c r="AV69" s="409"/>
      <c r="AW69" s="409"/>
      <c r="AX69" s="409"/>
      <c r="AY69" s="409"/>
      <c r="AZ69" s="453">
        <f t="shared" si="35"/>
        <v>60</v>
      </c>
      <c r="BA69" s="452"/>
      <c r="BB69" s="452"/>
      <c r="BC69" s="452"/>
      <c r="BD69" s="452"/>
      <c r="BE69" s="452"/>
      <c r="BF69" s="452"/>
      <c r="BG69" s="452"/>
      <c r="BH69" s="409"/>
      <c r="BI69" s="409"/>
      <c r="BJ69" s="409"/>
      <c r="BK69" s="409"/>
      <c r="BL69" s="409"/>
      <c r="BM69" s="453">
        <f t="shared" si="36"/>
        <v>0</v>
      </c>
      <c r="BN69" s="452"/>
      <c r="BO69" s="452"/>
      <c r="BP69" s="452"/>
      <c r="BQ69" s="452"/>
      <c r="BR69" s="452"/>
      <c r="BS69" s="452"/>
      <c r="BT69" s="452"/>
      <c r="BU69" s="409"/>
      <c r="BV69" s="409"/>
      <c r="BW69" s="409"/>
      <c r="BX69" s="409"/>
      <c r="BY69" s="409"/>
      <c r="BZ69" s="453">
        <f t="shared" si="37"/>
        <v>0</v>
      </c>
      <c r="CA69" s="454">
        <f t="shared" si="38"/>
        <v>120</v>
      </c>
      <c r="CB69" s="411"/>
      <c r="CC69" s="411"/>
      <c r="CD69" s="411"/>
      <c r="CE69" s="411"/>
      <c r="CF69" s="411"/>
      <c r="CG69" s="412"/>
      <c r="CH69" s="413"/>
      <c r="CI69" s="414" t="s">
        <v>70</v>
      </c>
      <c r="CJ69" s="422">
        <v>0</v>
      </c>
      <c r="CK69" s="422">
        <v>0</v>
      </c>
      <c r="CL69" s="422">
        <v>0</v>
      </c>
      <c r="CM69" s="422">
        <v>0</v>
      </c>
      <c r="CN69" s="422">
        <v>0</v>
      </c>
      <c r="CO69" s="422">
        <v>0</v>
      </c>
      <c r="CP69" s="422">
        <v>0</v>
      </c>
      <c r="CQ69" s="422">
        <v>0</v>
      </c>
      <c r="CR69" s="422">
        <v>0</v>
      </c>
      <c r="CS69" s="422">
        <v>0</v>
      </c>
      <c r="CT69" s="422">
        <v>0</v>
      </c>
      <c r="CU69" s="422">
        <v>0</v>
      </c>
      <c r="CV69" s="410">
        <f t="shared" si="39"/>
        <v>0</v>
      </c>
      <c r="CW69" s="422">
        <v>0</v>
      </c>
      <c r="CX69" s="422">
        <v>0</v>
      </c>
      <c r="CY69" s="422">
        <v>0</v>
      </c>
      <c r="CZ69" s="422">
        <v>0</v>
      </c>
      <c r="DA69" s="422">
        <v>0</v>
      </c>
      <c r="DB69" s="422">
        <v>0</v>
      </c>
      <c r="DC69" s="422">
        <v>0.1505495699137524</v>
      </c>
      <c r="DD69" s="422">
        <v>0</v>
      </c>
      <c r="DE69" s="422">
        <v>0</v>
      </c>
      <c r="DF69" s="422">
        <v>0</v>
      </c>
      <c r="DG69" s="422">
        <v>0</v>
      </c>
      <c r="DH69" s="422">
        <v>0</v>
      </c>
      <c r="DI69" s="410">
        <f t="shared" si="40"/>
        <v>0.1505495699137524</v>
      </c>
      <c r="DJ69" s="422">
        <v>0</v>
      </c>
      <c r="DK69" s="422">
        <v>0</v>
      </c>
      <c r="DL69" s="422">
        <v>0.31338110689027382</v>
      </c>
      <c r="DM69" s="422">
        <v>0</v>
      </c>
      <c r="DN69" s="422">
        <v>0</v>
      </c>
      <c r="DO69" s="422">
        <v>0</v>
      </c>
      <c r="DP69" s="422">
        <v>0</v>
      </c>
      <c r="DQ69" s="422">
        <v>0</v>
      </c>
      <c r="DR69" s="422">
        <v>0</v>
      </c>
      <c r="DS69" s="422">
        <v>0</v>
      </c>
      <c r="DT69" s="422">
        <v>0</v>
      </c>
      <c r="DU69" s="422">
        <v>0</v>
      </c>
      <c r="DV69" s="410">
        <f t="shared" si="41"/>
        <v>0.31338110689027382</v>
      </c>
      <c r="DW69" s="422">
        <v>0</v>
      </c>
      <c r="DX69" s="422">
        <v>0</v>
      </c>
      <c r="DY69" s="422">
        <v>0</v>
      </c>
      <c r="DZ69" s="422">
        <v>0</v>
      </c>
      <c r="EA69" s="422">
        <v>0</v>
      </c>
      <c r="EB69" s="422">
        <v>0</v>
      </c>
      <c r="EC69" s="422">
        <v>0</v>
      </c>
      <c r="ED69" s="422">
        <v>0</v>
      </c>
      <c r="EE69" s="422">
        <v>0</v>
      </c>
      <c r="EF69" s="422">
        <v>0</v>
      </c>
      <c r="EG69" s="422">
        <v>0</v>
      </c>
      <c r="EH69" s="422">
        <v>0</v>
      </c>
      <c r="EI69" s="410">
        <f t="shared" si="42"/>
        <v>0</v>
      </c>
      <c r="EJ69" s="422">
        <v>0</v>
      </c>
      <c r="EK69" s="422">
        <v>0</v>
      </c>
      <c r="EL69" s="422">
        <v>0</v>
      </c>
      <c r="EM69" s="422">
        <v>0</v>
      </c>
      <c r="EN69" s="422">
        <v>0</v>
      </c>
      <c r="EO69" s="422">
        <v>0</v>
      </c>
      <c r="EP69" s="422">
        <v>0</v>
      </c>
      <c r="EQ69" s="422">
        <v>0</v>
      </c>
      <c r="ER69" s="422">
        <v>0</v>
      </c>
      <c r="ES69" s="422">
        <v>0</v>
      </c>
      <c r="ET69" s="422">
        <v>0</v>
      </c>
      <c r="EU69" s="422">
        <v>0</v>
      </c>
      <c r="EV69" s="410">
        <f t="shared" si="43"/>
        <v>0</v>
      </c>
      <c r="EW69" s="416">
        <f t="shared" si="44"/>
        <v>0.46393067680402622</v>
      </c>
      <c r="EX69" s="417">
        <f>IFERROR(VLOOKUP(H69,CEI_012018!$A$1:$U$509,9,FALSE),0)</f>
        <v>0</v>
      </c>
      <c r="EY69" s="417">
        <f>IFERROR(VLOOKUP(H69,CEI_022018!$A$1:$U$509,9,FALSE),0)</f>
        <v>0</v>
      </c>
      <c r="EZ69" s="417">
        <f>IFERROR(VLOOKUP(H69,CEI_032018!$A$1:$U$509,9,FALSE),0)</f>
        <v>0</v>
      </c>
      <c r="FA69" s="417">
        <f>IFERROR(VLOOKUP(H69,CEI_042018!$A$1:$U$491,9,FALSE),0)</f>
        <v>0</v>
      </c>
      <c r="FB69" s="417">
        <f>IFERROR(VLOOKUP(H69,CEI_052018!$A$1:$U$489,9,FALSE),0)</f>
        <v>0</v>
      </c>
      <c r="FC69" s="417">
        <f>IFERROR(VLOOKUP(H69,CEI_062018!$A$1:$U$489,9,FALSE),0)</f>
        <v>0</v>
      </c>
      <c r="FD69" s="417">
        <f>IFERROR(VLOOKUP(H69,CEI_072018!$A$1:$U$489,9,FALSE),0)</f>
        <v>0</v>
      </c>
      <c r="FE69" s="417">
        <f>IFERROR(VLOOKUP(H69,CEI_082018!$A$1:$U$489,9,FALSE),0)</f>
        <v>0</v>
      </c>
      <c r="FF69" s="417">
        <f>IFERROR(VLOOKUP(H69,CEI_092018!$A$1:$U$489,9,FALSE),0)</f>
        <v>0</v>
      </c>
      <c r="FG69" s="417"/>
      <c r="FH69" s="417"/>
      <c r="FI69" s="417"/>
      <c r="FJ69" s="418">
        <f>IFERROR(VLOOKUP(H69,CEI_092018!$A$1:$U$489,12,FALSE),0)</f>
        <v>0</v>
      </c>
      <c r="FK69" s="418">
        <f t="shared" si="45"/>
        <v>0</v>
      </c>
      <c r="FL69" s="418">
        <f t="shared" si="46"/>
        <v>0</v>
      </c>
      <c r="FM69" s="417"/>
      <c r="FN69" s="417"/>
      <c r="FO69" s="417"/>
      <c r="FP69" s="417"/>
      <c r="FQ69" s="417"/>
      <c r="FR69" s="417"/>
      <c r="FS69" s="417"/>
      <c r="FT69" s="417"/>
      <c r="FU69" s="417"/>
      <c r="FV69" s="417"/>
      <c r="FW69" s="417"/>
      <c r="FX69" s="417"/>
      <c r="FY69" s="418"/>
      <c r="FZ69" s="418"/>
      <c r="GA69" s="418"/>
      <c r="GB69" s="417"/>
      <c r="GC69" s="417"/>
      <c r="GD69" s="417"/>
      <c r="GE69" s="417"/>
      <c r="GF69" s="417"/>
      <c r="GG69" s="417"/>
      <c r="GH69" s="417"/>
      <c r="GI69" s="417"/>
      <c r="GJ69" s="417"/>
      <c r="GK69" s="417"/>
      <c r="GL69" s="417"/>
      <c r="GM69" s="417"/>
      <c r="GN69" s="418"/>
      <c r="GO69" s="418"/>
      <c r="GP69" s="418"/>
      <c r="GQ69" s="417"/>
      <c r="GR69" s="417"/>
      <c r="GS69" s="417"/>
      <c r="GT69" s="417"/>
      <c r="GU69" s="417"/>
      <c r="GV69" s="417"/>
      <c r="GW69" s="417"/>
      <c r="GX69" s="417"/>
      <c r="GY69" s="417"/>
      <c r="GZ69" s="417"/>
      <c r="HA69" s="417"/>
      <c r="HB69" s="417"/>
      <c r="HC69" s="418"/>
      <c r="HD69" s="418"/>
      <c r="HE69" s="418"/>
      <c r="HF69" s="417"/>
      <c r="HG69" s="417"/>
      <c r="HH69" s="417"/>
      <c r="HI69" s="417"/>
      <c r="HJ69" s="417"/>
      <c r="HK69" s="417"/>
      <c r="HL69" s="417"/>
      <c r="HM69" s="417"/>
      <c r="HN69" s="417"/>
      <c r="HO69" s="417"/>
      <c r="HP69" s="417"/>
      <c r="HQ69" s="417"/>
      <c r="HR69" s="418"/>
      <c r="HS69" s="418"/>
      <c r="HT69" s="418"/>
    </row>
    <row r="70" spans="1:228" s="387" customFormat="1" ht="12.95" customHeight="1" x14ac:dyDescent="0.2">
      <c r="A70" s="406" t="s">
        <v>61</v>
      </c>
      <c r="B70" s="407" t="s">
        <v>33</v>
      </c>
      <c r="C70" s="406" t="s">
        <v>581</v>
      </c>
      <c r="D70" s="407" t="s">
        <v>64</v>
      </c>
      <c r="E70" s="407" t="s">
        <v>581</v>
      </c>
      <c r="F70" s="407" t="s">
        <v>64</v>
      </c>
      <c r="G70" s="406" t="s">
        <v>63</v>
      </c>
      <c r="H70" s="408" t="s">
        <v>520</v>
      </c>
      <c r="I70" s="408"/>
      <c r="J70" s="406" t="s">
        <v>553</v>
      </c>
      <c r="K70" s="406" t="s">
        <v>526</v>
      </c>
      <c r="L70" s="406" t="s">
        <v>527</v>
      </c>
      <c r="M70" s="406"/>
      <c r="N70" s="452">
        <v>0</v>
      </c>
      <c r="O70" s="452">
        <v>0</v>
      </c>
      <c r="P70" s="452">
        <v>0</v>
      </c>
      <c r="Q70" s="452">
        <v>0</v>
      </c>
      <c r="R70" s="452">
        <v>0</v>
      </c>
      <c r="S70" s="452">
        <v>0</v>
      </c>
      <c r="T70" s="452">
        <v>0</v>
      </c>
      <c r="U70" s="409">
        <v>0</v>
      </c>
      <c r="V70" s="409"/>
      <c r="W70" s="409"/>
      <c r="X70" s="409"/>
      <c r="Y70" s="409"/>
      <c r="Z70" s="453">
        <f t="shared" si="47"/>
        <v>0</v>
      </c>
      <c r="AA70" s="452"/>
      <c r="AB70" s="452"/>
      <c r="AC70" s="452"/>
      <c r="AD70" s="452"/>
      <c r="AE70" s="452"/>
      <c r="AF70" s="452"/>
      <c r="AG70" s="452"/>
      <c r="AH70" s="409"/>
      <c r="AI70" s="409"/>
      <c r="AJ70" s="409"/>
      <c r="AK70" s="409"/>
      <c r="AL70" s="409"/>
      <c r="AM70" s="453">
        <f t="shared" si="34"/>
        <v>0</v>
      </c>
      <c r="AN70" s="452"/>
      <c r="AO70" s="452"/>
      <c r="AP70" s="452"/>
      <c r="AQ70" s="452"/>
      <c r="AR70" s="452"/>
      <c r="AS70" s="452"/>
      <c r="AT70" s="452"/>
      <c r="AU70" s="409"/>
      <c r="AV70" s="409"/>
      <c r="AW70" s="409"/>
      <c r="AX70" s="409"/>
      <c r="AY70" s="409"/>
      <c r="AZ70" s="453">
        <f t="shared" si="35"/>
        <v>0</v>
      </c>
      <c r="BA70" s="452"/>
      <c r="BB70" s="452"/>
      <c r="BC70" s="452"/>
      <c r="BD70" s="452"/>
      <c r="BE70" s="452"/>
      <c r="BF70" s="452">
        <v>60</v>
      </c>
      <c r="BG70" s="452"/>
      <c r="BH70" s="409"/>
      <c r="BI70" s="409"/>
      <c r="BJ70" s="409"/>
      <c r="BK70" s="409"/>
      <c r="BL70" s="409"/>
      <c r="BM70" s="453">
        <f t="shared" si="36"/>
        <v>60</v>
      </c>
      <c r="BN70" s="452"/>
      <c r="BO70" s="452"/>
      <c r="BP70" s="452"/>
      <c r="BQ70" s="452"/>
      <c r="BR70" s="452"/>
      <c r="BS70" s="452"/>
      <c r="BT70" s="452"/>
      <c r="BU70" s="409"/>
      <c r="BV70" s="409"/>
      <c r="BW70" s="409"/>
      <c r="BX70" s="409"/>
      <c r="BY70" s="409"/>
      <c r="BZ70" s="453">
        <f t="shared" si="37"/>
        <v>0</v>
      </c>
      <c r="CA70" s="454">
        <f t="shared" si="38"/>
        <v>60</v>
      </c>
      <c r="CB70" s="411"/>
      <c r="CC70" s="411"/>
      <c r="CD70" s="411"/>
      <c r="CE70" s="411"/>
      <c r="CF70" s="411"/>
      <c r="CG70" s="412"/>
      <c r="CH70" s="413"/>
      <c r="CI70" s="414" t="s">
        <v>70</v>
      </c>
      <c r="CJ70" s="422">
        <v>0</v>
      </c>
      <c r="CK70" s="422">
        <v>0</v>
      </c>
      <c r="CL70" s="422">
        <v>0</v>
      </c>
      <c r="CM70" s="422">
        <v>0</v>
      </c>
      <c r="CN70" s="422">
        <v>0</v>
      </c>
      <c r="CO70" s="422">
        <v>0</v>
      </c>
      <c r="CP70" s="422">
        <v>0</v>
      </c>
      <c r="CQ70" s="422">
        <v>0</v>
      </c>
      <c r="CR70" s="422">
        <v>0</v>
      </c>
      <c r="CS70" s="422">
        <v>0</v>
      </c>
      <c r="CT70" s="422">
        <v>0</v>
      </c>
      <c r="CU70" s="422">
        <v>0</v>
      </c>
      <c r="CV70" s="410">
        <f t="shared" si="39"/>
        <v>0</v>
      </c>
      <c r="CW70" s="422">
        <v>0</v>
      </c>
      <c r="CX70" s="422">
        <v>0</v>
      </c>
      <c r="CY70" s="422">
        <v>0</v>
      </c>
      <c r="CZ70" s="422">
        <v>0</v>
      </c>
      <c r="DA70" s="422">
        <v>0</v>
      </c>
      <c r="DB70" s="422">
        <v>0</v>
      </c>
      <c r="DC70" s="422">
        <v>0</v>
      </c>
      <c r="DD70" s="422">
        <v>0</v>
      </c>
      <c r="DE70" s="422">
        <v>0</v>
      </c>
      <c r="DF70" s="422">
        <v>0</v>
      </c>
      <c r="DG70" s="422">
        <v>0</v>
      </c>
      <c r="DH70" s="422">
        <v>0</v>
      </c>
      <c r="DI70" s="410">
        <f t="shared" si="40"/>
        <v>0</v>
      </c>
      <c r="DJ70" s="422">
        <v>0</v>
      </c>
      <c r="DK70" s="422">
        <v>0</v>
      </c>
      <c r="DL70" s="422">
        <v>0</v>
      </c>
      <c r="DM70" s="422">
        <v>0</v>
      </c>
      <c r="DN70" s="422">
        <v>0</v>
      </c>
      <c r="DO70" s="422">
        <v>0</v>
      </c>
      <c r="DP70" s="422">
        <v>0</v>
      </c>
      <c r="DQ70" s="422">
        <v>0</v>
      </c>
      <c r="DR70" s="422">
        <v>0</v>
      </c>
      <c r="DS70" s="422">
        <v>0</v>
      </c>
      <c r="DT70" s="422">
        <v>0</v>
      </c>
      <c r="DU70" s="422">
        <v>0</v>
      </c>
      <c r="DV70" s="410">
        <f t="shared" si="41"/>
        <v>0</v>
      </c>
      <c r="DW70" s="422">
        <v>0</v>
      </c>
      <c r="DX70" s="422">
        <v>0</v>
      </c>
      <c r="DY70" s="422">
        <v>0</v>
      </c>
      <c r="DZ70" s="422">
        <v>0</v>
      </c>
      <c r="EA70" s="422">
        <v>0</v>
      </c>
      <c r="EB70" s="422">
        <v>5.5813953488372092E-2</v>
      </c>
      <c r="EC70" s="422">
        <v>0</v>
      </c>
      <c r="ED70" s="422">
        <v>0</v>
      </c>
      <c r="EE70" s="422">
        <v>0</v>
      </c>
      <c r="EF70" s="422">
        <v>0</v>
      </c>
      <c r="EG70" s="422">
        <v>0</v>
      </c>
      <c r="EH70" s="422">
        <v>0</v>
      </c>
      <c r="EI70" s="410">
        <f t="shared" si="42"/>
        <v>5.5813953488372092E-2</v>
      </c>
      <c r="EJ70" s="422">
        <v>0</v>
      </c>
      <c r="EK70" s="422">
        <v>0</v>
      </c>
      <c r="EL70" s="422">
        <v>0</v>
      </c>
      <c r="EM70" s="422">
        <v>0</v>
      </c>
      <c r="EN70" s="422">
        <v>0</v>
      </c>
      <c r="EO70" s="422">
        <v>0</v>
      </c>
      <c r="EP70" s="422">
        <v>0</v>
      </c>
      <c r="EQ70" s="422">
        <v>0</v>
      </c>
      <c r="ER70" s="422">
        <v>0</v>
      </c>
      <c r="ES70" s="422">
        <v>0</v>
      </c>
      <c r="ET70" s="422">
        <v>0</v>
      </c>
      <c r="EU70" s="422">
        <v>0</v>
      </c>
      <c r="EV70" s="410">
        <f t="shared" si="43"/>
        <v>0</v>
      </c>
      <c r="EW70" s="416">
        <f t="shared" si="44"/>
        <v>5.5813953488372092E-2</v>
      </c>
      <c r="EX70" s="417">
        <f>IFERROR(VLOOKUP(H70,CEI_012018!$A$1:$U$509,9,FALSE),0)</f>
        <v>0</v>
      </c>
      <c r="EY70" s="417">
        <f>IFERROR(VLOOKUP(H70,CEI_022018!$A$1:$U$509,9,FALSE),0)</f>
        <v>0</v>
      </c>
      <c r="EZ70" s="417">
        <f>IFERROR(VLOOKUP(H70,CEI_032018!$A$1:$U$509,9,FALSE),0)</f>
        <v>0</v>
      </c>
      <c r="FA70" s="417">
        <f>IFERROR(VLOOKUP(H70,CEI_042018!$A$1:$U$491,9,FALSE),0)</f>
        <v>0</v>
      </c>
      <c r="FB70" s="417">
        <f>IFERROR(VLOOKUP(H70,CEI_052018!$A$1:$U$489,9,FALSE),0)</f>
        <v>0</v>
      </c>
      <c r="FC70" s="417">
        <f>IFERROR(VLOOKUP(H70,CEI_062018!$A$1:$U$489,9,FALSE),0)</f>
        <v>0</v>
      </c>
      <c r="FD70" s="417">
        <f>IFERROR(VLOOKUP(H70,CEI_072018!$A$1:$U$489,9,FALSE),0)</f>
        <v>0</v>
      </c>
      <c r="FE70" s="417">
        <f>IFERROR(VLOOKUP(H70,CEI_082018!$A$1:$U$489,9,FALSE),0)</f>
        <v>0</v>
      </c>
      <c r="FF70" s="417">
        <f>IFERROR(VLOOKUP(H70,CEI_092018!$A$1:$U$489,9,FALSE),0)</f>
        <v>0</v>
      </c>
      <c r="FG70" s="417"/>
      <c r="FH70" s="417"/>
      <c r="FI70" s="417"/>
      <c r="FJ70" s="418">
        <f>IFERROR(VLOOKUP(H70,CEI_092018!$A$1:$U$489,12,FALSE),0)</f>
        <v>0</v>
      </c>
      <c r="FK70" s="418">
        <f t="shared" si="45"/>
        <v>0</v>
      </c>
      <c r="FL70" s="418">
        <f t="shared" si="46"/>
        <v>0</v>
      </c>
      <c r="FM70" s="417"/>
      <c r="FN70" s="417"/>
      <c r="FO70" s="417"/>
      <c r="FP70" s="417"/>
      <c r="FQ70" s="417"/>
      <c r="FR70" s="417"/>
      <c r="FS70" s="417"/>
      <c r="FT70" s="417"/>
      <c r="FU70" s="417"/>
      <c r="FV70" s="417"/>
      <c r="FW70" s="417"/>
      <c r="FX70" s="417"/>
      <c r="FY70" s="418"/>
      <c r="FZ70" s="418"/>
      <c r="GA70" s="418"/>
      <c r="GB70" s="417"/>
      <c r="GC70" s="417"/>
      <c r="GD70" s="417"/>
      <c r="GE70" s="417"/>
      <c r="GF70" s="417"/>
      <c r="GG70" s="417"/>
      <c r="GH70" s="417"/>
      <c r="GI70" s="417"/>
      <c r="GJ70" s="417"/>
      <c r="GK70" s="417"/>
      <c r="GL70" s="417"/>
      <c r="GM70" s="417"/>
      <c r="GN70" s="418"/>
      <c r="GO70" s="418"/>
      <c r="GP70" s="418"/>
      <c r="GQ70" s="417"/>
      <c r="GR70" s="417"/>
      <c r="GS70" s="417"/>
      <c r="GT70" s="417"/>
      <c r="GU70" s="417"/>
      <c r="GV70" s="417"/>
      <c r="GW70" s="417"/>
      <c r="GX70" s="417"/>
      <c r="GY70" s="417"/>
      <c r="GZ70" s="417"/>
      <c r="HA70" s="417"/>
      <c r="HB70" s="417"/>
      <c r="HC70" s="418"/>
      <c r="HD70" s="418"/>
      <c r="HE70" s="418"/>
      <c r="HF70" s="417"/>
      <c r="HG70" s="417"/>
      <c r="HH70" s="417"/>
      <c r="HI70" s="417"/>
      <c r="HJ70" s="417"/>
      <c r="HK70" s="417"/>
      <c r="HL70" s="417"/>
      <c r="HM70" s="417"/>
      <c r="HN70" s="417"/>
      <c r="HO70" s="417"/>
      <c r="HP70" s="417"/>
      <c r="HQ70" s="417"/>
      <c r="HR70" s="418"/>
      <c r="HS70" s="418"/>
      <c r="HT70" s="418"/>
    </row>
    <row r="71" spans="1:228" s="387" customFormat="1" ht="12.95" customHeight="1" x14ac:dyDescent="0.2">
      <c r="A71" s="406" t="s">
        <v>61</v>
      </c>
      <c r="B71" s="407" t="s">
        <v>33</v>
      </c>
      <c r="C71" s="406" t="s">
        <v>581</v>
      </c>
      <c r="D71" s="407" t="s">
        <v>64</v>
      </c>
      <c r="E71" s="407" t="s">
        <v>581</v>
      </c>
      <c r="F71" s="407" t="s">
        <v>64</v>
      </c>
      <c r="G71" s="406" t="s">
        <v>63</v>
      </c>
      <c r="H71" s="408" t="s">
        <v>520</v>
      </c>
      <c r="I71" s="408"/>
      <c r="J71" s="406" t="s">
        <v>529</v>
      </c>
      <c r="K71" s="406" t="s">
        <v>529</v>
      </c>
      <c r="L71" s="406" t="s">
        <v>530</v>
      </c>
      <c r="M71" s="406"/>
      <c r="N71" s="452">
        <v>0</v>
      </c>
      <c r="O71" s="452">
        <v>0</v>
      </c>
      <c r="P71" s="452">
        <v>0</v>
      </c>
      <c r="Q71" s="452">
        <v>0</v>
      </c>
      <c r="R71" s="452">
        <v>0</v>
      </c>
      <c r="S71" s="452">
        <v>0</v>
      </c>
      <c r="T71" s="452">
        <v>0</v>
      </c>
      <c r="U71" s="409">
        <v>0</v>
      </c>
      <c r="V71" s="409"/>
      <c r="W71" s="409"/>
      <c r="X71" s="409"/>
      <c r="Y71" s="409"/>
      <c r="Z71" s="453">
        <f t="shared" si="47"/>
        <v>0</v>
      </c>
      <c r="AA71" s="452"/>
      <c r="AB71" s="452"/>
      <c r="AC71" s="452">
        <v>70</v>
      </c>
      <c r="AD71" s="452"/>
      <c r="AE71" s="452"/>
      <c r="AF71" s="452"/>
      <c r="AG71" s="452"/>
      <c r="AH71" s="409"/>
      <c r="AI71" s="409"/>
      <c r="AJ71" s="409"/>
      <c r="AK71" s="409"/>
      <c r="AL71" s="409"/>
      <c r="AM71" s="453">
        <f t="shared" si="34"/>
        <v>70</v>
      </c>
      <c r="AN71" s="452"/>
      <c r="AO71" s="452"/>
      <c r="AP71" s="452"/>
      <c r="AQ71" s="452"/>
      <c r="AR71" s="452"/>
      <c r="AS71" s="452"/>
      <c r="AT71" s="452"/>
      <c r="AU71" s="409"/>
      <c r="AV71" s="409"/>
      <c r="AW71" s="409"/>
      <c r="AX71" s="409"/>
      <c r="AY71" s="409"/>
      <c r="AZ71" s="453">
        <f t="shared" si="35"/>
        <v>0</v>
      </c>
      <c r="BA71" s="452"/>
      <c r="BB71" s="452"/>
      <c r="BC71" s="452"/>
      <c r="BD71" s="452"/>
      <c r="BE71" s="452"/>
      <c r="BF71" s="452"/>
      <c r="BG71" s="452"/>
      <c r="BH71" s="409"/>
      <c r="BI71" s="409"/>
      <c r="BJ71" s="409"/>
      <c r="BK71" s="409"/>
      <c r="BL71" s="409"/>
      <c r="BM71" s="453">
        <f t="shared" si="36"/>
        <v>0</v>
      </c>
      <c r="BN71" s="452"/>
      <c r="BO71" s="452"/>
      <c r="BP71" s="452"/>
      <c r="BQ71" s="452"/>
      <c r="BR71" s="452"/>
      <c r="BS71" s="452"/>
      <c r="BT71" s="452"/>
      <c r="BU71" s="409"/>
      <c r="BV71" s="409"/>
      <c r="BW71" s="409"/>
      <c r="BX71" s="409"/>
      <c r="BY71" s="409"/>
      <c r="BZ71" s="453">
        <f t="shared" si="37"/>
        <v>0</v>
      </c>
      <c r="CA71" s="454">
        <f t="shared" si="38"/>
        <v>70</v>
      </c>
      <c r="CB71" s="411"/>
      <c r="CC71" s="411"/>
      <c r="CD71" s="411"/>
      <c r="CE71" s="411"/>
      <c r="CF71" s="411"/>
      <c r="CG71" s="412"/>
      <c r="CH71" s="413"/>
      <c r="CI71" s="414" t="s">
        <v>70</v>
      </c>
      <c r="CJ71" s="422">
        <v>0</v>
      </c>
      <c r="CK71" s="422">
        <v>0</v>
      </c>
      <c r="CL71" s="422">
        <v>0</v>
      </c>
      <c r="CM71" s="422">
        <v>0</v>
      </c>
      <c r="CN71" s="422">
        <v>0</v>
      </c>
      <c r="CO71" s="422">
        <v>0</v>
      </c>
      <c r="CP71" s="422">
        <v>0</v>
      </c>
      <c r="CQ71" s="422">
        <v>0</v>
      </c>
      <c r="CR71" s="422">
        <v>0</v>
      </c>
      <c r="CS71" s="422">
        <v>0</v>
      </c>
      <c r="CT71" s="422">
        <v>0</v>
      </c>
      <c r="CU71" s="422">
        <v>0</v>
      </c>
      <c r="CV71" s="410">
        <f t="shared" si="39"/>
        <v>0</v>
      </c>
      <c r="CW71" s="422">
        <v>0</v>
      </c>
      <c r="CX71" s="422">
        <v>0</v>
      </c>
      <c r="CY71" s="422">
        <v>0.17564116489937781</v>
      </c>
      <c r="CZ71" s="422">
        <v>0</v>
      </c>
      <c r="DA71" s="422">
        <v>0</v>
      </c>
      <c r="DB71" s="422">
        <v>0</v>
      </c>
      <c r="DC71" s="422">
        <v>0</v>
      </c>
      <c r="DD71" s="422">
        <v>0</v>
      </c>
      <c r="DE71" s="422">
        <v>0</v>
      </c>
      <c r="DF71" s="422">
        <v>0</v>
      </c>
      <c r="DG71" s="422">
        <v>0</v>
      </c>
      <c r="DH71" s="422">
        <v>0</v>
      </c>
      <c r="DI71" s="410">
        <f t="shared" si="40"/>
        <v>0.17564116489937781</v>
      </c>
      <c r="DJ71" s="422">
        <v>0</v>
      </c>
      <c r="DK71" s="422">
        <v>0</v>
      </c>
      <c r="DL71" s="422">
        <v>0</v>
      </c>
      <c r="DM71" s="422">
        <v>0</v>
      </c>
      <c r="DN71" s="422">
        <v>0</v>
      </c>
      <c r="DO71" s="422">
        <v>0</v>
      </c>
      <c r="DP71" s="422">
        <v>0</v>
      </c>
      <c r="DQ71" s="422">
        <v>0</v>
      </c>
      <c r="DR71" s="422">
        <v>0</v>
      </c>
      <c r="DS71" s="422">
        <v>0</v>
      </c>
      <c r="DT71" s="422">
        <v>0</v>
      </c>
      <c r="DU71" s="422">
        <v>0</v>
      </c>
      <c r="DV71" s="410">
        <f t="shared" si="41"/>
        <v>0</v>
      </c>
      <c r="DW71" s="422">
        <v>0</v>
      </c>
      <c r="DX71" s="422">
        <v>0</v>
      </c>
      <c r="DY71" s="422">
        <v>0</v>
      </c>
      <c r="DZ71" s="422">
        <v>0</v>
      </c>
      <c r="EA71" s="422">
        <v>0</v>
      </c>
      <c r="EB71" s="422">
        <v>0</v>
      </c>
      <c r="EC71" s="422">
        <v>0</v>
      </c>
      <c r="ED71" s="422">
        <v>0</v>
      </c>
      <c r="EE71" s="422">
        <v>0</v>
      </c>
      <c r="EF71" s="422">
        <v>0</v>
      </c>
      <c r="EG71" s="422">
        <v>0</v>
      </c>
      <c r="EH71" s="422">
        <v>0</v>
      </c>
      <c r="EI71" s="410">
        <f t="shared" si="42"/>
        <v>0</v>
      </c>
      <c r="EJ71" s="422">
        <v>0</v>
      </c>
      <c r="EK71" s="422">
        <v>0</v>
      </c>
      <c r="EL71" s="422">
        <v>0</v>
      </c>
      <c r="EM71" s="422">
        <v>0</v>
      </c>
      <c r="EN71" s="422">
        <v>0</v>
      </c>
      <c r="EO71" s="422">
        <v>0</v>
      </c>
      <c r="EP71" s="422">
        <v>0</v>
      </c>
      <c r="EQ71" s="422">
        <v>0</v>
      </c>
      <c r="ER71" s="422">
        <v>0</v>
      </c>
      <c r="ES71" s="422">
        <v>0</v>
      </c>
      <c r="ET71" s="422">
        <v>0</v>
      </c>
      <c r="EU71" s="422">
        <v>0</v>
      </c>
      <c r="EV71" s="410">
        <f t="shared" si="43"/>
        <v>0</v>
      </c>
      <c r="EW71" s="416">
        <f t="shared" si="44"/>
        <v>0.17564116489937781</v>
      </c>
      <c r="EX71" s="417">
        <f>IFERROR(VLOOKUP(H71,CEI_012018!$A$1:$U$509,9,FALSE),0)</f>
        <v>0</v>
      </c>
      <c r="EY71" s="417">
        <f>IFERROR(VLOOKUP(H71,CEI_022018!$A$1:$U$509,9,FALSE),0)</f>
        <v>0</v>
      </c>
      <c r="EZ71" s="417">
        <f>IFERROR(VLOOKUP(H71,CEI_032018!$A$1:$U$509,9,FALSE),0)</f>
        <v>0</v>
      </c>
      <c r="FA71" s="417">
        <f>IFERROR(VLOOKUP(H71,CEI_042018!$A$1:$U$491,9,FALSE),0)</f>
        <v>0</v>
      </c>
      <c r="FB71" s="417">
        <f>IFERROR(VLOOKUP(H71,CEI_052018!$A$1:$U$489,9,FALSE),0)</f>
        <v>0</v>
      </c>
      <c r="FC71" s="417">
        <f>IFERROR(VLOOKUP(H71,CEI_062018!$A$1:$U$489,9,FALSE),0)</f>
        <v>0</v>
      </c>
      <c r="FD71" s="417">
        <f>IFERROR(VLOOKUP(H71,CEI_072018!$A$1:$U$489,9,FALSE),0)</f>
        <v>0</v>
      </c>
      <c r="FE71" s="417">
        <f>IFERROR(VLOOKUP(H71,CEI_082018!$A$1:$U$489,9,FALSE),0)</f>
        <v>0</v>
      </c>
      <c r="FF71" s="417">
        <f>IFERROR(VLOOKUP(H71,CEI_092018!$A$1:$U$489,9,FALSE),0)</f>
        <v>0</v>
      </c>
      <c r="FG71" s="417"/>
      <c r="FH71" s="417"/>
      <c r="FI71" s="417"/>
      <c r="FJ71" s="418">
        <f>IFERROR(VLOOKUP(H71,CEI_092018!$A$1:$U$489,12,FALSE),0)</f>
        <v>0</v>
      </c>
      <c r="FK71" s="418">
        <f t="shared" si="45"/>
        <v>0</v>
      </c>
      <c r="FL71" s="418">
        <f t="shared" si="46"/>
        <v>0</v>
      </c>
      <c r="FM71" s="417"/>
      <c r="FN71" s="417"/>
      <c r="FO71" s="417"/>
      <c r="FP71" s="417"/>
      <c r="FQ71" s="417"/>
      <c r="FR71" s="417"/>
      <c r="FS71" s="417"/>
      <c r="FT71" s="417"/>
      <c r="FU71" s="417"/>
      <c r="FV71" s="417"/>
      <c r="FW71" s="417"/>
      <c r="FX71" s="417"/>
      <c r="FY71" s="418"/>
      <c r="FZ71" s="418"/>
      <c r="GA71" s="418"/>
      <c r="GB71" s="417"/>
      <c r="GC71" s="417"/>
      <c r="GD71" s="417"/>
      <c r="GE71" s="417"/>
      <c r="GF71" s="417"/>
      <c r="GG71" s="417"/>
      <c r="GH71" s="417"/>
      <c r="GI71" s="417"/>
      <c r="GJ71" s="417"/>
      <c r="GK71" s="417"/>
      <c r="GL71" s="417"/>
      <c r="GM71" s="417"/>
      <c r="GN71" s="418"/>
      <c r="GO71" s="418"/>
      <c r="GP71" s="418"/>
      <c r="GQ71" s="417"/>
      <c r="GR71" s="417"/>
      <c r="GS71" s="417"/>
      <c r="GT71" s="417"/>
      <c r="GU71" s="417"/>
      <c r="GV71" s="417"/>
      <c r="GW71" s="417"/>
      <c r="GX71" s="417"/>
      <c r="GY71" s="417"/>
      <c r="GZ71" s="417"/>
      <c r="HA71" s="417"/>
      <c r="HB71" s="417"/>
      <c r="HC71" s="418"/>
      <c r="HD71" s="418"/>
      <c r="HE71" s="418"/>
      <c r="HF71" s="417"/>
      <c r="HG71" s="417"/>
      <c r="HH71" s="417"/>
      <c r="HI71" s="417"/>
      <c r="HJ71" s="417"/>
      <c r="HK71" s="417"/>
      <c r="HL71" s="417"/>
      <c r="HM71" s="417"/>
      <c r="HN71" s="417"/>
      <c r="HO71" s="417"/>
      <c r="HP71" s="417"/>
      <c r="HQ71" s="417"/>
      <c r="HR71" s="418"/>
      <c r="HS71" s="418"/>
      <c r="HT71" s="418"/>
    </row>
    <row r="72" spans="1:228" s="387" customFormat="1" ht="12.95" customHeight="1" x14ac:dyDescent="0.2">
      <c r="A72" s="406" t="s">
        <v>61</v>
      </c>
      <c r="B72" s="407" t="s">
        <v>33</v>
      </c>
      <c r="C72" s="406" t="s">
        <v>584</v>
      </c>
      <c r="D72" s="407" t="s">
        <v>64</v>
      </c>
      <c r="E72" s="407" t="s">
        <v>584</v>
      </c>
      <c r="F72" s="407" t="s">
        <v>64</v>
      </c>
      <c r="G72" s="406" t="s">
        <v>63</v>
      </c>
      <c r="H72" s="408" t="s">
        <v>520</v>
      </c>
      <c r="I72" s="408"/>
      <c r="J72" s="406" t="s">
        <v>554</v>
      </c>
      <c r="K72" s="406" t="s">
        <v>531</v>
      </c>
      <c r="L72" s="406" t="s">
        <v>532</v>
      </c>
      <c r="M72" s="406"/>
      <c r="N72" s="452">
        <v>0</v>
      </c>
      <c r="O72" s="452">
        <v>0</v>
      </c>
      <c r="P72" s="452">
        <v>0</v>
      </c>
      <c r="Q72" s="452">
        <v>0</v>
      </c>
      <c r="R72" s="452">
        <v>0</v>
      </c>
      <c r="S72" s="452">
        <v>0</v>
      </c>
      <c r="T72" s="452">
        <v>0</v>
      </c>
      <c r="U72" s="409">
        <v>0</v>
      </c>
      <c r="V72" s="409"/>
      <c r="W72" s="409"/>
      <c r="X72" s="409"/>
      <c r="Y72" s="409"/>
      <c r="Z72" s="453">
        <f t="shared" si="47"/>
        <v>0</v>
      </c>
      <c r="AA72" s="452"/>
      <c r="AB72" s="452"/>
      <c r="AC72" s="452">
        <v>18</v>
      </c>
      <c r="AD72" s="452"/>
      <c r="AE72" s="452"/>
      <c r="AF72" s="452"/>
      <c r="AG72" s="452"/>
      <c r="AH72" s="409"/>
      <c r="AI72" s="409"/>
      <c r="AJ72" s="409"/>
      <c r="AK72" s="409"/>
      <c r="AL72" s="409"/>
      <c r="AM72" s="453">
        <f t="shared" si="34"/>
        <v>18</v>
      </c>
      <c r="AN72" s="452"/>
      <c r="AO72" s="452"/>
      <c r="AP72" s="452"/>
      <c r="AQ72" s="452"/>
      <c r="AR72" s="452"/>
      <c r="AS72" s="452"/>
      <c r="AT72" s="452"/>
      <c r="AU72" s="409"/>
      <c r="AV72" s="409"/>
      <c r="AW72" s="409"/>
      <c r="AX72" s="409"/>
      <c r="AY72" s="409"/>
      <c r="AZ72" s="453">
        <f t="shared" si="35"/>
        <v>0</v>
      </c>
      <c r="BA72" s="452"/>
      <c r="BB72" s="452"/>
      <c r="BC72" s="452"/>
      <c r="BD72" s="452"/>
      <c r="BE72" s="452"/>
      <c r="BF72" s="452"/>
      <c r="BG72" s="452">
        <v>36</v>
      </c>
      <c r="BH72" s="409"/>
      <c r="BI72" s="409"/>
      <c r="BJ72" s="409"/>
      <c r="BK72" s="409"/>
      <c r="BL72" s="409"/>
      <c r="BM72" s="453">
        <f t="shared" si="36"/>
        <v>36</v>
      </c>
      <c r="BN72" s="452"/>
      <c r="BO72" s="452"/>
      <c r="BP72" s="452"/>
      <c r="BQ72" s="452"/>
      <c r="BR72" s="452"/>
      <c r="BS72" s="452"/>
      <c r="BT72" s="452"/>
      <c r="BU72" s="409"/>
      <c r="BV72" s="409"/>
      <c r="BW72" s="409"/>
      <c r="BX72" s="409"/>
      <c r="BY72" s="409"/>
      <c r="BZ72" s="453">
        <f t="shared" si="37"/>
        <v>0</v>
      </c>
      <c r="CA72" s="454">
        <f t="shared" si="38"/>
        <v>54</v>
      </c>
      <c r="CB72" s="411"/>
      <c r="CC72" s="411"/>
      <c r="CD72" s="411"/>
      <c r="CE72" s="411"/>
      <c r="CF72" s="411"/>
      <c r="CG72" s="412"/>
      <c r="CH72" s="413"/>
      <c r="CI72" s="414" t="s">
        <v>71</v>
      </c>
      <c r="CJ72" s="415">
        <v>0</v>
      </c>
      <c r="CK72" s="415"/>
      <c r="CL72" s="415"/>
      <c r="CM72" s="415"/>
      <c r="CN72" s="415"/>
      <c r="CO72" s="415"/>
      <c r="CP72" s="415"/>
      <c r="CQ72" s="415"/>
      <c r="CR72" s="415"/>
      <c r="CS72" s="415"/>
      <c r="CT72" s="415"/>
      <c r="CU72" s="415"/>
      <c r="CV72" s="410">
        <f t="shared" si="39"/>
        <v>0</v>
      </c>
      <c r="CW72" s="415"/>
      <c r="CX72" s="415"/>
      <c r="CY72" s="415">
        <v>3</v>
      </c>
      <c r="CZ72" s="415"/>
      <c r="DA72" s="415"/>
      <c r="DB72" s="415"/>
      <c r="DC72" s="415"/>
      <c r="DD72" s="415"/>
      <c r="DE72" s="415"/>
      <c r="DF72" s="415"/>
      <c r="DG72" s="415"/>
      <c r="DH72" s="415"/>
      <c r="DI72" s="410">
        <f t="shared" si="40"/>
        <v>3</v>
      </c>
      <c r="DJ72" s="415"/>
      <c r="DK72" s="415"/>
      <c r="DL72" s="415"/>
      <c r="DM72" s="415"/>
      <c r="DN72" s="415"/>
      <c r="DO72" s="415"/>
      <c r="DP72" s="415"/>
      <c r="DQ72" s="415"/>
      <c r="DR72" s="415"/>
      <c r="DS72" s="415"/>
      <c r="DT72" s="415"/>
      <c r="DU72" s="415"/>
      <c r="DV72" s="410">
        <f t="shared" si="41"/>
        <v>0</v>
      </c>
      <c r="DW72" s="415"/>
      <c r="DX72" s="415"/>
      <c r="DY72" s="415"/>
      <c r="DZ72" s="415"/>
      <c r="EA72" s="415"/>
      <c r="EB72" s="415"/>
      <c r="EC72" s="415">
        <v>6</v>
      </c>
      <c r="ED72" s="415"/>
      <c r="EE72" s="415"/>
      <c r="EF72" s="415"/>
      <c r="EG72" s="415"/>
      <c r="EH72" s="415"/>
      <c r="EI72" s="410">
        <f t="shared" si="42"/>
        <v>6</v>
      </c>
      <c r="EJ72" s="415"/>
      <c r="EK72" s="415"/>
      <c r="EL72" s="415"/>
      <c r="EM72" s="415"/>
      <c r="EN72" s="415"/>
      <c r="EO72" s="415"/>
      <c r="EP72" s="415"/>
      <c r="EQ72" s="415"/>
      <c r="ER72" s="415"/>
      <c r="ES72" s="415"/>
      <c r="ET72" s="415"/>
      <c r="EU72" s="415"/>
      <c r="EV72" s="410">
        <f t="shared" si="43"/>
        <v>0</v>
      </c>
      <c r="EW72" s="416">
        <f t="shared" si="44"/>
        <v>9</v>
      </c>
      <c r="EX72" s="417">
        <f>IFERROR(VLOOKUP(H72,CEI_012018!$A$1:$U$509,9,FALSE),0)</f>
        <v>0</v>
      </c>
      <c r="EY72" s="417">
        <f>IFERROR(VLOOKUP(H72,CEI_022018!$A$1:$U$509,9,FALSE),0)</f>
        <v>0</v>
      </c>
      <c r="EZ72" s="417">
        <f>IFERROR(VLOOKUP(H72,CEI_032018!$A$1:$U$509,9,FALSE),0)</f>
        <v>0</v>
      </c>
      <c r="FA72" s="417">
        <f>IFERROR(VLOOKUP(H72,CEI_042018!$A$1:$U$491,9,FALSE),0)</f>
        <v>0</v>
      </c>
      <c r="FB72" s="417">
        <f>IFERROR(VLOOKUP(H72,CEI_052018!$A$1:$U$489,9,FALSE),0)</f>
        <v>0</v>
      </c>
      <c r="FC72" s="417">
        <f>IFERROR(VLOOKUP(H72,CEI_062018!$A$1:$U$489,9,FALSE),0)</f>
        <v>0</v>
      </c>
      <c r="FD72" s="417">
        <f>IFERROR(VLOOKUP(H72,CEI_072018!$A$1:$U$489,9,FALSE),0)</f>
        <v>0</v>
      </c>
      <c r="FE72" s="417">
        <f>IFERROR(VLOOKUP(H72,CEI_082018!$A$1:$U$489,9,FALSE),0)</f>
        <v>0</v>
      </c>
      <c r="FF72" s="417">
        <f>IFERROR(VLOOKUP(H72,CEI_092018!$A$1:$U$489,9,FALSE),0)</f>
        <v>0</v>
      </c>
      <c r="FG72" s="417"/>
      <c r="FH72" s="417"/>
      <c r="FI72" s="417"/>
      <c r="FJ72" s="418">
        <f>IFERROR(VLOOKUP(H72,CEI_092018!$A$1:$U$489,12,FALSE),0)</f>
        <v>0</v>
      </c>
      <c r="FK72" s="418">
        <f t="shared" si="45"/>
        <v>0</v>
      </c>
      <c r="FL72" s="418">
        <f t="shared" si="46"/>
        <v>0</v>
      </c>
      <c r="FM72" s="417"/>
      <c r="FN72" s="417"/>
      <c r="FO72" s="417"/>
      <c r="FP72" s="417"/>
      <c r="FQ72" s="417"/>
      <c r="FR72" s="417"/>
      <c r="FS72" s="417"/>
      <c r="FT72" s="417"/>
      <c r="FU72" s="417"/>
      <c r="FV72" s="417"/>
      <c r="FW72" s="417"/>
      <c r="FX72" s="417"/>
      <c r="FY72" s="418"/>
      <c r="FZ72" s="418"/>
      <c r="GA72" s="418"/>
      <c r="GB72" s="417"/>
      <c r="GC72" s="417"/>
      <c r="GD72" s="417"/>
      <c r="GE72" s="417"/>
      <c r="GF72" s="417"/>
      <c r="GG72" s="417"/>
      <c r="GH72" s="417"/>
      <c r="GI72" s="417"/>
      <c r="GJ72" s="417"/>
      <c r="GK72" s="417"/>
      <c r="GL72" s="417"/>
      <c r="GM72" s="417"/>
      <c r="GN72" s="418"/>
      <c r="GO72" s="418"/>
      <c r="GP72" s="418"/>
      <c r="GQ72" s="417"/>
      <c r="GR72" s="417"/>
      <c r="GS72" s="417"/>
      <c r="GT72" s="417"/>
      <c r="GU72" s="417"/>
      <c r="GV72" s="417"/>
      <c r="GW72" s="417"/>
      <c r="GX72" s="417"/>
      <c r="GY72" s="417"/>
      <c r="GZ72" s="417"/>
      <c r="HA72" s="417"/>
      <c r="HB72" s="417"/>
      <c r="HC72" s="418"/>
      <c r="HD72" s="418"/>
      <c r="HE72" s="418"/>
      <c r="HF72" s="417"/>
      <c r="HG72" s="417"/>
      <c r="HH72" s="417"/>
      <c r="HI72" s="417"/>
      <c r="HJ72" s="417"/>
      <c r="HK72" s="417"/>
      <c r="HL72" s="417"/>
      <c r="HM72" s="417"/>
      <c r="HN72" s="417"/>
      <c r="HO72" s="417"/>
      <c r="HP72" s="417"/>
      <c r="HQ72" s="417"/>
      <c r="HR72" s="418"/>
      <c r="HS72" s="418"/>
      <c r="HT72" s="418"/>
    </row>
    <row r="73" spans="1:228" s="387" customFormat="1" ht="12.95" customHeight="1" x14ac:dyDescent="0.2">
      <c r="A73" s="406" t="s">
        <v>52</v>
      </c>
      <c r="B73" s="407" t="s">
        <v>1431</v>
      </c>
      <c r="C73" s="406" t="s">
        <v>173</v>
      </c>
      <c r="D73" s="407" t="s">
        <v>174</v>
      </c>
      <c r="E73" s="407" t="s">
        <v>173</v>
      </c>
      <c r="F73" s="407" t="s">
        <v>174</v>
      </c>
      <c r="G73" s="406" t="s">
        <v>63</v>
      </c>
      <c r="H73" s="408" t="s">
        <v>1172</v>
      </c>
      <c r="I73" s="408" t="s">
        <v>1174</v>
      </c>
      <c r="J73" s="406" t="s">
        <v>1502</v>
      </c>
      <c r="K73" s="406" t="s">
        <v>1496</v>
      </c>
      <c r="L73" s="406"/>
      <c r="M73" s="406"/>
      <c r="N73" s="452">
        <v>0</v>
      </c>
      <c r="O73" s="452">
        <v>0</v>
      </c>
      <c r="P73" s="452">
        <v>0</v>
      </c>
      <c r="Q73" s="452">
        <v>9.8500003814697266</v>
      </c>
      <c r="R73" s="452">
        <v>0</v>
      </c>
      <c r="S73" s="452">
        <v>0</v>
      </c>
      <c r="T73" s="452">
        <v>0</v>
      </c>
      <c r="U73" s="409">
        <v>79.069080352783203</v>
      </c>
      <c r="V73" s="409"/>
      <c r="W73" s="409">
        <v>31.31796932220459</v>
      </c>
      <c r="X73" s="409">
        <v>57.949951171875</v>
      </c>
      <c r="Y73" s="409">
        <v>90.812998771667196</v>
      </c>
      <c r="Z73" s="453">
        <f t="shared" si="47"/>
        <v>268.99999999999972</v>
      </c>
      <c r="AA73" s="452"/>
      <c r="AB73" s="452"/>
      <c r="AC73" s="452"/>
      <c r="AD73" s="452"/>
      <c r="AE73" s="452"/>
      <c r="AF73" s="452"/>
      <c r="AG73" s="452"/>
      <c r="AH73" s="409"/>
      <c r="AI73" s="409"/>
      <c r="AJ73" s="409"/>
      <c r="AK73" s="409"/>
      <c r="AL73" s="409"/>
      <c r="AM73" s="453">
        <f t="shared" si="34"/>
        <v>0</v>
      </c>
      <c r="AN73" s="452"/>
      <c r="AO73" s="452"/>
      <c r="AP73" s="452"/>
      <c r="AQ73" s="452"/>
      <c r="AR73" s="452"/>
      <c r="AS73" s="452"/>
      <c r="AT73" s="452"/>
      <c r="AU73" s="409"/>
      <c r="AV73" s="409"/>
      <c r="AW73" s="409"/>
      <c r="AX73" s="409"/>
      <c r="AY73" s="409"/>
      <c r="AZ73" s="453">
        <f t="shared" si="35"/>
        <v>0</v>
      </c>
      <c r="BA73" s="452"/>
      <c r="BB73" s="452"/>
      <c r="BC73" s="452"/>
      <c r="BD73" s="452"/>
      <c r="BE73" s="452"/>
      <c r="BF73" s="452"/>
      <c r="BG73" s="452"/>
      <c r="BH73" s="409"/>
      <c r="BI73" s="409"/>
      <c r="BJ73" s="409"/>
      <c r="BK73" s="409"/>
      <c r="BL73" s="409"/>
      <c r="BM73" s="453">
        <f t="shared" si="36"/>
        <v>0</v>
      </c>
      <c r="BN73" s="452"/>
      <c r="BO73" s="452"/>
      <c r="BP73" s="452"/>
      <c r="BQ73" s="452"/>
      <c r="BR73" s="452"/>
      <c r="BS73" s="452"/>
      <c r="BT73" s="452"/>
      <c r="BU73" s="409"/>
      <c r="BV73" s="409"/>
      <c r="BW73" s="409"/>
      <c r="BX73" s="409"/>
      <c r="BY73" s="409"/>
      <c r="BZ73" s="453">
        <f t="shared" si="37"/>
        <v>0</v>
      </c>
      <c r="CA73" s="454">
        <f t="shared" si="38"/>
        <v>268.99999999999972</v>
      </c>
      <c r="CB73" s="419"/>
      <c r="CC73" s="419">
        <v>1</v>
      </c>
      <c r="CD73" s="419">
        <v>1</v>
      </c>
      <c r="CE73" s="419">
        <v>1</v>
      </c>
      <c r="CF73" s="419">
        <v>1</v>
      </c>
      <c r="CG73" s="420">
        <f>IFERROR((FE73/Z73%),0)</f>
        <v>33.055420347305954</v>
      </c>
      <c r="CH73" s="421">
        <f>IFERROR((FK73/Z73%),0)</f>
        <v>69.294903978539296</v>
      </c>
      <c r="CI73" s="414" t="s">
        <v>1506</v>
      </c>
      <c r="CJ73" s="415"/>
      <c r="CK73" s="415"/>
      <c r="CL73" s="415"/>
      <c r="CM73" s="415">
        <v>1</v>
      </c>
      <c r="CN73" s="415"/>
      <c r="CO73" s="415"/>
      <c r="CP73" s="415"/>
      <c r="CQ73" s="415">
        <v>12</v>
      </c>
      <c r="CR73" s="415">
        <v>17</v>
      </c>
      <c r="CS73" s="415"/>
      <c r="CT73" s="415"/>
      <c r="CU73" s="415"/>
      <c r="CV73" s="410">
        <f t="shared" si="39"/>
        <v>30</v>
      </c>
      <c r="CW73" s="415"/>
      <c r="CX73" s="415"/>
      <c r="CY73" s="415"/>
      <c r="CZ73" s="415"/>
      <c r="DA73" s="415"/>
      <c r="DB73" s="415"/>
      <c r="DC73" s="415"/>
      <c r="DD73" s="415"/>
      <c r="DE73" s="415"/>
      <c r="DF73" s="415"/>
      <c r="DG73" s="415"/>
      <c r="DH73" s="415"/>
      <c r="DI73" s="410">
        <f t="shared" si="40"/>
        <v>0</v>
      </c>
      <c r="DJ73" s="415"/>
      <c r="DK73" s="415"/>
      <c r="DL73" s="415"/>
      <c r="DM73" s="415"/>
      <c r="DN73" s="415"/>
      <c r="DO73" s="415"/>
      <c r="DP73" s="415"/>
      <c r="DQ73" s="415"/>
      <c r="DR73" s="415"/>
      <c r="DS73" s="415"/>
      <c r="DT73" s="415"/>
      <c r="DU73" s="415"/>
      <c r="DV73" s="410">
        <f t="shared" si="41"/>
        <v>0</v>
      </c>
      <c r="DW73" s="415"/>
      <c r="DX73" s="415"/>
      <c r="DY73" s="415"/>
      <c r="DZ73" s="415"/>
      <c r="EA73" s="415"/>
      <c r="EB73" s="415"/>
      <c r="EC73" s="415"/>
      <c r="ED73" s="415"/>
      <c r="EE73" s="415"/>
      <c r="EF73" s="415"/>
      <c r="EG73" s="415"/>
      <c r="EH73" s="415"/>
      <c r="EI73" s="410">
        <f t="shared" si="42"/>
        <v>0</v>
      </c>
      <c r="EJ73" s="415"/>
      <c r="EK73" s="415"/>
      <c r="EL73" s="415"/>
      <c r="EM73" s="415"/>
      <c r="EN73" s="415"/>
      <c r="EO73" s="415"/>
      <c r="EP73" s="415"/>
      <c r="EQ73" s="415"/>
      <c r="ER73" s="415"/>
      <c r="ES73" s="415"/>
      <c r="ET73" s="415"/>
      <c r="EU73" s="415"/>
      <c r="EV73" s="410">
        <f t="shared" si="43"/>
        <v>0</v>
      </c>
      <c r="EW73" s="416">
        <f t="shared" si="44"/>
        <v>30</v>
      </c>
      <c r="EX73" s="417">
        <f>IFERROR(VLOOKUP(H73,CEI_012018!$A$1:$U$509,9,FALSE),0)</f>
        <v>0</v>
      </c>
      <c r="EY73" s="417">
        <f>IFERROR(VLOOKUP(H73,CEI_022018!$A$1:$U$509,9,FALSE),0)</f>
        <v>0</v>
      </c>
      <c r="EZ73" s="417">
        <f>IFERROR(VLOOKUP(H73,CEI_032018!$A$1:$U$509,9,FALSE),0)</f>
        <v>0</v>
      </c>
      <c r="FA73" s="417">
        <f>IFERROR(VLOOKUP(H73,CEI_042018!$A$1:$U$491,9,FALSE),0)</f>
        <v>9.8500003814697266</v>
      </c>
      <c r="FB73" s="417">
        <f>IFERROR(VLOOKUP(H73,CEI_052018!$A$1:$U$489,9,FALSE),0)</f>
        <v>9.8500003814697266</v>
      </c>
      <c r="FC73" s="417">
        <f>IFERROR(VLOOKUP(H73,CEI_062018!$A$1:$U$489,9,FALSE),0)</f>
        <v>9.8500003814697266</v>
      </c>
      <c r="FD73" s="417">
        <f>IFERROR(VLOOKUP(H73,CEI_072018!$A$1:$U$489,9,FALSE),0)</f>
        <v>9.8500003814697266</v>
      </c>
      <c r="FE73" s="417">
        <f>IFERROR(VLOOKUP(H73,CEI_082018!$A$1:$U$489,9,FALSE),0)</f>
        <v>88.91908073425293</v>
      </c>
      <c r="FF73" s="417">
        <f>IFERROR(VLOOKUP(H73,CEI_092018!$A$1:$U$489,9,FALSE),0)</f>
        <v>97.135371208190918</v>
      </c>
      <c r="FG73" s="417"/>
      <c r="FH73" s="417"/>
      <c r="FI73" s="417"/>
      <c r="FJ73" s="418">
        <f>IFERROR(VLOOKUP(H73,CEI_092018!$A$1:$U$489,12,FALSE),0)</f>
        <v>89.26792049407959</v>
      </c>
      <c r="FK73" s="418">
        <f t="shared" si="45"/>
        <v>186.40329170227051</v>
      </c>
      <c r="FL73" s="418">
        <f t="shared" si="46"/>
        <v>82.596708297729208</v>
      </c>
      <c r="FM73" s="417"/>
      <c r="FN73" s="417"/>
      <c r="FO73" s="417"/>
      <c r="FP73" s="417"/>
      <c r="FQ73" s="417"/>
      <c r="FR73" s="417"/>
      <c r="FS73" s="417"/>
      <c r="FT73" s="417"/>
      <c r="FU73" s="417"/>
      <c r="FV73" s="417"/>
      <c r="FW73" s="417"/>
      <c r="FX73" s="417"/>
      <c r="FY73" s="418"/>
      <c r="FZ73" s="418"/>
      <c r="GA73" s="418"/>
      <c r="GB73" s="417"/>
      <c r="GC73" s="417"/>
      <c r="GD73" s="417"/>
      <c r="GE73" s="417"/>
      <c r="GF73" s="417"/>
      <c r="GG73" s="417"/>
      <c r="GH73" s="417"/>
      <c r="GI73" s="417"/>
      <c r="GJ73" s="417"/>
      <c r="GK73" s="417"/>
      <c r="GL73" s="417"/>
      <c r="GM73" s="417"/>
      <c r="GN73" s="418"/>
      <c r="GO73" s="418"/>
      <c r="GP73" s="418"/>
      <c r="GQ73" s="417"/>
      <c r="GR73" s="417"/>
      <c r="GS73" s="417"/>
      <c r="GT73" s="417"/>
      <c r="GU73" s="417"/>
      <c r="GV73" s="417"/>
      <c r="GW73" s="417"/>
      <c r="GX73" s="417"/>
      <c r="GY73" s="417"/>
      <c r="GZ73" s="417"/>
      <c r="HA73" s="417"/>
      <c r="HB73" s="417"/>
      <c r="HC73" s="418"/>
      <c r="HD73" s="418"/>
      <c r="HE73" s="418"/>
      <c r="HF73" s="417"/>
      <c r="HG73" s="417"/>
      <c r="HH73" s="417"/>
      <c r="HI73" s="417"/>
      <c r="HJ73" s="417"/>
      <c r="HK73" s="417"/>
      <c r="HL73" s="417"/>
      <c r="HM73" s="417"/>
      <c r="HN73" s="417"/>
      <c r="HO73" s="417"/>
      <c r="HP73" s="417"/>
      <c r="HQ73" s="417"/>
      <c r="HR73" s="418"/>
      <c r="HS73" s="418"/>
      <c r="HT73" s="418"/>
    </row>
    <row r="74" spans="1:228" s="387" customFormat="1" ht="12.95" customHeight="1" x14ac:dyDescent="0.2">
      <c r="A74" s="406" t="s">
        <v>52</v>
      </c>
      <c r="B74" s="407" t="s">
        <v>1431</v>
      </c>
      <c r="C74" s="406" t="s">
        <v>173</v>
      </c>
      <c r="D74" s="407" t="s">
        <v>161</v>
      </c>
      <c r="E74" s="407" t="s">
        <v>173</v>
      </c>
      <c r="F74" s="407" t="s">
        <v>161</v>
      </c>
      <c r="G74" s="406" t="s">
        <v>63</v>
      </c>
      <c r="H74" s="408" t="s">
        <v>520</v>
      </c>
      <c r="I74" s="408"/>
      <c r="J74" s="406" t="s">
        <v>1505</v>
      </c>
      <c r="K74" s="406" t="s">
        <v>1504</v>
      </c>
      <c r="L74" s="406" t="s">
        <v>186</v>
      </c>
      <c r="M74" s="406"/>
      <c r="N74" s="452">
        <v>0</v>
      </c>
      <c r="O74" s="452">
        <v>0</v>
      </c>
      <c r="P74" s="452">
        <v>0</v>
      </c>
      <c r="Q74" s="452">
        <v>0</v>
      </c>
      <c r="R74" s="452">
        <v>0</v>
      </c>
      <c r="S74" s="452">
        <v>0</v>
      </c>
      <c r="T74" s="452">
        <v>0</v>
      </c>
      <c r="U74" s="409">
        <v>0</v>
      </c>
      <c r="V74" s="409"/>
      <c r="W74" s="409"/>
      <c r="X74" s="409"/>
      <c r="Y74" s="409"/>
      <c r="Z74" s="453">
        <f t="shared" si="47"/>
        <v>0</v>
      </c>
      <c r="AA74" s="452"/>
      <c r="AB74" s="452"/>
      <c r="AC74" s="452"/>
      <c r="AD74" s="452"/>
      <c r="AE74" s="452"/>
      <c r="AF74" s="452">
        <v>30</v>
      </c>
      <c r="AG74" s="452"/>
      <c r="AH74" s="409"/>
      <c r="AI74" s="409"/>
      <c r="AJ74" s="409"/>
      <c r="AK74" s="409"/>
      <c r="AL74" s="409"/>
      <c r="AM74" s="453">
        <f t="shared" si="34"/>
        <v>30</v>
      </c>
      <c r="AN74" s="452">
        <v>0</v>
      </c>
      <c r="AO74" s="452">
        <v>0</v>
      </c>
      <c r="AP74" s="452">
        <v>0</v>
      </c>
      <c r="AQ74" s="452">
        <v>0</v>
      </c>
      <c r="AR74" s="452">
        <v>0</v>
      </c>
      <c r="AS74" s="452">
        <v>0</v>
      </c>
      <c r="AT74" s="452">
        <v>0</v>
      </c>
      <c r="AU74" s="409">
        <v>289</v>
      </c>
      <c r="AV74" s="409">
        <v>0</v>
      </c>
      <c r="AW74" s="409">
        <v>0</v>
      </c>
      <c r="AX74" s="409">
        <v>0</v>
      </c>
      <c r="AY74" s="409">
        <v>0</v>
      </c>
      <c r="AZ74" s="453">
        <f t="shared" si="35"/>
        <v>289</v>
      </c>
      <c r="BA74" s="452">
        <v>0</v>
      </c>
      <c r="BB74" s="452">
        <v>0</v>
      </c>
      <c r="BC74" s="452">
        <v>0</v>
      </c>
      <c r="BD74" s="452">
        <v>0</v>
      </c>
      <c r="BE74" s="452">
        <v>0</v>
      </c>
      <c r="BF74" s="452">
        <v>0</v>
      </c>
      <c r="BG74" s="452">
        <v>0</v>
      </c>
      <c r="BH74" s="409">
        <v>0</v>
      </c>
      <c r="BI74" s="409">
        <v>0</v>
      </c>
      <c r="BJ74" s="409">
        <v>0</v>
      </c>
      <c r="BK74" s="409">
        <v>0</v>
      </c>
      <c r="BL74" s="409">
        <v>0</v>
      </c>
      <c r="BM74" s="453">
        <f t="shared" si="36"/>
        <v>0</v>
      </c>
      <c r="BN74" s="452">
        <v>0</v>
      </c>
      <c r="BO74" s="452">
        <v>0</v>
      </c>
      <c r="BP74" s="452">
        <v>0</v>
      </c>
      <c r="BQ74" s="452">
        <v>0</v>
      </c>
      <c r="BR74" s="452">
        <v>0</v>
      </c>
      <c r="BS74" s="452">
        <v>0</v>
      </c>
      <c r="BT74" s="452">
        <v>0</v>
      </c>
      <c r="BU74" s="409">
        <v>0</v>
      </c>
      <c r="BV74" s="409">
        <v>0</v>
      </c>
      <c r="BW74" s="409">
        <v>0</v>
      </c>
      <c r="BX74" s="409">
        <v>0</v>
      </c>
      <c r="BY74" s="409">
        <v>0</v>
      </c>
      <c r="BZ74" s="453">
        <f t="shared" si="37"/>
        <v>0</v>
      </c>
      <c r="CA74" s="454">
        <f t="shared" si="38"/>
        <v>319</v>
      </c>
      <c r="CB74" s="411"/>
      <c r="CC74" s="411"/>
      <c r="CD74" s="411"/>
      <c r="CE74" s="411"/>
      <c r="CF74" s="411"/>
      <c r="CG74" s="412"/>
      <c r="CH74" s="413"/>
      <c r="CI74" s="414" t="s">
        <v>106</v>
      </c>
      <c r="CJ74" s="415"/>
      <c r="CK74" s="415"/>
      <c r="CL74" s="415"/>
      <c r="CM74" s="415"/>
      <c r="CN74" s="415"/>
      <c r="CO74" s="415"/>
      <c r="CP74" s="415"/>
      <c r="CQ74" s="415"/>
      <c r="CR74" s="415"/>
      <c r="CS74" s="415"/>
      <c r="CT74" s="415"/>
      <c r="CU74" s="415"/>
      <c r="CV74" s="410">
        <f t="shared" si="39"/>
        <v>0</v>
      </c>
      <c r="CW74" s="415"/>
      <c r="CX74" s="415"/>
      <c r="CY74" s="415"/>
      <c r="CZ74" s="415"/>
      <c r="DA74" s="415"/>
      <c r="DB74" s="415"/>
      <c r="DC74" s="415"/>
      <c r="DD74" s="415"/>
      <c r="DE74" s="415"/>
      <c r="DF74" s="415"/>
      <c r="DG74" s="415"/>
      <c r="DH74" s="415"/>
      <c r="DI74" s="410">
        <f t="shared" si="40"/>
        <v>0</v>
      </c>
      <c r="DJ74" s="415"/>
      <c r="DK74" s="415"/>
      <c r="DL74" s="415"/>
      <c r="DM74" s="415"/>
      <c r="DN74" s="415"/>
      <c r="DO74" s="415"/>
      <c r="DP74" s="415"/>
      <c r="DQ74" s="415"/>
      <c r="DR74" s="415"/>
      <c r="DS74" s="415"/>
      <c r="DT74" s="415"/>
      <c r="DU74" s="415"/>
      <c r="DV74" s="410">
        <f t="shared" si="41"/>
        <v>0</v>
      </c>
      <c r="DW74" s="415"/>
      <c r="DX74" s="415"/>
      <c r="DY74" s="415"/>
      <c r="DZ74" s="415"/>
      <c r="EA74" s="415"/>
      <c r="EB74" s="415"/>
      <c r="EC74" s="415"/>
      <c r="ED74" s="415"/>
      <c r="EE74" s="415"/>
      <c r="EF74" s="415"/>
      <c r="EG74" s="415"/>
      <c r="EH74" s="415"/>
      <c r="EI74" s="410">
        <f t="shared" si="42"/>
        <v>0</v>
      </c>
      <c r="EJ74" s="415"/>
      <c r="EK74" s="415"/>
      <c r="EL74" s="415"/>
      <c r="EM74" s="415"/>
      <c r="EN74" s="415"/>
      <c r="EO74" s="415"/>
      <c r="EP74" s="415"/>
      <c r="EQ74" s="415"/>
      <c r="ER74" s="415"/>
      <c r="ES74" s="415"/>
      <c r="ET74" s="415"/>
      <c r="EU74" s="415"/>
      <c r="EV74" s="410">
        <f t="shared" si="43"/>
        <v>0</v>
      </c>
      <c r="EW74" s="416">
        <f t="shared" si="44"/>
        <v>0</v>
      </c>
      <c r="EX74" s="417">
        <f>IFERROR(VLOOKUP(H74,CEI_012018!$A$1:$U$509,9,FALSE),0)</f>
        <v>0</v>
      </c>
      <c r="EY74" s="417">
        <f>IFERROR(VLOOKUP(H74,CEI_022018!$A$1:$U$509,9,FALSE),0)</f>
        <v>0</v>
      </c>
      <c r="EZ74" s="417">
        <f>IFERROR(VLOOKUP(H74,CEI_032018!$A$1:$U$509,9,FALSE),0)</f>
        <v>0</v>
      </c>
      <c r="FA74" s="417">
        <f>IFERROR(VLOOKUP(H74,CEI_042018!$A$1:$U$491,9,FALSE),0)</f>
        <v>0</v>
      </c>
      <c r="FB74" s="417">
        <f>IFERROR(VLOOKUP(H74,CEI_052018!$A$1:$U$489,9,FALSE),0)</f>
        <v>0</v>
      </c>
      <c r="FC74" s="417">
        <f>IFERROR(VLOOKUP(H74,CEI_062018!$A$1:$U$489,9,FALSE),0)</f>
        <v>0</v>
      </c>
      <c r="FD74" s="417">
        <f>IFERROR(VLOOKUP(H74,CEI_072018!$A$1:$U$489,9,FALSE),0)</f>
        <v>0</v>
      </c>
      <c r="FE74" s="417">
        <f>IFERROR(VLOOKUP(H74,CEI_082018!$A$1:$U$489,9,FALSE),0)</f>
        <v>0</v>
      </c>
      <c r="FF74" s="417">
        <f>IFERROR(VLOOKUP(H74,CEI_092018!$A$1:$U$489,9,FALSE),0)</f>
        <v>0</v>
      </c>
      <c r="FG74" s="417"/>
      <c r="FH74" s="417"/>
      <c r="FI74" s="417"/>
      <c r="FJ74" s="418">
        <f>IFERROR(VLOOKUP(H74,CEI_092018!$A$1:$U$489,12,FALSE),0)</f>
        <v>0</v>
      </c>
      <c r="FK74" s="418">
        <f t="shared" si="45"/>
        <v>0</v>
      </c>
      <c r="FL74" s="418">
        <f t="shared" si="46"/>
        <v>0</v>
      </c>
      <c r="FM74" s="417"/>
      <c r="FN74" s="417"/>
      <c r="FO74" s="417"/>
      <c r="FP74" s="417"/>
      <c r="FQ74" s="417"/>
      <c r="FR74" s="417"/>
      <c r="FS74" s="417"/>
      <c r="FT74" s="417"/>
      <c r="FU74" s="417"/>
      <c r="FV74" s="417"/>
      <c r="FW74" s="417"/>
      <c r="FX74" s="417"/>
      <c r="FY74" s="418"/>
      <c r="FZ74" s="418"/>
      <c r="GA74" s="418"/>
      <c r="GB74" s="417"/>
      <c r="GC74" s="417"/>
      <c r="GD74" s="417"/>
      <c r="GE74" s="417"/>
      <c r="GF74" s="417"/>
      <c r="GG74" s="417"/>
      <c r="GH74" s="417"/>
      <c r="GI74" s="417"/>
      <c r="GJ74" s="417"/>
      <c r="GK74" s="417"/>
      <c r="GL74" s="417"/>
      <c r="GM74" s="417"/>
      <c r="GN74" s="418"/>
      <c r="GO74" s="418"/>
      <c r="GP74" s="418"/>
      <c r="GQ74" s="417"/>
      <c r="GR74" s="417"/>
      <c r="GS74" s="417"/>
      <c r="GT74" s="417"/>
      <c r="GU74" s="417"/>
      <c r="GV74" s="417"/>
      <c r="GW74" s="417"/>
      <c r="GX74" s="417"/>
      <c r="GY74" s="417"/>
      <c r="GZ74" s="417"/>
      <c r="HA74" s="417"/>
      <c r="HB74" s="417"/>
      <c r="HC74" s="418"/>
      <c r="HD74" s="418"/>
      <c r="HE74" s="418"/>
      <c r="HF74" s="417"/>
      <c r="HG74" s="417"/>
      <c r="HH74" s="417"/>
      <c r="HI74" s="417"/>
      <c r="HJ74" s="417"/>
      <c r="HK74" s="417"/>
      <c r="HL74" s="417"/>
      <c r="HM74" s="417"/>
      <c r="HN74" s="417"/>
      <c r="HO74" s="417"/>
      <c r="HP74" s="417"/>
      <c r="HQ74" s="417"/>
      <c r="HR74" s="418"/>
      <c r="HS74" s="418"/>
      <c r="HT74" s="418"/>
    </row>
    <row r="75" spans="1:228" s="387" customFormat="1" ht="12.75" customHeight="1" x14ac:dyDescent="0.2">
      <c r="A75" s="406" t="s">
        <v>52</v>
      </c>
      <c r="B75" s="407" t="s">
        <v>1431</v>
      </c>
      <c r="C75" s="406" t="s">
        <v>173</v>
      </c>
      <c r="D75" s="407" t="s">
        <v>174</v>
      </c>
      <c r="E75" s="407" t="s">
        <v>173</v>
      </c>
      <c r="F75" s="407" t="s">
        <v>174</v>
      </c>
      <c r="G75" s="406" t="s">
        <v>63</v>
      </c>
      <c r="H75" s="408" t="s">
        <v>520</v>
      </c>
      <c r="I75" s="408"/>
      <c r="J75" s="406" t="s">
        <v>616</v>
      </c>
      <c r="K75" s="406" t="s">
        <v>180</v>
      </c>
      <c r="L75" s="406" t="s">
        <v>177</v>
      </c>
      <c r="M75" s="406"/>
      <c r="N75" s="452">
        <v>0</v>
      </c>
      <c r="O75" s="452">
        <v>0</v>
      </c>
      <c r="P75" s="452">
        <v>0</v>
      </c>
      <c r="Q75" s="452">
        <v>0</v>
      </c>
      <c r="R75" s="452">
        <v>0</v>
      </c>
      <c r="S75" s="452">
        <v>0</v>
      </c>
      <c r="T75" s="452">
        <v>0</v>
      </c>
      <c r="U75" s="409">
        <v>0</v>
      </c>
      <c r="V75" s="409"/>
      <c r="W75" s="409"/>
      <c r="X75" s="409"/>
      <c r="Y75" s="409"/>
      <c r="Z75" s="453">
        <f t="shared" si="47"/>
        <v>0</v>
      </c>
      <c r="AA75" s="452"/>
      <c r="AB75" s="452"/>
      <c r="AC75" s="452"/>
      <c r="AD75" s="452"/>
      <c r="AE75" s="452"/>
      <c r="AF75" s="452"/>
      <c r="AG75" s="452"/>
      <c r="AH75" s="409"/>
      <c r="AI75" s="409"/>
      <c r="AJ75" s="409"/>
      <c r="AK75" s="409"/>
      <c r="AL75" s="409"/>
      <c r="AM75" s="453">
        <f t="shared" si="34"/>
        <v>0</v>
      </c>
      <c r="AN75" s="452">
        <v>0</v>
      </c>
      <c r="AO75" s="452">
        <v>0</v>
      </c>
      <c r="AP75" s="452">
        <v>0</v>
      </c>
      <c r="AQ75" s="452">
        <v>0</v>
      </c>
      <c r="AR75" s="452">
        <v>0</v>
      </c>
      <c r="AS75" s="452">
        <v>0</v>
      </c>
      <c r="AT75" s="452">
        <v>0</v>
      </c>
      <c r="AU75" s="409">
        <v>0</v>
      </c>
      <c r="AV75" s="409">
        <v>0</v>
      </c>
      <c r="AW75" s="409">
        <v>0</v>
      </c>
      <c r="AX75" s="409">
        <v>0</v>
      </c>
      <c r="AY75" s="409">
        <v>0</v>
      </c>
      <c r="AZ75" s="453">
        <f t="shared" si="35"/>
        <v>0</v>
      </c>
      <c r="BA75" s="452">
        <v>0</v>
      </c>
      <c r="BB75" s="452">
        <v>0</v>
      </c>
      <c r="BC75" s="452">
        <v>0</v>
      </c>
      <c r="BD75" s="452">
        <v>0</v>
      </c>
      <c r="BE75" s="452">
        <v>0</v>
      </c>
      <c r="BF75" s="452">
        <v>0</v>
      </c>
      <c r="BG75" s="452">
        <v>0</v>
      </c>
      <c r="BH75" s="409">
        <v>0</v>
      </c>
      <c r="BI75" s="409">
        <v>400</v>
      </c>
      <c r="BJ75" s="409">
        <v>0</v>
      </c>
      <c r="BK75" s="409">
        <v>0</v>
      </c>
      <c r="BL75" s="409">
        <v>0</v>
      </c>
      <c r="BM75" s="453">
        <f t="shared" si="36"/>
        <v>400</v>
      </c>
      <c r="BN75" s="452">
        <v>0</v>
      </c>
      <c r="BO75" s="452">
        <v>0</v>
      </c>
      <c r="BP75" s="452">
        <v>0</v>
      </c>
      <c r="BQ75" s="452">
        <v>0</v>
      </c>
      <c r="BR75" s="452">
        <v>0</v>
      </c>
      <c r="BS75" s="452">
        <v>0</v>
      </c>
      <c r="BT75" s="452">
        <v>0</v>
      </c>
      <c r="BU75" s="409">
        <v>0</v>
      </c>
      <c r="BV75" s="409">
        <v>0</v>
      </c>
      <c r="BW75" s="409">
        <v>0</v>
      </c>
      <c r="BX75" s="409">
        <v>0</v>
      </c>
      <c r="BY75" s="409">
        <v>0</v>
      </c>
      <c r="BZ75" s="453">
        <f t="shared" si="37"/>
        <v>0</v>
      </c>
      <c r="CA75" s="454">
        <f t="shared" si="38"/>
        <v>400</v>
      </c>
      <c r="CB75" s="411"/>
      <c r="CC75" s="411"/>
      <c r="CD75" s="411"/>
      <c r="CE75" s="411"/>
      <c r="CF75" s="411"/>
      <c r="CG75" s="412"/>
      <c r="CH75" s="413"/>
      <c r="CI75" s="414" t="s">
        <v>106</v>
      </c>
      <c r="CJ75" s="415"/>
      <c r="CK75" s="415"/>
      <c r="CL75" s="415"/>
      <c r="CM75" s="415"/>
      <c r="CN75" s="415"/>
      <c r="CO75" s="415"/>
      <c r="CP75" s="415"/>
      <c r="CQ75" s="415"/>
      <c r="CR75" s="415"/>
      <c r="CS75" s="415"/>
      <c r="CT75" s="415"/>
      <c r="CU75" s="415"/>
      <c r="CV75" s="410">
        <f t="shared" si="39"/>
        <v>0</v>
      </c>
      <c r="CW75" s="415"/>
      <c r="CX75" s="415"/>
      <c r="CY75" s="415"/>
      <c r="CZ75" s="415"/>
      <c r="DA75" s="415"/>
      <c r="DB75" s="415"/>
      <c r="DC75" s="415"/>
      <c r="DD75" s="415"/>
      <c r="DE75" s="415"/>
      <c r="DF75" s="415"/>
      <c r="DG75" s="415"/>
      <c r="DH75" s="415"/>
      <c r="DI75" s="410">
        <f t="shared" si="40"/>
        <v>0</v>
      </c>
      <c r="DJ75" s="415"/>
      <c r="DK75" s="415"/>
      <c r="DL75" s="415"/>
      <c r="DM75" s="415"/>
      <c r="DN75" s="415"/>
      <c r="DO75" s="415"/>
      <c r="DP75" s="415"/>
      <c r="DQ75" s="415"/>
      <c r="DR75" s="415"/>
      <c r="DS75" s="415"/>
      <c r="DT75" s="415"/>
      <c r="DU75" s="415"/>
      <c r="DV75" s="410">
        <f t="shared" si="41"/>
        <v>0</v>
      </c>
      <c r="DW75" s="415"/>
      <c r="DX75" s="415"/>
      <c r="DY75" s="415"/>
      <c r="DZ75" s="415"/>
      <c r="EA75" s="415"/>
      <c r="EB75" s="415"/>
      <c r="EC75" s="415"/>
      <c r="ED75" s="415"/>
      <c r="EE75" s="415">
        <v>1</v>
      </c>
      <c r="EF75" s="415"/>
      <c r="EG75" s="415"/>
      <c r="EH75" s="415"/>
      <c r="EI75" s="410">
        <f t="shared" si="42"/>
        <v>1</v>
      </c>
      <c r="EJ75" s="415"/>
      <c r="EK75" s="415"/>
      <c r="EL75" s="415"/>
      <c r="EM75" s="415"/>
      <c r="EN75" s="415"/>
      <c r="EO75" s="415"/>
      <c r="EP75" s="415"/>
      <c r="EQ75" s="415"/>
      <c r="ER75" s="415"/>
      <c r="ES75" s="415"/>
      <c r="ET75" s="415"/>
      <c r="EU75" s="415"/>
      <c r="EV75" s="410">
        <f t="shared" si="43"/>
        <v>0</v>
      </c>
      <c r="EW75" s="416">
        <f t="shared" si="44"/>
        <v>1</v>
      </c>
      <c r="EX75" s="417">
        <f>IFERROR(VLOOKUP(H75,CEI_012018!$A$1:$U$509,9,FALSE),0)</f>
        <v>0</v>
      </c>
      <c r="EY75" s="417">
        <f>IFERROR(VLOOKUP(H75,CEI_022018!$A$1:$U$509,9,FALSE),0)</f>
        <v>0</v>
      </c>
      <c r="EZ75" s="417">
        <f>IFERROR(VLOOKUP(H75,CEI_032018!$A$1:$U$509,9,FALSE),0)</f>
        <v>0</v>
      </c>
      <c r="FA75" s="417">
        <f>IFERROR(VLOOKUP(H75,CEI_042018!$A$1:$U$491,9,FALSE),0)</f>
        <v>0</v>
      </c>
      <c r="FB75" s="417">
        <f>IFERROR(VLOOKUP(H75,CEI_052018!$A$1:$U$489,9,FALSE),0)</f>
        <v>0</v>
      </c>
      <c r="FC75" s="417">
        <f>IFERROR(VLOOKUP(H75,CEI_062018!$A$1:$U$489,9,FALSE),0)</f>
        <v>0</v>
      </c>
      <c r="FD75" s="417">
        <f>IFERROR(VLOOKUP(H75,CEI_072018!$A$1:$U$489,9,FALSE),0)</f>
        <v>0</v>
      </c>
      <c r="FE75" s="417">
        <f>IFERROR(VLOOKUP(H75,CEI_082018!$A$1:$U$489,9,FALSE),0)</f>
        <v>0</v>
      </c>
      <c r="FF75" s="417">
        <f>IFERROR(VLOOKUP(H75,CEI_092018!$A$1:$U$489,9,FALSE),0)</f>
        <v>0</v>
      </c>
      <c r="FG75" s="417"/>
      <c r="FH75" s="417"/>
      <c r="FI75" s="417"/>
      <c r="FJ75" s="418">
        <f>IFERROR(VLOOKUP(H75,CEI_092018!$A$1:$U$489,12,FALSE),0)</f>
        <v>0</v>
      </c>
      <c r="FK75" s="418">
        <f t="shared" si="45"/>
        <v>0</v>
      </c>
      <c r="FL75" s="418">
        <f t="shared" si="46"/>
        <v>0</v>
      </c>
      <c r="FM75" s="417"/>
      <c r="FN75" s="417"/>
      <c r="FO75" s="417"/>
      <c r="FP75" s="417"/>
      <c r="FQ75" s="417"/>
      <c r="FR75" s="417"/>
      <c r="FS75" s="417"/>
      <c r="FT75" s="417"/>
      <c r="FU75" s="417"/>
      <c r="FV75" s="417"/>
      <c r="FW75" s="417"/>
      <c r="FX75" s="417"/>
      <c r="FY75" s="418"/>
      <c r="FZ75" s="418"/>
      <c r="GA75" s="418"/>
      <c r="GB75" s="417"/>
      <c r="GC75" s="417"/>
      <c r="GD75" s="417"/>
      <c r="GE75" s="417"/>
      <c r="GF75" s="417"/>
      <c r="GG75" s="417"/>
      <c r="GH75" s="417"/>
      <c r="GI75" s="417"/>
      <c r="GJ75" s="417"/>
      <c r="GK75" s="417"/>
      <c r="GL75" s="417"/>
      <c r="GM75" s="417"/>
      <c r="GN75" s="418"/>
      <c r="GO75" s="418"/>
      <c r="GP75" s="418"/>
      <c r="GQ75" s="417"/>
      <c r="GR75" s="417"/>
      <c r="GS75" s="417"/>
      <c r="GT75" s="417"/>
      <c r="GU75" s="417"/>
      <c r="GV75" s="417"/>
      <c r="GW75" s="417"/>
      <c r="GX75" s="417"/>
      <c r="GY75" s="417"/>
      <c r="GZ75" s="417"/>
      <c r="HA75" s="417"/>
      <c r="HB75" s="417"/>
      <c r="HC75" s="418"/>
      <c r="HD75" s="418"/>
      <c r="HE75" s="418"/>
      <c r="HF75" s="417"/>
      <c r="HG75" s="417"/>
      <c r="HH75" s="417"/>
      <c r="HI75" s="417"/>
      <c r="HJ75" s="417"/>
      <c r="HK75" s="417"/>
      <c r="HL75" s="417"/>
      <c r="HM75" s="417"/>
      <c r="HN75" s="417"/>
      <c r="HO75" s="417"/>
      <c r="HP75" s="417"/>
      <c r="HQ75" s="417"/>
      <c r="HR75" s="418"/>
      <c r="HS75" s="418"/>
      <c r="HT75" s="418"/>
    </row>
    <row r="76" spans="1:228" s="387" customFormat="1" ht="12.95" customHeight="1" x14ac:dyDescent="0.2">
      <c r="A76" s="406" t="s">
        <v>52</v>
      </c>
      <c r="B76" s="407" t="s">
        <v>1431</v>
      </c>
      <c r="C76" s="406" t="s">
        <v>173</v>
      </c>
      <c r="D76" s="407" t="s">
        <v>174</v>
      </c>
      <c r="E76" s="407" t="s">
        <v>173</v>
      </c>
      <c r="F76" s="407" t="s">
        <v>174</v>
      </c>
      <c r="G76" s="406" t="s">
        <v>63</v>
      </c>
      <c r="H76" s="408" t="s">
        <v>1169</v>
      </c>
      <c r="I76" s="408" t="s">
        <v>1171</v>
      </c>
      <c r="J76" s="406" t="s">
        <v>175</v>
      </c>
      <c r="K76" s="406" t="s">
        <v>176</v>
      </c>
      <c r="L76" s="406" t="s">
        <v>177</v>
      </c>
      <c r="M76" s="406"/>
      <c r="N76" s="452">
        <v>0</v>
      </c>
      <c r="O76" s="452">
        <v>0</v>
      </c>
      <c r="P76" s="452">
        <v>0</v>
      </c>
      <c r="Q76" s="452">
        <v>0</v>
      </c>
      <c r="R76" s="452">
        <v>0</v>
      </c>
      <c r="S76" s="452">
        <v>0</v>
      </c>
      <c r="T76" s="452">
        <v>0</v>
      </c>
      <c r="U76" s="409">
        <v>0</v>
      </c>
      <c r="V76" s="409"/>
      <c r="W76" s="409"/>
      <c r="X76" s="409">
        <v>74</v>
      </c>
      <c r="Y76" s="409"/>
      <c r="Z76" s="453">
        <f t="shared" si="47"/>
        <v>74</v>
      </c>
      <c r="AA76" s="452"/>
      <c r="AB76" s="452"/>
      <c r="AC76" s="452"/>
      <c r="AD76" s="452"/>
      <c r="AE76" s="452"/>
      <c r="AF76" s="452"/>
      <c r="AG76" s="452"/>
      <c r="AH76" s="409"/>
      <c r="AI76" s="409"/>
      <c r="AJ76" s="409"/>
      <c r="AK76" s="409"/>
      <c r="AL76" s="409"/>
      <c r="AM76" s="453">
        <f t="shared" si="34"/>
        <v>0</v>
      </c>
      <c r="AN76" s="452">
        <v>0</v>
      </c>
      <c r="AO76" s="452">
        <v>0</v>
      </c>
      <c r="AP76" s="452">
        <v>0</v>
      </c>
      <c r="AQ76" s="452">
        <v>0</v>
      </c>
      <c r="AR76" s="452">
        <v>0</v>
      </c>
      <c r="AS76" s="452">
        <v>0</v>
      </c>
      <c r="AT76" s="452">
        <v>0</v>
      </c>
      <c r="AU76" s="409">
        <v>0</v>
      </c>
      <c r="AV76" s="409"/>
      <c r="AW76" s="409">
        <v>0</v>
      </c>
      <c r="AX76" s="409">
        <v>0</v>
      </c>
      <c r="AY76" s="409">
        <v>0</v>
      </c>
      <c r="AZ76" s="453">
        <f t="shared" si="35"/>
        <v>0</v>
      </c>
      <c r="BA76" s="452">
        <v>0</v>
      </c>
      <c r="BB76" s="452">
        <v>0</v>
      </c>
      <c r="BC76" s="452">
        <v>0</v>
      </c>
      <c r="BD76" s="452">
        <v>0</v>
      </c>
      <c r="BE76" s="452">
        <v>0</v>
      </c>
      <c r="BF76" s="452">
        <v>0</v>
      </c>
      <c r="BG76" s="452">
        <v>0</v>
      </c>
      <c r="BH76" s="409">
        <v>0</v>
      </c>
      <c r="BI76" s="409">
        <v>0</v>
      </c>
      <c r="BJ76" s="409">
        <v>0</v>
      </c>
      <c r="BK76" s="409">
        <v>0</v>
      </c>
      <c r="BL76" s="409">
        <v>0</v>
      </c>
      <c r="BM76" s="453">
        <f t="shared" si="36"/>
        <v>0</v>
      </c>
      <c r="BN76" s="452">
        <v>0</v>
      </c>
      <c r="BO76" s="452">
        <v>0</v>
      </c>
      <c r="BP76" s="452">
        <v>0</v>
      </c>
      <c r="BQ76" s="452">
        <v>0</v>
      </c>
      <c r="BR76" s="452">
        <v>0</v>
      </c>
      <c r="BS76" s="452">
        <v>0</v>
      </c>
      <c r="BT76" s="452">
        <v>0</v>
      </c>
      <c r="BU76" s="409">
        <v>0</v>
      </c>
      <c r="BV76" s="409">
        <v>0</v>
      </c>
      <c r="BW76" s="409">
        <v>0</v>
      </c>
      <c r="BX76" s="409">
        <v>0</v>
      </c>
      <c r="BY76" s="409">
        <v>0</v>
      </c>
      <c r="BZ76" s="453">
        <f t="shared" si="37"/>
        <v>0</v>
      </c>
      <c r="CA76" s="454">
        <f t="shared" si="38"/>
        <v>74</v>
      </c>
      <c r="CB76" s="419"/>
      <c r="CC76" s="419">
        <v>1</v>
      </c>
      <c r="CD76" s="419">
        <v>1</v>
      </c>
      <c r="CE76" s="419">
        <v>1</v>
      </c>
      <c r="CF76" s="419">
        <v>1</v>
      </c>
      <c r="CG76" s="420">
        <f>IFERROR((FE76/Z76%),0)</f>
        <v>0</v>
      </c>
      <c r="CH76" s="421">
        <f>IFERROR((FK76/Z76%),0)</f>
        <v>16.171702823123418</v>
      </c>
      <c r="CI76" s="414" t="s">
        <v>71</v>
      </c>
      <c r="CJ76" s="415"/>
      <c r="CK76" s="415"/>
      <c r="CL76" s="415"/>
      <c r="CM76" s="415"/>
      <c r="CN76" s="415"/>
      <c r="CO76" s="415"/>
      <c r="CP76" s="415"/>
      <c r="CQ76" s="415"/>
      <c r="CR76" s="415">
        <v>12</v>
      </c>
      <c r="CS76" s="415"/>
      <c r="CT76" s="415"/>
      <c r="CU76" s="415"/>
      <c r="CV76" s="410">
        <f t="shared" si="39"/>
        <v>12</v>
      </c>
      <c r="CW76" s="415"/>
      <c r="CX76" s="415"/>
      <c r="CY76" s="415"/>
      <c r="CZ76" s="415"/>
      <c r="DA76" s="415"/>
      <c r="DB76" s="415"/>
      <c r="DC76" s="415"/>
      <c r="DD76" s="415"/>
      <c r="DE76" s="415"/>
      <c r="DF76" s="415"/>
      <c r="DG76" s="415"/>
      <c r="DH76" s="415"/>
      <c r="DI76" s="410">
        <f t="shared" si="40"/>
        <v>0</v>
      </c>
      <c r="DJ76" s="415"/>
      <c r="DK76" s="415"/>
      <c r="DL76" s="415"/>
      <c r="DM76" s="415"/>
      <c r="DN76" s="415"/>
      <c r="DO76" s="415"/>
      <c r="DP76" s="415"/>
      <c r="DQ76" s="415"/>
      <c r="DR76" s="415">
        <v>8</v>
      </c>
      <c r="DS76" s="415"/>
      <c r="DT76" s="415"/>
      <c r="DU76" s="415"/>
      <c r="DV76" s="410">
        <f t="shared" si="41"/>
        <v>8</v>
      </c>
      <c r="DW76" s="415"/>
      <c r="DX76" s="415"/>
      <c r="DY76" s="415"/>
      <c r="DZ76" s="415"/>
      <c r="EA76" s="415"/>
      <c r="EB76" s="415"/>
      <c r="EC76" s="415"/>
      <c r="ED76" s="415"/>
      <c r="EE76" s="415"/>
      <c r="EF76" s="415"/>
      <c r="EG76" s="415"/>
      <c r="EH76" s="415"/>
      <c r="EI76" s="410">
        <f t="shared" si="42"/>
        <v>0</v>
      </c>
      <c r="EJ76" s="415"/>
      <c r="EK76" s="415"/>
      <c r="EL76" s="415"/>
      <c r="EM76" s="415"/>
      <c r="EN76" s="415"/>
      <c r="EO76" s="415"/>
      <c r="EP76" s="415"/>
      <c r="EQ76" s="415"/>
      <c r="ER76" s="415"/>
      <c r="ES76" s="415"/>
      <c r="ET76" s="415"/>
      <c r="EU76" s="415"/>
      <c r="EV76" s="410">
        <f t="shared" si="43"/>
        <v>0</v>
      </c>
      <c r="EW76" s="416">
        <f t="shared" si="44"/>
        <v>20</v>
      </c>
      <c r="EX76" s="417">
        <f>IFERROR(VLOOKUP(H76,CEI_012018!$A$1:$U$509,9,FALSE),0)</f>
        <v>0</v>
      </c>
      <c r="EY76" s="417">
        <f>IFERROR(VLOOKUP(H76,CEI_022018!$A$1:$U$509,9,FALSE),0)</f>
        <v>0</v>
      </c>
      <c r="EZ76" s="417">
        <f>IFERROR(VLOOKUP(H76,CEI_032018!$A$1:$U$509,9,FALSE),0)</f>
        <v>0</v>
      </c>
      <c r="FA76" s="417">
        <f>IFERROR(VLOOKUP(H76,CEI_042018!$A$1:$U$491,9,FALSE),0)</f>
        <v>0</v>
      </c>
      <c r="FB76" s="417">
        <f>IFERROR(VLOOKUP(H76,CEI_052018!$A$1:$U$489,9,FALSE),0)</f>
        <v>0</v>
      </c>
      <c r="FC76" s="417">
        <f>IFERROR(VLOOKUP(H76,CEI_062018!$A$1:$U$489,9,FALSE),0)</f>
        <v>0</v>
      </c>
      <c r="FD76" s="417">
        <f>IFERROR(VLOOKUP(H76,CEI_072018!$A$1:$U$489,9,FALSE),0)</f>
        <v>0</v>
      </c>
      <c r="FE76" s="417">
        <f>IFERROR(VLOOKUP(H76,CEI_082018!$A$1:$U$489,9,FALSE),0)</f>
        <v>0</v>
      </c>
      <c r="FF76" s="417">
        <f>IFERROR(VLOOKUP(H76,CEI_092018!$A$1:$U$489,9,FALSE),0)</f>
        <v>0</v>
      </c>
      <c r="FG76" s="417"/>
      <c r="FH76" s="417"/>
      <c r="FI76" s="417"/>
      <c r="FJ76" s="418">
        <f>IFERROR(VLOOKUP(H76,CEI_092018!$A$1:$U$489,12,FALSE),0)</f>
        <v>11.967060089111328</v>
      </c>
      <c r="FK76" s="418">
        <f t="shared" si="45"/>
        <v>11.967060089111328</v>
      </c>
      <c r="FL76" s="418">
        <f t="shared" si="46"/>
        <v>62.032939910888672</v>
      </c>
      <c r="FM76" s="417"/>
      <c r="FN76" s="417"/>
      <c r="FO76" s="417"/>
      <c r="FP76" s="417"/>
      <c r="FQ76" s="417"/>
      <c r="FR76" s="417"/>
      <c r="FS76" s="417"/>
      <c r="FT76" s="417"/>
      <c r="FU76" s="417"/>
      <c r="FV76" s="417"/>
      <c r="FW76" s="417"/>
      <c r="FX76" s="417"/>
      <c r="FY76" s="418"/>
      <c r="FZ76" s="418"/>
      <c r="GA76" s="418"/>
      <c r="GB76" s="417"/>
      <c r="GC76" s="417"/>
      <c r="GD76" s="417"/>
      <c r="GE76" s="417"/>
      <c r="GF76" s="417"/>
      <c r="GG76" s="417"/>
      <c r="GH76" s="417"/>
      <c r="GI76" s="417"/>
      <c r="GJ76" s="417"/>
      <c r="GK76" s="417"/>
      <c r="GL76" s="417"/>
      <c r="GM76" s="417"/>
      <c r="GN76" s="418"/>
      <c r="GO76" s="418"/>
      <c r="GP76" s="418"/>
      <c r="GQ76" s="417"/>
      <c r="GR76" s="417"/>
      <c r="GS76" s="417"/>
      <c r="GT76" s="417"/>
      <c r="GU76" s="417"/>
      <c r="GV76" s="417"/>
      <c r="GW76" s="417"/>
      <c r="GX76" s="417"/>
      <c r="GY76" s="417"/>
      <c r="GZ76" s="417"/>
      <c r="HA76" s="417"/>
      <c r="HB76" s="417"/>
      <c r="HC76" s="418"/>
      <c r="HD76" s="418"/>
      <c r="HE76" s="418"/>
      <c r="HF76" s="417"/>
      <c r="HG76" s="417"/>
      <c r="HH76" s="417"/>
      <c r="HI76" s="417"/>
      <c r="HJ76" s="417"/>
      <c r="HK76" s="417"/>
      <c r="HL76" s="417"/>
      <c r="HM76" s="417"/>
      <c r="HN76" s="417"/>
      <c r="HO76" s="417"/>
      <c r="HP76" s="417"/>
      <c r="HQ76" s="417"/>
      <c r="HR76" s="418"/>
      <c r="HS76" s="418"/>
      <c r="HT76" s="418"/>
    </row>
    <row r="77" spans="1:228" s="387" customFormat="1" ht="12.95" customHeight="1" x14ac:dyDescent="0.2">
      <c r="A77" s="406" t="s">
        <v>52</v>
      </c>
      <c r="B77" s="407" t="s">
        <v>1431</v>
      </c>
      <c r="C77" s="406" t="s">
        <v>173</v>
      </c>
      <c r="D77" s="407" t="s">
        <v>174</v>
      </c>
      <c r="E77" s="407" t="s">
        <v>173</v>
      </c>
      <c r="F77" s="407" t="s">
        <v>174</v>
      </c>
      <c r="G77" s="406" t="s">
        <v>63</v>
      </c>
      <c r="H77" s="408" t="s">
        <v>520</v>
      </c>
      <c r="I77" s="408"/>
      <c r="J77" s="406" t="s">
        <v>615</v>
      </c>
      <c r="K77" s="406" t="s">
        <v>181</v>
      </c>
      <c r="L77" s="406" t="s">
        <v>177</v>
      </c>
      <c r="M77" s="406"/>
      <c r="N77" s="452">
        <v>0</v>
      </c>
      <c r="O77" s="452">
        <v>0</v>
      </c>
      <c r="P77" s="452">
        <v>0</v>
      </c>
      <c r="Q77" s="452">
        <v>0</v>
      </c>
      <c r="R77" s="452">
        <v>0</v>
      </c>
      <c r="S77" s="452">
        <v>0</v>
      </c>
      <c r="T77" s="452">
        <v>0</v>
      </c>
      <c r="U77" s="409">
        <v>0</v>
      </c>
      <c r="V77" s="409"/>
      <c r="W77" s="409"/>
      <c r="X77" s="409"/>
      <c r="Y77" s="409"/>
      <c r="Z77" s="453">
        <f t="shared" si="47"/>
        <v>0</v>
      </c>
      <c r="AA77" s="452"/>
      <c r="AB77" s="452"/>
      <c r="AC77" s="452"/>
      <c r="AD77" s="452"/>
      <c r="AE77" s="452"/>
      <c r="AF77" s="452"/>
      <c r="AG77" s="452"/>
      <c r="AH77" s="409"/>
      <c r="AI77" s="409"/>
      <c r="AJ77" s="409">
        <v>25</v>
      </c>
      <c r="AK77" s="409"/>
      <c r="AL77" s="409"/>
      <c r="AM77" s="453">
        <f t="shared" si="34"/>
        <v>25</v>
      </c>
      <c r="AN77" s="452">
        <v>0</v>
      </c>
      <c r="AO77" s="452">
        <v>0</v>
      </c>
      <c r="AP77" s="452">
        <v>0</v>
      </c>
      <c r="AQ77" s="452">
        <v>0</v>
      </c>
      <c r="AR77" s="452">
        <v>0</v>
      </c>
      <c r="AS77" s="452">
        <v>0</v>
      </c>
      <c r="AT77" s="452">
        <v>0</v>
      </c>
      <c r="AU77" s="409">
        <v>0</v>
      </c>
      <c r="AV77" s="409">
        <v>0</v>
      </c>
      <c r="AW77" s="409">
        <v>0</v>
      </c>
      <c r="AX77" s="409">
        <v>0</v>
      </c>
      <c r="AY77" s="409">
        <v>0</v>
      </c>
      <c r="AZ77" s="453">
        <f t="shared" si="35"/>
        <v>0</v>
      </c>
      <c r="BA77" s="452">
        <v>0</v>
      </c>
      <c r="BB77" s="452">
        <v>0</v>
      </c>
      <c r="BC77" s="452">
        <v>0</v>
      </c>
      <c r="BD77" s="452">
        <v>0</v>
      </c>
      <c r="BE77" s="452">
        <v>0</v>
      </c>
      <c r="BF77" s="452">
        <v>0</v>
      </c>
      <c r="BG77" s="452">
        <v>0</v>
      </c>
      <c r="BH77" s="409">
        <v>0</v>
      </c>
      <c r="BI77" s="409">
        <v>0</v>
      </c>
      <c r="BJ77" s="409">
        <v>0</v>
      </c>
      <c r="BK77" s="409">
        <v>0</v>
      </c>
      <c r="BL77" s="409">
        <v>0</v>
      </c>
      <c r="BM77" s="453">
        <f t="shared" si="36"/>
        <v>0</v>
      </c>
      <c r="BN77" s="452">
        <v>0</v>
      </c>
      <c r="BO77" s="452">
        <v>0</v>
      </c>
      <c r="BP77" s="452">
        <v>0</v>
      </c>
      <c r="BQ77" s="452">
        <v>0</v>
      </c>
      <c r="BR77" s="452">
        <v>0</v>
      </c>
      <c r="BS77" s="452">
        <v>0</v>
      </c>
      <c r="BT77" s="452">
        <v>0</v>
      </c>
      <c r="BU77" s="409">
        <v>0</v>
      </c>
      <c r="BV77" s="409">
        <v>0</v>
      </c>
      <c r="BW77" s="409">
        <v>30</v>
      </c>
      <c r="BX77" s="409">
        <v>0</v>
      </c>
      <c r="BY77" s="409">
        <v>0</v>
      </c>
      <c r="BZ77" s="453">
        <f t="shared" si="37"/>
        <v>30</v>
      </c>
      <c r="CA77" s="454">
        <f t="shared" si="38"/>
        <v>55</v>
      </c>
      <c r="CB77" s="411"/>
      <c r="CC77" s="411"/>
      <c r="CD77" s="411"/>
      <c r="CE77" s="411"/>
      <c r="CF77" s="411"/>
      <c r="CG77" s="412"/>
      <c r="CH77" s="413"/>
      <c r="CI77" s="414" t="s">
        <v>106</v>
      </c>
      <c r="CJ77" s="415"/>
      <c r="CK77" s="415"/>
      <c r="CL77" s="415"/>
      <c r="CM77" s="415"/>
      <c r="CN77" s="415"/>
      <c r="CO77" s="415"/>
      <c r="CP77" s="415"/>
      <c r="CQ77" s="415"/>
      <c r="CR77" s="415"/>
      <c r="CS77" s="415"/>
      <c r="CT77" s="415"/>
      <c r="CU77" s="415"/>
      <c r="CV77" s="410">
        <f t="shared" si="39"/>
        <v>0</v>
      </c>
      <c r="CW77" s="415"/>
      <c r="CX77" s="415"/>
      <c r="CY77" s="415"/>
      <c r="CZ77" s="415"/>
      <c r="DA77" s="415"/>
      <c r="DB77" s="415"/>
      <c r="DC77" s="415"/>
      <c r="DD77" s="415"/>
      <c r="DE77" s="415"/>
      <c r="DF77" s="415">
        <v>2</v>
      </c>
      <c r="DG77" s="415"/>
      <c r="DH77" s="415"/>
      <c r="DI77" s="410">
        <f t="shared" si="40"/>
        <v>2</v>
      </c>
      <c r="DJ77" s="415"/>
      <c r="DK77" s="415"/>
      <c r="DL77" s="415"/>
      <c r="DM77" s="415"/>
      <c r="DN77" s="415"/>
      <c r="DO77" s="415"/>
      <c r="DP77" s="415"/>
      <c r="DQ77" s="415"/>
      <c r="DR77" s="415"/>
      <c r="DS77" s="415"/>
      <c r="DT77" s="415"/>
      <c r="DU77" s="415"/>
      <c r="DV77" s="410">
        <f t="shared" si="41"/>
        <v>0</v>
      </c>
      <c r="DW77" s="415"/>
      <c r="DX77" s="415"/>
      <c r="DY77" s="415"/>
      <c r="DZ77" s="415"/>
      <c r="EA77" s="415"/>
      <c r="EB77" s="415"/>
      <c r="EC77" s="415"/>
      <c r="ED77" s="415"/>
      <c r="EE77" s="415"/>
      <c r="EF77" s="415"/>
      <c r="EG77" s="415"/>
      <c r="EH77" s="415"/>
      <c r="EI77" s="410">
        <f t="shared" si="42"/>
        <v>0</v>
      </c>
      <c r="EJ77" s="415"/>
      <c r="EK77" s="415"/>
      <c r="EL77" s="415"/>
      <c r="EM77" s="415"/>
      <c r="EN77" s="415"/>
      <c r="EO77" s="415"/>
      <c r="EP77" s="415"/>
      <c r="EQ77" s="415"/>
      <c r="ER77" s="415"/>
      <c r="ES77" s="415">
        <v>2</v>
      </c>
      <c r="ET77" s="415"/>
      <c r="EU77" s="415"/>
      <c r="EV77" s="410">
        <f t="shared" si="43"/>
        <v>2</v>
      </c>
      <c r="EW77" s="416">
        <f t="shared" si="44"/>
        <v>4</v>
      </c>
      <c r="EX77" s="417">
        <f>IFERROR(VLOOKUP(H77,CEI_012018!$A$1:$U$509,9,FALSE),0)</f>
        <v>0</v>
      </c>
      <c r="EY77" s="417">
        <f>IFERROR(VLOOKUP(H77,CEI_022018!$A$1:$U$509,9,FALSE),0)</f>
        <v>0</v>
      </c>
      <c r="EZ77" s="417">
        <f>IFERROR(VLOOKUP(H77,CEI_032018!$A$1:$U$509,9,FALSE),0)</f>
        <v>0</v>
      </c>
      <c r="FA77" s="417">
        <f>IFERROR(VLOOKUP(H77,CEI_042018!$A$1:$U$491,9,FALSE),0)</f>
        <v>0</v>
      </c>
      <c r="FB77" s="417">
        <f>IFERROR(VLOOKUP(H77,CEI_052018!$A$1:$U$489,9,FALSE),0)</f>
        <v>0</v>
      </c>
      <c r="FC77" s="417">
        <f>IFERROR(VLOOKUP(H77,CEI_062018!$A$1:$U$489,9,FALSE),0)</f>
        <v>0</v>
      </c>
      <c r="FD77" s="417">
        <f>IFERROR(VLOOKUP(H77,CEI_072018!$A$1:$U$489,9,FALSE),0)</f>
        <v>0</v>
      </c>
      <c r="FE77" s="417">
        <f>IFERROR(VLOOKUP(H77,CEI_082018!$A$1:$U$489,9,FALSE),0)</f>
        <v>0</v>
      </c>
      <c r="FF77" s="417">
        <f>IFERROR(VLOOKUP(H77,CEI_092018!$A$1:$U$489,9,FALSE),0)</f>
        <v>0</v>
      </c>
      <c r="FG77" s="417"/>
      <c r="FH77" s="417"/>
      <c r="FI77" s="417"/>
      <c r="FJ77" s="418">
        <f>IFERROR(VLOOKUP(H77,CEI_092018!$A$1:$U$489,12,FALSE),0)</f>
        <v>0</v>
      </c>
      <c r="FK77" s="418">
        <f t="shared" si="45"/>
        <v>0</v>
      </c>
      <c r="FL77" s="418">
        <f t="shared" si="46"/>
        <v>0</v>
      </c>
      <c r="FM77" s="417"/>
      <c r="FN77" s="417"/>
      <c r="FO77" s="417"/>
      <c r="FP77" s="417"/>
      <c r="FQ77" s="417"/>
      <c r="FR77" s="417"/>
      <c r="FS77" s="417"/>
      <c r="FT77" s="417"/>
      <c r="FU77" s="417"/>
      <c r="FV77" s="417"/>
      <c r="FW77" s="417"/>
      <c r="FX77" s="417"/>
      <c r="FY77" s="418"/>
      <c r="FZ77" s="418"/>
      <c r="GA77" s="418"/>
      <c r="GB77" s="417"/>
      <c r="GC77" s="417"/>
      <c r="GD77" s="417"/>
      <c r="GE77" s="417"/>
      <c r="GF77" s="417"/>
      <c r="GG77" s="417"/>
      <c r="GH77" s="417"/>
      <c r="GI77" s="417"/>
      <c r="GJ77" s="417"/>
      <c r="GK77" s="417"/>
      <c r="GL77" s="417"/>
      <c r="GM77" s="417"/>
      <c r="GN77" s="418"/>
      <c r="GO77" s="418"/>
      <c r="GP77" s="418"/>
      <c r="GQ77" s="417"/>
      <c r="GR77" s="417"/>
      <c r="GS77" s="417"/>
      <c r="GT77" s="417"/>
      <c r="GU77" s="417"/>
      <c r="GV77" s="417"/>
      <c r="GW77" s="417"/>
      <c r="GX77" s="417"/>
      <c r="GY77" s="417"/>
      <c r="GZ77" s="417"/>
      <c r="HA77" s="417"/>
      <c r="HB77" s="417"/>
      <c r="HC77" s="418"/>
      <c r="HD77" s="418"/>
      <c r="HE77" s="418"/>
      <c r="HF77" s="417"/>
      <c r="HG77" s="417"/>
      <c r="HH77" s="417"/>
      <c r="HI77" s="417"/>
      <c r="HJ77" s="417"/>
      <c r="HK77" s="417"/>
      <c r="HL77" s="417"/>
      <c r="HM77" s="417"/>
      <c r="HN77" s="417"/>
      <c r="HO77" s="417"/>
      <c r="HP77" s="417"/>
      <c r="HQ77" s="417"/>
      <c r="HR77" s="418"/>
      <c r="HS77" s="418"/>
      <c r="HT77" s="418"/>
    </row>
    <row r="78" spans="1:228" s="387" customFormat="1" ht="12.95" customHeight="1" x14ac:dyDescent="0.2">
      <c r="A78" s="406" t="s">
        <v>52</v>
      </c>
      <c r="B78" s="407" t="s">
        <v>1431</v>
      </c>
      <c r="C78" s="406" t="s">
        <v>173</v>
      </c>
      <c r="D78" s="407" t="s">
        <v>174</v>
      </c>
      <c r="E78" s="407" t="s">
        <v>173</v>
      </c>
      <c r="F78" s="407" t="s">
        <v>174</v>
      </c>
      <c r="G78" s="406" t="s">
        <v>63</v>
      </c>
      <c r="H78" s="408" t="s">
        <v>520</v>
      </c>
      <c r="I78" s="408"/>
      <c r="J78" s="406" t="s">
        <v>614</v>
      </c>
      <c r="K78" s="406" t="s">
        <v>182</v>
      </c>
      <c r="L78" s="406" t="s">
        <v>177</v>
      </c>
      <c r="M78" s="406"/>
      <c r="N78" s="452">
        <v>0</v>
      </c>
      <c r="O78" s="452">
        <v>0</v>
      </c>
      <c r="P78" s="452">
        <v>0</v>
      </c>
      <c r="Q78" s="452">
        <v>0</v>
      </c>
      <c r="R78" s="452">
        <v>0</v>
      </c>
      <c r="S78" s="452">
        <v>0</v>
      </c>
      <c r="T78" s="452">
        <v>0</v>
      </c>
      <c r="U78" s="409">
        <v>0</v>
      </c>
      <c r="V78" s="409"/>
      <c r="W78" s="409"/>
      <c r="X78" s="409"/>
      <c r="Y78" s="409"/>
      <c r="Z78" s="453">
        <f t="shared" si="47"/>
        <v>0</v>
      </c>
      <c r="AA78" s="452"/>
      <c r="AB78" s="452"/>
      <c r="AC78" s="452"/>
      <c r="AD78" s="452"/>
      <c r="AE78" s="452"/>
      <c r="AF78" s="452"/>
      <c r="AG78" s="452"/>
      <c r="AH78" s="409"/>
      <c r="AI78" s="409"/>
      <c r="AJ78" s="409">
        <v>16</v>
      </c>
      <c r="AK78" s="409"/>
      <c r="AL78" s="409"/>
      <c r="AM78" s="453">
        <f t="shared" si="34"/>
        <v>16</v>
      </c>
      <c r="AN78" s="452">
        <v>0</v>
      </c>
      <c r="AO78" s="452">
        <v>0</v>
      </c>
      <c r="AP78" s="452">
        <v>0</v>
      </c>
      <c r="AQ78" s="452">
        <v>0</v>
      </c>
      <c r="AR78" s="452">
        <v>0</v>
      </c>
      <c r="AS78" s="452">
        <v>0</v>
      </c>
      <c r="AT78" s="452">
        <v>0</v>
      </c>
      <c r="AU78" s="409">
        <v>0</v>
      </c>
      <c r="AV78" s="409">
        <v>0</v>
      </c>
      <c r="AW78" s="409"/>
      <c r="AX78" s="409">
        <v>0</v>
      </c>
      <c r="AY78" s="409">
        <v>0</v>
      </c>
      <c r="AZ78" s="453">
        <f t="shared" si="35"/>
        <v>0</v>
      </c>
      <c r="BA78" s="452">
        <v>0</v>
      </c>
      <c r="BB78" s="452">
        <v>0</v>
      </c>
      <c r="BC78" s="452">
        <v>0</v>
      </c>
      <c r="BD78" s="452">
        <v>0</v>
      </c>
      <c r="BE78" s="452">
        <v>0</v>
      </c>
      <c r="BF78" s="452">
        <v>0</v>
      </c>
      <c r="BG78" s="452">
        <v>0</v>
      </c>
      <c r="BH78" s="409">
        <v>0</v>
      </c>
      <c r="BI78" s="409">
        <v>0</v>
      </c>
      <c r="BJ78" s="409">
        <v>0</v>
      </c>
      <c r="BK78" s="409">
        <v>0</v>
      </c>
      <c r="BL78" s="409">
        <v>0</v>
      </c>
      <c r="BM78" s="453">
        <f t="shared" si="36"/>
        <v>0</v>
      </c>
      <c r="BN78" s="452">
        <v>0</v>
      </c>
      <c r="BO78" s="452">
        <v>0</v>
      </c>
      <c r="BP78" s="452">
        <v>0</v>
      </c>
      <c r="BQ78" s="452">
        <v>0</v>
      </c>
      <c r="BR78" s="452">
        <v>0</v>
      </c>
      <c r="BS78" s="452">
        <v>0</v>
      </c>
      <c r="BT78" s="452">
        <v>0</v>
      </c>
      <c r="BU78" s="409">
        <v>0</v>
      </c>
      <c r="BV78" s="409">
        <v>0</v>
      </c>
      <c r="BW78" s="409">
        <v>0</v>
      </c>
      <c r="BX78" s="409">
        <v>0</v>
      </c>
      <c r="BY78" s="409">
        <v>0</v>
      </c>
      <c r="BZ78" s="453">
        <f t="shared" si="37"/>
        <v>0</v>
      </c>
      <c r="CA78" s="454">
        <f t="shared" si="38"/>
        <v>16</v>
      </c>
      <c r="CB78" s="411"/>
      <c r="CC78" s="411"/>
      <c r="CD78" s="411"/>
      <c r="CE78" s="411"/>
      <c r="CF78" s="411"/>
      <c r="CG78" s="412"/>
      <c r="CH78" s="413"/>
      <c r="CI78" s="414" t="s">
        <v>106</v>
      </c>
      <c r="CJ78" s="415"/>
      <c r="CK78" s="415"/>
      <c r="CL78" s="415"/>
      <c r="CM78" s="415"/>
      <c r="CN78" s="415"/>
      <c r="CO78" s="415"/>
      <c r="CP78" s="415"/>
      <c r="CQ78" s="415"/>
      <c r="CR78" s="415"/>
      <c r="CS78" s="415"/>
      <c r="CT78" s="415"/>
      <c r="CU78" s="415"/>
      <c r="CV78" s="410">
        <f t="shared" si="39"/>
        <v>0</v>
      </c>
      <c r="CW78" s="415"/>
      <c r="CX78" s="415"/>
      <c r="CY78" s="415"/>
      <c r="CZ78" s="415"/>
      <c r="DA78" s="415"/>
      <c r="DB78" s="415"/>
      <c r="DC78" s="415"/>
      <c r="DD78" s="415"/>
      <c r="DE78" s="415"/>
      <c r="DF78" s="415"/>
      <c r="DG78" s="415"/>
      <c r="DH78" s="415">
        <v>8</v>
      </c>
      <c r="DI78" s="410">
        <f t="shared" si="40"/>
        <v>8</v>
      </c>
      <c r="DJ78" s="415"/>
      <c r="DK78" s="415"/>
      <c r="DL78" s="415"/>
      <c r="DM78" s="415"/>
      <c r="DN78" s="415"/>
      <c r="DO78" s="415"/>
      <c r="DP78" s="415"/>
      <c r="DQ78" s="415"/>
      <c r="DR78" s="415"/>
      <c r="DS78" s="415"/>
      <c r="DT78" s="415"/>
      <c r="DU78" s="415"/>
      <c r="DV78" s="410">
        <f t="shared" si="41"/>
        <v>0</v>
      </c>
      <c r="DW78" s="415"/>
      <c r="DX78" s="415"/>
      <c r="DY78" s="415"/>
      <c r="DZ78" s="415"/>
      <c r="EA78" s="415"/>
      <c r="EB78" s="415"/>
      <c r="EC78" s="415"/>
      <c r="ED78" s="415"/>
      <c r="EE78" s="415"/>
      <c r="EF78" s="415"/>
      <c r="EG78" s="415"/>
      <c r="EH78" s="415"/>
      <c r="EI78" s="410">
        <f t="shared" si="42"/>
        <v>0</v>
      </c>
      <c r="EJ78" s="415"/>
      <c r="EK78" s="415"/>
      <c r="EL78" s="415"/>
      <c r="EM78" s="415"/>
      <c r="EN78" s="415"/>
      <c r="EO78" s="415"/>
      <c r="EP78" s="415"/>
      <c r="EQ78" s="415"/>
      <c r="ER78" s="415"/>
      <c r="ES78" s="415"/>
      <c r="ET78" s="415"/>
      <c r="EU78" s="415"/>
      <c r="EV78" s="410">
        <f t="shared" si="43"/>
        <v>0</v>
      </c>
      <c r="EW78" s="416">
        <f t="shared" si="44"/>
        <v>8</v>
      </c>
      <c r="EX78" s="417">
        <f>IFERROR(VLOOKUP(H78,CEI_012018!$A$1:$U$509,9,FALSE),0)</f>
        <v>0</v>
      </c>
      <c r="EY78" s="417">
        <f>IFERROR(VLOOKUP(H78,CEI_022018!$A$1:$U$509,9,FALSE),0)</f>
        <v>0</v>
      </c>
      <c r="EZ78" s="417">
        <f>IFERROR(VLOOKUP(H78,CEI_032018!$A$1:$U$509,9,FALSE),0)</f>
        <v>0</v>
      </c>
      <c r="FA78" s="417">
        <f>IFERROR(VLOOKUP(H78,CEI_042018!$A$1:$U$491,9,FALSE),0)</f>
        <v>0</v>
      </c>
      <c r="FB78" s="417">
        <f>IFERROR(VLOOKUP(H78,CEI_052018!$A$1:$U$489,9,FALSE),0)</f>
        <v>0</v>
      </c>
      <c r="FC78" s="417">
        <f>IFERROR(VLOOKUP(H78,CEI_062018!$A$1:$U$489,9,FALSE),0)</f>
        <v>0</v>
      </c>
      <c r="FD78" s="417">
        <f>IFERROR(VLOOKUP(H78,CEI_072018!$A$1:$U$489,9,FALSE),0)</f>
        <v>0</v>
      </c>
      <c r="FE78" s="417">
        <f>IFERROR(VLOOKUP(H78,CEI_082018!$A$1:$U$489,9,FALSE),0)</f>
        <v>0</v>
      </c>
      <c r="FF78" s="417">
        <f>IFERROR(VLOOKUP(H78,CEI_092018!$A$1:$U$489,9,FALSE),0)</f>
        <v>0</v>
      </c>
      <c r="FG78" s="417"/>
      <c r="FH78" s="417"/>
      <c r="FI78" s="417"/>
      <c r="FJ78" s="418">
        <f>IFERROR(VLOOKUP(H78,CEI_092018!$A$1:$U$489,12,FALSE),0)</f>
        <v>0</v>
      </c>
      <c r="FK78" s="418">
        <f t="shared" si="45"/>
        <v>0</v>
      </c>
      <c r="FL78" s="418">
        <f t="shared" si="46"/>
        <v>0</v>
      </c>
      <c r="FM78" s="417"/>
      <c r="FN78" s="417"/>
      <c r="FO78" s="417"/>
      <c r="FP78" s="417"/>
      <c r="FQ78" s="417"/>
      <c r="FR78" s="417"/>
      <c r="FS78" s="417"/>
      <c r="FT78" s="417"/>
      <c r="FU78" s="417"/>
      <c r="FV78" s="417"/>
      <c r="FW78" s="417"/>
      <c r="FX78" s="417"/>
      <c r="FY78" s="418"/>
      <c r="FZ78" s="418"/>
      <c r="GA78" s="418"/>
      <c r="GB78" s="417"/>
      <c r="GC78" s="417"/>
      <c r="GD78" s="417"/>
      <c r="GE78" s="417"/>
      <c r="GF78" s="417"/>
      <c r="GG78" s="417"/>
      <c r="GH78" s="417"/>
      <c r="GI78" s="417"/>
      <c r="GJ78" s="417"/>
      <c r="GK78" s="417"/>
      <c r="GL78" s="417"/>
      <c r="GM78" s="417"/>
      <c r="GN78" s="418"/>
      <c r="GO78" s="418"/>
      <c r="GP78" s="418"/>
      <c r="GQ78" s="417"/>
      <c r="GR78" s="417"/>
      <c r="GS78" s="417"/>
      <c r="GT78" s="417"/>
      <c r="GU78" s="417"/>
      <c r="GV78" s="417"/>
      <c r="GW78" s="417"/>
      <c r="GX78" s="417"/>
      <c r="GY78" s="417"/>
      <c r="GZ78" s="417"/>
      <c r="HA78" s="417"/>
      <c r="HB78" s="417"/>
      <c r="HC78" s="418"/>
      <c r="HD78" s="418"/>
      <c r="HE78" s="418"/>
      <c r="HF78" s="417"/>
      <c r="HG78" s="417"/>
      <c r="HH78" s="417"/>
      <c r="HI78" s="417"/>
      <c r="HJ78" s="417"/>
      <c r="HK78" s="417"/>
      <c r="HL78" s="417"/>
      <c r="HM78" s="417"/>
      <c r="HN78" s="417"/>
      <c r="HO78" s="417"/>
      <c r="HP78" s="417"/>
      <c r="HQ78" s="417"/>
      <c r="HR78" s="418"/>
      <c r="HS78" s="418"/>
      <c r="HT78" s="418"/>
    </row>
    <row r="79" spans="1:228" s="387" customFormat="1" ht="12.95" customHeight="1" x14ac:dyDescent="0.2">
      <c r="A79" s="406" t="s">
        <v>52</v>
      </c>
      <c r="B79" s="407" t="s">
        <v>1431</v>
      </c>
      <c r="C79" s="406" t="s">
        <v>173</v>
      </c>
      <c r="D79" s="407" t="s">
        <v>174</v>
      </c>
      <c r="E79" s="407" t="s">
        <v>173</v>
      </c>
      <c r="F79" s="407" t="s">
        <v>174</v>
      </c>
      <c r="G79" s="406" t="s">
        <v>63</v>
      </c>
      <c r="H79" s="408" t="s">
        <v>520</v>
      </c>
      <c r="I79" s="408"/>
      <c r="J79" s="406" t="s">
        <v>178</v>
      </c>
      <c r="K79" s="406" t="s">
        <v>179</v>
      </c>
      <c r="L79" s="406" t="s">
        <v>177</v>
      </c>
      <c r="M79" s="406"/>
      <c r="N79" s="452">
        <v>0</v>
      </c>
      <c r="O79" s="452">
        <v>0</v>
      </c>
      <c r="P79" s="452">
        <v>0</v>
      </c>
      <c r="Q79" s="452">
        <v>0</v>
      </c>
      <c r="R79" s="452">
        <v>0</v>
      </c>
      <c r="S79" s="452">
        <v>0</v>
      </c>
      <c r="T79" s="452">
        <v>0</v>
      </c>
      <c r="U79" s="409">
        <v>0</v>
      </c>
      <c r="V79" s="409"/>
      <c r="W79" s="409"/>
      <c r="X79" s="409"/>
      <c r="Y79" s="409"/>
      <c r="Z79" s="453">
        <f t="shared" si="47"/>
        <v>0</v>
      </c>
      <c r="AA79" s="452"/>
      <c r="AB79" s="452"/>
      <c r="AC79" s="452"/>
      <c r="AD79" s="452"/>
      <c r="AE79" s="452"/>
      <c r="AF79" s="452"/>
      <c r="AG79" s="452"/>
      <c r="AH79" s="409"/>
      <c r="AI79" s="409"/>
      <c r="AJ79" s="409"/>
      <c r="AK79" s="409"/>
      <c r="AL79" s="409"/>
      <c r="AM79" s="453">
        <f t="shared" si="34"/>
        <v>0</v>
      </c>
      <c r="AN79" s="452">
        <v>0</v>
      </c>
      <c r="AO79" s="452">
        <v>0</v>
      </c>
      <c r="AP79" s="452">
        <v>0</v>
      </c>
      <c r="AQ79" s="452">
        <v>0</v>
      </c>
      <c r="AR79" s="452">
        <v>0</v>
      </c>
      <c r="AS79" s="452">
        <v>0</v>
      </c>
      <c r="AT79" s="452">
        <v>190</v>
      </c>
      <c r="AU79" s="409">
        <v>0</v>
      </c>
      <c r="AV79" s="409">
        <v>0</v>
      </c>
      <c r="AW79" s="409">
        <v>0</v>
      </c>
      <c r="AX79" s="409">
        <v>0</v>
      </c>
      <c r="AY79" s="409">
        <v>0</v>
      </c>
      <c r="AZ79" s="453">
        <f t="shared" si="35"/>
        <v>190</v>
      </c>
      <c r="BA79" s="452">
        <v>0</v>
      </c>
      <c r="BB79" s="452">
        <v>0</v>
      </c>
      <c r="BC79" s="452">
        <v>0</v>
      </c>
      <c r="BD79" s="452">
        <v>0</v>
      </c>
      <c r="BE79" s="452">
        <v>0</v>
      </c>
      <c r="BF79" s="452">
        <v>0</v>
      </c>
      <c r="BG79" s="452">
        <v>0</v>
      </c>
      <c r="BH79" s="409">
        <v>0</v>
      </c>
      <c r="BI79" s="409">
        <v>0</v>
      </c>
      <c r="BJ79" s="409">
        <v>0</v>
      </c>
      <c r="BK79" s="409">
        <v>0</v>
      </c>
      <c r="BL79" s="409">
        <v>0</v>
      </c>
      <c r="BM79" s="453">
        <f t="shared" si="36"/>
        <v>0</v>
      </c>
      <c r="BN79" s="452">
        <v>0</v>
      </c>
      <c r="BO79" s="452">
        <v>0</v>
      </c>
      <c r="BP79" s="452">
        <v>0</v>
      </c>
      <c r="BQ79" s="452">
        <v>0</v>
      </c>
      <c r="BR79" s="452">
        <v>0</v>
      </c>
      <c r="BS79" s="452">
        <v>0</v>
      </c>
      <c r="BT79" s="452">
        <v>0</v>
      </c>
      <c r="BU79" s="409">
        <v>0</v>
      </c>
      <c r="BV79" s="409">
        <v>0</v>
      </c>
      <c r="BW79" s="409">
        <v>0</v>
      </c>
      <c r="BX79" s="409">
        <v>0</v>
      </c>
      <c r="BY79" s="409">
        <v>0</v>
      </c>
      <c r="BZ79" s="453">
        <f t="shared" si="37"/>
        <v>0</v>
      </c>
      <c r="CA79" s="454">
        <f t="shared" si="38"/>
        <v>190</v>
      </c>
      <c r="CB79" s="411"/>
      <c r="CC79" s="411"/>
      <c r="CD79" s="411"/>
      <c r="CE79" s="411"/>
      <c r="CF79" s="411"/>
      <c r="CG79" s="412"/>
      <c r="CH79" s="413"/>
      <c r="CI79" s="414" t="s">
        <v>106</v>
      </c>
      <c r="CJ79" s="415"/>
      <c r="CK79" s="415"/>
      <c r="CL79" s="415"/>
      <c r="CM79" s="415"/>
      <c r="CN79" s="415"/>
      <c r="CO79" s="415"/>
      <c r="CP79" s="415"/>
      <c r="CQ79" s="415"/>
      <c r="CR79" s="415"/>
      <c r="CS79" s="415"/>
      <c r="CT79" s="415"/>
      <c r="CU79" s="415"/>
      <c r="CV79" s="410">
        <f t="shared" si="39"/>
        <v>0</v>
      </c>
      <c r="CW79" s="415"/>
      <c r="CX79" s="415"/>
      <c r="CY79" s="415"/>
      <c r="CZ79" s="415"/>
      <c r="DA79" s="415"/>
      <c r="DB79" s="415"/>
      <c r="DC79" s="415"/>
      <c r="DD79" s="415"/>
      <c r="DE79" s="415"/>
      <c r="DF79" s="415"/>
      <c r="DG79" s="415"/>
      <c r="DH79" s="415"/>
      <c r="DI79" s="410">
        <f t="shared" si="40"/>
        <v>0</v>
      </c>
      <c r="DJ79" s="415"/>
      <c r="DK79" s="415"/>
      <c r="DL79" s="415"/>
      <c r="DM79" s="415"/>
      <c r="DN79" s="415"/>
      <c r="DO79" s="415"/>
      <c r="DP79" s="415"/>
      <c r="DQ79" s="415"/>
      <c r="DR79" s="415"/>
      <c r="DS79" s="415">
        <v>3</v>
      </c>
      <c r="DT79" s="415"/>
      <c r="DU79" s="415"/>
      <c r="DV79" s="410">
        <f t="shared" si="41"/>
        <v>3</v>
      </c>
      <c r="DW79" s="415"/>
      <c r="DX79" s="415"/>
      <c r="DY79" s="415"/>
      <c r="DZ79" s="415"/>
      <c r="EA79" s="415"/>
      <c r="EB79" s="415"/>
      <c r="EC79" s="415"/>
      <c r="ED79" s="415"/>
      <c r="EE79" s="415"/>
      <c r="EF79" s="415"/>
      <c r="EG79" s="415"/>
      <c r="EH79" s="415"/>
      <c r="EI79" s="410">
        <f t="shared" si="42"/>
        <v>0</v>
      </c>
      <c r="EJ79" s="415"/>
      <c r="EK79" s="415"/>
      <c r="EL79" s="415"/>
      <c r="EM79" s="415"/>
      <c r="EN79" s="415"/>
      <c r="EO79" s="415"/>
      <c r="EP79" s="415"/>
      <c r="EQ79" s="415"/>
      <c r="ER79" s="415"/>
      <c r="ES79" s="415"/>
      <c r="ET79" s="415"/>
      <c r="EU79" s="415"/>
      <c r="EV79" s="410">
        <f t="shared" si="43"/>
        <v>0</v>
      </c>
      <c r="EW79" s="416">
        <f t="shared" si="44"/>
        <v>3</v>
      </c>
      <c r="EX79" s="417">
        <f>IFERROR(VLOOKUP(H79,CEI_012018!$A$1:$U$509,9,FALSE),0)</f>
        <v>0</v>
      </c>
      <c r="EY79" s="417">
        <f>IFERROR(VLOOKUP(H79,CEI_022018!$A$1:$U$509,9,FALSE),0)</f>
        <v>0</v>
      </c>
      <c r="EZ79" s="417">
        <f>IFERROR(VLOOKUP(H79,CEI_032018!$A$1:$U$509,9,FALSE),0)</f>
        <v>0</v>
      </c>
      <c r="FA79" s="417">
        <f>IFERROR(VLOOKUP(H79,CEI_042018!$A$1:$U$491,9,FALSE),0)</f>
        <v>0</v>
      </c>
      <c r="FB79" s="417">
        <f>IFERROR(VLOOKUP(H79,CEI_052018!$A$1:$U$489,9,FALSE),0)</f>
        <v>0</v>
      </c>
      <c r="FC79" s="417">
        <f>IFERROR(VLOOKUP(H79,CEI_062018!$A$1:$U$489,9,FALSE),0)</f>
        <v>0</v>
      </c>
      <c r="FD79" s="417">
        <f>IFERROR(VLOOKUP(H79,CEI_072018!$A$1:$U$489,9,FALSE),0)</f>
        <v>0</v>
      </c>
      <c r="FE79" s="417">
        <f>IFERROR(VLOOKUP(H79,CEI_082018!$A$1:$U$489,9,FALSE),0)</f>
        <v>0</v>
      </c>
      <c r="FF79" s="417">
        <f>IFERROR(VLOOKUP(H79,CEI_092018!$A$1:$U$489,9,FALSE),0)</f>
        <v>0</v>
      </c>
      <c r="FG79" s="417"/>
      <c r="FH79" s="417"/>
      <c r="FI79" s="417"/>
      <c r="FJ79" s="418">
        <f>IFERROR(VLOOKUP(H79,CEI_092018!$A$1:$U$489,12,FALSE),0)</f>
        <v>0</v>
      </c>
      <c r="FK79" s="418">
        <f t="shared" si="45"/>
        <v>0</v>
      </c>
      <c r="FL79" s="418">
        <f t="shared" si="46"/>
        <v>0</v>
      </c>
      <c r="FM79" s="417"/>
      <c r="FN79" s="417"/>
      <c r="FO79" s="417"/>
      <c r="FP79" s="417"/>
      <c r="FQ79" s="417"/>
      <c r="FR79" s="417"/>
      <c r="FS79" s="417"/>
      <c r="FT79" s="417"/>
      <c r="FU79" s="417"/>
      <c r="FV79" s="417"/>
      <c r="FW79" s="417"/>
      <c r="FX79" s="417"/>
      <c r="FY79" s="418"/>
      <c r="FZ79" s="418"/>
      <c r="GA79" s="418"/>
      <c r="GB79" s="417"/>
      <c r="GC79" s="417"/>
      <c r="GD79" s="417"/>
      <c r="GE79" s="417"/>
      <c r="GF79" s="417"/>
      <c r="GG79" s="417"/>
      <c r="GH79" s="417"/>
      <c r="GI79" s="417"/>
      <c r="GJ79" s="417"/>
      <c r="GK79" s="417"/>
      <c r="GL79" s="417"/>
      <c r="GM79" s="417"/>
      <c r="GN79" s="418"/>
      <c r="GO79" s="418"/>
      <c r="GP79" s="418"/>
      <c r="GQ79" s="417"/>
      <c r="GR79" s="417"/>
      <c r="GS79" s="417"/>
      <c r="GT79" s="417"/>
      <c r="GU79" s="417"/>
      <c r="GV79" s="417"/>
      <c r="GW79" s="417"/>
      <c r="GX79" s="417"/>
      <c r="GY79" s="417"/>
      <c r="GZ79" s="417"/>
      <c r="HA79" s="417"/>
      <c r="HB79" s="417"/>
      <c r="HC79" s="418"/>
      <c r="HD79" s="418"/>
      <c r="HE79" s="418"/>
      <c r="HF79" s="417"/>
      <c r="HG79" s="417"/>
      <c r="HH79" s="417"/>
      <c r="HI79" s="417"/>
      <c r="HJ79" s="417"/>
      <c r="HK79" s="417"/>
      <c r="HL79" s="417"/>
      <c r="HM79" s="417"/>
      <c r="HN79" s="417"/>
      <c r="HO79" s="417"/>
      <c r="HP79" s="417"/>
      <c r="HQ79" s="417"/>
      <c r="HR79" s="418"/>
      <c r="HS79" s="418"/>
      <c r="HT79" s="418"/>
    </row>
    <row r="80" spans="1:228" s="387" customFormat="1" ht="12.95" customHeight="1" x14ac:dyDescent="0.2">
      <c r="A80" s="406" t="s">
        <v>61</v>
      </c>
      <c r="B80" s="407" t="s">
        <v>1432</v>
      </c>
      <c r="C80" s="406" t="s">
        <v>191</v>
      </c>
      <c r="D80" s="407" t="s">
        <v>192</v>
      </c>
      <c r="E80" s="407" t="s">
        <v>191</v>
      </c>
      <c r="F80" s="407" t="s">
        <v>192</v>
      </c>
      <c r="G80" s="406" t="s">
        <v>63</v>
      </c>
      <c r="H80" s="408" t="s">
        <v>1199</v>
      </c>
      <c r="I80" s="408" t="s">
        <v>1201</v>
      </c>
      <c r="J80" s="406" t="s">
        <v>193</v>
      </c>
      <c r="K80" s="406" t="s">
        <v>194</v>
      </c>
      <c r="L80" s="406" t="s">
        <v>195</v>
      </c>
      <c r="M80" s="406"/>
      <c r="N80" s="452">
        <v>0</v>
      </c>
      <c r="O80" s="452">
        <v>0</v>
      </c>
      <c r="P80" s="452">
        <v>0</v>
      </c>
      <c r="Q80" s="452">
        <v>35</v>
      </c>
      <c r="R80" s="452">
        <v>52.617710113525391</v>
      </c>
      <c r="S80" s="452">
        <v>0.12260055541992188</v>
      </c>
      <c r="T80" s="452">
        <v>0</v>
      </c>
      <c r="U80" s="409">
        <v>44.717998504638672</v>
      </c>
      <c r="V80" s="409">
        <v>335.56800007820129</v>
      </c>
      <c r="W80" s="409"/>
      <c r="X80" s="409"/>
      <c r="Y80" s="409">
        <v>232.46505074821471</v>
      </c>
      <c r="Z80" s="453">
        <f t="shared" si="47"/>
        <v>700.49135999999999</v>
      </c>
      <c r="AA80" s="452">
        <v>0</v>
      </c>
      <c r="AB80" s="452">
        <v>0</v>
      </c>
      <c r="AC80" s="452">
        <v>0</v>
      </c>
      <c r="AD80" s="452">
        <v>0</v>
      </c>
      <c r="AE80" s="452">
        <v>0</v>
      </c>
      <c r="AF80" s="452">
        <v>0</v>
      </c>
      <c r="AG80" s="452">
        <v>0</v>
      </c>
      <c r="AH80" s="409">
        <v>0</v>
      </c>
      <c r="AI80" s="409">
        <v>0</v>
      </c>
      <c r="AJ80" s="409">
        <v>0</v>
      </c>
      <c r="AK80" s="409">
        <v>0</v>
      </c>
      <c r="AL80" s="409">
        <f>363.3+12.6707900000001+14.20835</f>
        <v>390.17914000000013</v>
      </c>
      <c r="AM80" s="453">
        <f t="shared" si="34"/>
        <v>390.17914000000013</v>
      </c>
      <c r="AN80" s="452">
        <v>0</v>
      </c>
      <c r="AO80" s="452">
        <v>0</v>
      </c>
      <c r="AP80" s="452">
        <v>0</v>
      </c>
      <c r="AQ80" s="452">
        <v>0</v>
      </c>
      <c r="AR80" s="452">
        <v>0</v>
      </c>
      <c r="AS80" s="452">
        <v>0</v>
      </c>
      <c r="AT80" s="452">
        <v>0</v>
      </c>
      <c r="AU80" s="409">
        <v>0</v>
      </c>
      <c r="AV80" s="409">
        <v>0</v>
      </c>
      <c r="AW80" s="409">
        <v>0</v>
      </c>
      <c r="AX80" s="409">
        <v>0</v>
      </c>
      <c r="AY80" s="409">
        <v>0</v>
      </c>
      <c r="AZ80" s="453">
        <f t="shared" si="35"/>
        <v>0</v>
      </c>
      <c r="BA80" s="452">
        <v>0</v>
      </c>
      <c r="BB80" s="452">
        <v>0</v>
      </c>
      <c r="BC80" s="452">
        <v>0</v>
      </c>
      <c r="BD80" s="452">
        <v>0</v>
      </c>
      <c r="BE80" s="452">
        <v>0</v>
      </c>
      <c r="BF80" s="452">
        <v>0</v>
      </c>
      <c r="BG80" s="452">
        <v>0</v>
      </c>
      <c r="BH80" s="409">
        <v>0</v>
      </c>
      <c r="BI80" s="409">
        <v>0</v>
      </c>
      <c r="BJ80" s="409">
        <v>0</v>
      </c>
      <c r="BK80" s="409">
        <v>0</v>
      </c>
      <c r="BL80" s="409">
        <v>0</v>
      </c>
      <c r="BM80" s="453">
        <f t="shared" si="36"/>
        <v>0</v>
      </c>
      <c r="BN80" s="452"/>
      <c r="BO80" s="452"/>
      <c r="BP80" s="452"/>
      <c r="BQ80" s="452"/>
      <c r="BR80" s="452"/>
      <c r="BS80" s="452"/>
      <c r="BT80" s="452"/>
      <c r="BU80" s="409"/>
      <c r="BV80" s="409"/>
      <c r="BW80" s="409"/>
      <c r="BX80" s="409"/>
      <c r="BY80" s="409"/>
      <c r="BZ80" s="453">
        <f t="shared" si="37"/>
        <v>0</v>
      </c>
      <c r="CA80" s="454">
        <f t="shared" si="38"/>
        <v>1090.6705000000002</v>
      </c>
      <c r="CB80" s="419"/>
      <c r="CC80" s="419">
        <v>1</v>
      </c>
      <c r="CD80" s="419">
        <v>1</v>
      </c>
      <c r="CE80" s="419">
        <v>1</v>
      </c>
      <c r="CF80" s="419">
        <v>1</v>
      </c>
      <c r="CG80" s="420">
        <f>IFERROR((FE80/Z80%),0)</f>
        <v>18.909342318452577</v>
      </c>
      <c r="CH80" s="421">
        <f>IFERROR((FK80/Z80%),0)</f>
        <v>95.222631903951722</v>
      </c>
      <c r="CI80" s="414" t="s">
        <v>70</v>
      </c>
      <c r="CJ80" s="422">
        <v>0</v>
      </c>
      <c r="CK80" s="422">
        <v>0</v>
      </c>
      <c r="CL80" s="422">
        <v>0</v>
      </c>
      <c r="CM80" s="422">
        <v>0</v>
      </c>
      <c r="CN80" s="428">
        <v>4.826843980391593E-2</v>
      </c>
      <c r="CO80" s="428">
        <v>2.4867545270535686E-3</v>
      </c>
      <c r="CP80" s="428">
        <v>0</v>
      </c>
      <c r="CQ80" s="428">
        <v>7.1616767504865736E-3</v>
      </c>
      <c r="CR80" s="428">
        <v>2.6022806365120908E-2</v>
      </c>
      <c r="CS80" s="428">
        <v>0.10799478000806807</v>
      </c>
      <c r="CT80" s="428">
        <v>0.18179640982004378</v>
      </c>
      <c r="CU80" s="428">
        <v>2.6976240328372356E-2</v>
      </c>
      <c r="CV80" s="410">
        <f t="shared" si="39"/>
        <v>0.40070710760306122</v>
      </c>
      <c r="CW80" s="422">
        <v>0</v>
      </c>
      <c r="CX80" s="422">
        <v>0</v>
      </c>
      <c r="CY80" s="422">
        <v>0</v>
      </c>
      <c r="CZ80" s="422">
        <v>0</v>
      </c>
      <c r="DA80" s="428">
        <v>0</v>
      </c>
      <c r="DB80" s="428">
        <v>0</v>
      </c>
      <c r="DC80" s="428">
        <v>0</v>
      </c>
      <c r="DD80" s="428">
        <v>0</v>
      </c>
      <c r="DE80" s="428">
        <v>0</v>
      </c>
      <c r="DF80" s="428">
        <v>0</v>
      </c>
      <c r="DG80" s="428">
        <v>0</v>
      </c>
      <c r="DH80" s="428">
        <v>0.24288977944611861</v>
      </c>
      <c r="DI80" s="410">
        <f t="shared" si="40"/>
        <v>0.24288977944611861</v>
      </c>
      <c r="DJ80" s="422">
        <v>0</v>
      </c>
      <c r="DK80" s="422">
        <v>0</v>
      </c>
      <c r="DL80" s="422">
        <v>0</v>
      </c>
      <c r="DM80" s="422">
        <v>0</v>
      </c>
      <c r="DN80" s="428">
        <v>0</v>
      </c>
      <c r="DO80" s="428">
        <v>0</v>
      </c>
      <c r="DP80" s="428">
        <v>0</v>
      </c>
      <c r="DQ80" s="428">
        <v>0</v>
      </c>
      <c r="DR80" s="428">
        <v>0</v>
      </c>
      <c r="DS80" s="428">
        <v>0</v>
      </c>
      <c r="DT80" s="428">
        <v>0</v>
      </c>
      <c r="DU80" s="428">
        <v>0</v>
      </c>
      <c r="DV80" s="410">
        <f t="shared" si="41"/>
        <v>0</v>
      </c>
      <c r="DW80" s="422">
        <v>0</v>
      </c>
      <c r="DX80" s="422">
        <v>0</v>
      </c>
      <c r="DY80" s="422">
        <v>0</v>
      </c>
      <c r="DZ80" s="422">
        <v>0</v>
      </c>
      <c r="EA80" s="428">
        <v>0</v>
      </c>
      <c r="EB80" s="428">
        <v>0</v>
      </c>
      <c r="EC80" s="428">
        <v>0</v>
      </c>
      <c r="ED80" s="428">
        <v>0</v>
      </c>
      <c r="EE80" s="428">
        <v>0</v>
      </c>
      <c r="EF80" s="428">
        <v>0</v>
      </c>
      <c r="EG80" s="428">
        <v>0</v>
      </c>
      <c r="EH80" s="428">
        <v>0</v>
      </c>
      <c r="EI80" s="410">
        <f t="shared" si="42"/>
        <v>0</v>
      </c>
      <c r="EJ80" s="422">
        <v>0</v>
      </c>
      <c r="EK80" s="422">
        <v>0</v>
      </c>
      <c r="EL80" s="422">
        <v>0</v>
      </c>
      <c r="EM80" s="422">
        <v>0</v>
      </c>
      <c r="EN80" s="428">
        <v>0</v>
      </c>
      <c r="EO80" s="428">
        <v>0</v>
      </c>
      <c r="EP80" s="428">
        <v>0</v>
      </c>
      <c r="EQ80" s="428">
        <v>0</v>
      </c>
      <c r="ER80" s="428">
        <v>0</v>
      </c>
      <c r="ES80" s="428">
        <v>0</v>
      </c>
      <c r="ET80" s="428">
        <v>0</v>
      </c>
      <c r="EU80" s="428">
        <v>0</v>
      </c>
      <c r="EV80" s="410">
        <f t="shared" si="43"/>
        <v>0</v>
      </c>
      <c r="EW80" s="416">
        <f t="shared" si="44"/>
        <v>0.64359688704917983</v>
      </c>
      <c r="EX80" s="417">
        <f>IFERROR(VLOOKUP(H80,CEI_012018!$A$1:$U$509,9,FALSE),0)</f>
        <v>0</v>
      </c>
      <c r="EY80" s="417">
        <f>IFERROR(VLOOKUP(H80,CEI_022018!$A$1:$U$509,9,FALSE),0)</f>
        <v>0</v>
      </c>
      <c r="EZ80" s="417">
        <f>IFERROR(VLOOKUP(H80,CEI_032018!$A$1:$U$509,9,FALSE),0)</f>
        <v>0</v>
      </c>
      <c r="FA80" s="417">
        <f>IFERROR(VLOOKUP(H80,CEI_042018!$A$1:$U$491,9,FALSE),0)</f>
        <v>35</v>
      </c>
      <c r="FB80" s="417">
        <f>IFERROR(VLOOKUP(H80,CEI_052018!$A$1:$U$489,9,FALSE),0)</f>
        <v>87.617710113525391</v>
      </c>
      <c r="FC80" s="417">
        <f>IFERROR(VLOOKUP(H80,CEI_062018!$A$1:$U$489,9,FALSE),0)</f>
        <v>87.740310668945313</v>
      </c>
      <c r="FD80" s="417">
        <f>IFERROR(VLOOKUP(H80,CEI_072018!$A$1:$U$489,9,FALSE),0)</f>
        <v>87.740310668945313</v>
      </c>
      <c r="FE80" s="417">
        <f>IFERROR(VLOOKUP(H80,CEI_082018!$A$1:$U$489,9,FALSE),0)</f>
        <v>132.45830917358398</v>
      </c>
      <c r="FF80" s="417">
        <f>IFERROR(VLOOKUP(H80,CEI_092018!$A$1:$U$489,9,FALSE),0)</f>
        <v>151.02630925178528</v>
      </c>
      <c r="FG80" s="417"/>
      <c r="FH80" s="417"/>
      <c r="FI80" s="417"/>
      <c r="FJ80" s="418">
        <f>IFERROR(VLOOKUP(H80,CEI_092018!$A$1:$U$489,12,FALSE),0)</f>
        <v>516</v>
      </c>
      <c r="FK80" s="418">
        <f t="shared" si="45"/>
        <v>667.02630925178528</v>
      </c>
      <c r="FL80" s="418">
        <f t="shared" si="46"/>
        <v>33.465050748214708</v>
      </c>
      <c r="FM80" s="417"/>
      <c r="FN80" s="417"/>
      <c r="FO80" s="417"/>
      <c r="FP80" s="417"/>
      <c r="FQ80" s="417"/>
      <c r="FR80" s="417"/>
      <c r="FS80" s="417"/>
      <c r="FT80" s="417"/>
      <c r="FU80" s="417"/>
      <c r="FV80" s="417"/>
      <c r="FW80" s="417"/>
      <c r="FX80" s="417"/>
      <c r="FY80" s="418"/>
      <c r="FZ80" s="418"/>
      <c r="GA80" s="418"/>
      <c r="GB80" s="417"/>
      <c r="GC80" s="417"/>
      <c r="GD80" s="417"/>
      <c r="GE80" s="417"/>
      <c r="GF80" s="417"/>
      <c r="GG80" s="417"/>
      <c r="GH80" s="417"/>
      <c r="GI80" s="417"/>
      <c r="GJ80" s="417"/>
      <c r="GK80" s="417"/>
      <c r="GL80" s="417"/>
      <c r="GM80" s="417"/>
      <c r="GN80" s="418"/>
      <c r="GO80" s="418"/>
      <c r="GP80" s="418"/>
      <c r="GQ80" s="417"/>
      <c r="GR80" s="417"/>
      <c r="GS80" s="417"/>
      <c r="GT80" s="417"/>
      <c r="GU80" s="417"/>
      <c r="GV80" s="417"/>
      <c r="GW80" s="417"/>
      <c r="GX80" s="417"/>
      <c r="GY80" s="417"/>
      <c r="GZ80" s="417"/>
      <c r="HA80" s="417"/>
      <c r="HB80" s="417"/>
      <c r="HC80" s="418"/>
      <c r="HD80" s="418"/>
      <c r="HE80" s="418"/>
      <c r="HF80" s="417"/>
      <c r="HG80" s="417"/>
      <c r="HH80" s="417"/>
      <c r="HI80" s="417"/>
      <c r="HJ80" s="417"/>
      <c r="HK80" s="417"/>
      <c r="HL80" s="417"/>
      <c r="HM80" s="417"/>
      <c r="HN80" s="417"/>
      <c r="HO80" s="417"/>
      <c r="HP80" s="417"/>
      <c r="HQ80" s="417"/>
      <c r="HR80" s="418"/>
      <c r="HS80" s="418"/>
      <c r="HT80" s="418"/>
    </row>
    <row r="81" spans="1:228" s="387" customFormat="1" ht="12.95" customHeight="1" x14ac:dyDescent="0.2">
      <c r="A81" s="406" t="s">
        <v>52</v>
      </c>
      <c r="B81" s="407" t="s">
        <v>27</v>
      </c>
      <c r="C81" s="407" t="s">
        <v>1884</v>
      </c>
      <c r="D81" s="407" t="s">
        <v>1865</v>
      </c>
      <c r="E81" s="407" t="s">
        <v>1884</v>
      </c>
      <c r="F81" s="407" t="s">
        <v>1865</v>
      </c>
      <c r="G81" s="406" t="s">
        <v>205</v>
      </c>
      <c r="H81" s="408" t="s">
        <v>1953</v>
      </c>
      <c r="I81" s="408" t="s">
        <v>1954</v>
      </c>
      <c r="J81" s="406" t="s">
        <v>1915</v>
      </c>
      <c r="K81" s="406"/>
      <c r="L81" s="406"/>
      <c r="M81" s="406"/>
      <c r="N81" s="452">
        <v>0</v>
      </c>
      <c r="O81" s="452">
        <v>0</v>
      </c>
      <c r="P81" s="452">
        <v>0</v>
      </c>
      <c r="Q81" s="452">
        <v>0</v>
      </c>
      <c r="R81" s="452">
        <v>0</v>
      </c>
      <c r="S81" s="452">
        <v>0</v>
      </c>
      <c r="T81" s="452">
        <v>0</v>
      </c>
      <c r="U81" s="409">
        <v>0</v>
      </c>
      <c r="V81" s="409"/>
      <c r="W81" s="409"/>
      <c r="X81" s="409"/>
      <c r="Y81" s="409">
        <v>40</v>
      </c>
      <c r="Z81" s="453">
        <f t="shared" si="47"/>
        <v>40</v>
      </c>
      <c r="AA81" s="452"/>
      <c r="AB81" s="452"/>
      <c r="AC81" s="452"/>
      <c r="AD81" s="452"/>
      <c r="AE81" s="452"/>
      <c r="AF81" s="452"/>
      <c r="AG81" s="452"/>
      <c r="AH81" s="409"/>
      <c r="AI81" s="409"/>
      <c r="AJ81" s="409"/>
      <c r="AK81" s="409"/>
      <c r="AL81" s="409"/>
      <c r="AM81" s="453">
        <f t="shared" si="34"/>
        <v>0</v>
      </c>
      <c r="AN81" s="452"/>
      <c r="AO81" s="452"/>
      <c r="AP81" s="452"/>
      <c r="AQ81" s="452"/>
      <c r="AR81" s="452"/>
      <c r="AS81" s="452"/>
      <c r="AT81" s="452"/>
      <c r="AU81" s="409"/>
      <c r="AV81" s="409"/>
      <c r="AW81" s="409"/>
      <c r="AX81" s="409"/>
      <c r="AY81" s="409"/>
      <c r="AZ81" s="453">
        <f t="shared" si="35"/>
        <v>0</v>
      </c>
      <c r="BA81" s="452"/>
      <c r="BB81" s="452"/>
      <c r="BC81" s="452"/>
      <c r="BD81" s="452"/>
      <c r="BE81" s="452"/>
      <c r="BF81" s="452"/>
      <c r="BG81" s="452"/>
      <c r="BH81" s="409"/>
      <c r="BI81" s="409"/>
      <c r="BJ81" s="409"/>
      <c r="BK81" s="409"/>
      <c r="BL81" s="409"/>
      <c r="BM81" s="453">
        <f t="shared" si="36"/>
        <v>0</v>
      </c>
      <c r="BN81" s="452"/>
      <c r="BO81" s="452"/>
      <c r="BP81" s="452"/>
      <c r="BQ81" s="452"/>
      <c r="BR81" s="452"/>
      <c r="BS81" s="452"/>
      <c r="BT81" s="452"/>
      <c r="BU81" s="409"/>
      <c r="BV81" s="409"/>
      <c r="BW81" s="409"/>
      <c r="BX81" s="409"/>
      <c r="BY81" s="409"/>
      <c r="BZ81" s="453">
        <f t="shared" si="37"/>
        <v>0</v>
      </c>
      <c r="CA81" s="454">
        <f t="shared" si="38"/>
        <v>40</v>
      </c>
      <c r="CB81" s="419"/>
      <c r="CC81" s="419">
        <v>-1</v>
      </c>
      <c r="CD81" s="419">
        <v>-1</v>
      </c>
      <c r="CE81" s="419">
        <v>-1</v>
      </c>
      <c r="CF81" s="419">
        <v>-1</v>
      </c>
      <c r="CG81" s="420">
        <f>IFERROR((FE81/Z81%),0)</f>
        <v>0</v>
      </c>
      <c r="CH81" s="420">
        <f>IFERROR((FK81/Z81%),0)</f>
        <v>82.316503524780273</v>
      </c>
      <c r="CI81" s="414" t="s">
        <v>71</v>
      </c>
      <c r="CJ81" s="415"/>
      <c r="CK81" s="415"/>
      <c r="CL81" s="415"/>
      <c r="CM81" s="415"/>
      <c r="CN81" s="415"/>
      <c r="CO81" s="415"/>
      <c r="CP81" s="415"/>
      <c r="CQ81" s="415"/>
      <c r="CR81" s="415"/>
      <c r="CS81" s="415"/>
      <c r="CT81" s="415"/>
      <c r="CU81" s="415"/>
      <c r="CV81" s="410">
        <f t="shared" si="39"/>
        <v>0</v>
      </c>
      <c r="CW81" s="415"/>
      <c r="CX81" s="415"/>
      <c r="CY81" s="415"/>
      <c r="CZ81" s="415"/>
      <c r="DA81" s="415"/>
      <c r="DB81" s="415"/>
      <c r="DC81" s="415"/>
      <c r="DD81" s="415"/>
      <c r="DE81" s="415"/>
      <c r="DF81" s="415"/>
      <c r="DG81" s="415"/>
      <c r="DH81" s="415"/>
      <c r="DI81" s="410">
        <f t="shared" si="40"/>
        <v>0</v>
      </c>
      <c r="DJ81" s="415"/>
      <c r="DK81" s="415"/>
      <c r="DL81" s="415"/>
      <c r="DM81" s="415"/>
      <c r="DN81" s="415"/>
      <c r="DO81" s="415"/>
      <c r="DP81" s="415"/>
      <c r="DQ81" s="415"/>
      <c r="DR81" s="415"/>
      <c r="DS81" s="415"/>
      <c r="DT81" s="415"/>
      <c r="DU81" s="415"/>
      <c r="DV81" s="410">
        <f t="shared" si="41"/>
        <v>0</v>
      </c>
      <c r="DW81" s="415"/>
      <c r="DX81" s="415"/>
      <c r="DY81" s="415"/>
      <c r="DZ81" s="415"/>
      <c r="EA81" s="415"/>
      <c r="EB81" s="415"/>
      <c r="EC81" s="415"/>
      <c r="ED81" s="415"/>
      <c r="EE81" s="415"/>
      <c r="EF81" s="415"/>
      <c r="EG81" s="415"/>
      <c r="EH81" s="415"/>
      <c r="EI81" s="410">
        <f t="shared" si="42"/>
        <v>0</v>
      </c>
      <c r="EJ81" s="415"/>
      <c r="EK81" s="415"/>
      <c r="EL81" s="415"/>
      <c r="EM81" s="415"/>
      <c r="EN81" s="415"/>
      <c r="EO81" s="415"/>
      <c r="EP81" s="415"/>
      <c r="EQ81" s="415"/>
      <c r="ER81" s="415"/>
      <c r="ES81" s="415"/>
      <c r="ET81" s="415"/>
      <c r="EU81" s="415"/>
      <c r="EV81" s="410">
        <f t="shared" si="43"/>
        <v>0</v>
      </c>
      <c r="EW81" s="416">
        <f t="shared" si="44"/>
        <v>0</v>
      </c>
      <c r="EX81" s="417">
        <f>IFERROR(VLOOKUP(H81,CEI_012018!$A$1:$U$509,9,FALSE),0)</f>
        <v>0</v>
      </c>
      <c r="EY81" s="417">
        <f>IFERROR(VLOOKUP(H81,CEI_022018!$A$1:$U$509,9,FALSE),0)</f>
        <v>0</v>
      </c>
      <c r="EZ81" s="417">
        <f>IFERROR(VLOOKUP(H81,CEI_032018!$A$1:$U$509,9,FALSE),0)</f>
        <v>0</v>
      </c>
      <c r="FA81" s="417">
        <f>IFERROR(VLOOKUP(H81,CEI_042018!$A$1:$U$491,9,FALSE),0)</f>
        <v>0</v>
      </c>
      <c r="FB81" s="417">
        <f>IFERROR(VLOOKUP(H81,CEI_052018!$A$1:$U$489,9,FALSE),0)</f>
        <v>0</v>
      </c>
      <c r="FC81" s="417">
        <f>IFERROR(VLOOKUP(H81,CEI_062018!$A$1:$U$489,9,FALSE),0)</f>
        <v>0</v>
      </c>
      <c r="FD81" s="417">
        <f>IFERROR(VLOOKUP(H81,CEI_072018!$A$1:$U$489,9,FALSE),0)</f>
        <v>0</v>
      </c>
      <c r="FE81" s="417">
        <f>IFERROR(VLOOKUP(H81,CEI_082018!$A$1:$U$489,9,FALSE),0)</f>
        <v>0</v>
      </c>
      <c r="FF81" s="417">
        <f>IFERROR(VLOOKUP(H81,CEI_092018!$A$1:$U$489,9,FALSE),0)</f>
        <v>0</v>
      </c>
      <c r="FG81" s="417"/>
      <c r="FH81" s="417"/>
      <c r="FI81" s="417"/>
      <c r="FJ81" s="418">
        <f>IFERROR(VLOOKUP(H81,CEI_092018!$A$1:$U$489,12,FALSE),0)</f>
        <v>32.926601409912109</v>
      </c>
      <c r="FK81" s="418">
        <f t="shared" si="45"/>
        <v>32.926601409912109</v>
      </c>
      <c r="FL81" s="418">
        <f t="shared" si="46"/>
        <v>7.0733985900878906</v>
      </c>
      <c r="FM81" s="417"/>
      <c r="FN81" s="417"/>
      <c r="FO81" s="417"/>
      <c r="FP81" s="417"/>
      <c r="FQ81" s="417"/>
      <c r="FR81" s="417"/>
      <c r="FS81" s="417"/>
      <c r="FT81" s="417"/>
      <c r="FU81" s="417"/>
      <c r="FV81" s="417"/>
      <c r="FW81" s="417"/>
      <c r="FX81" s="417"/>
      <c r="FY81" s="418"/>
      <c r="FZ81" s="418"/>
      <c r="GA81" s="418"/>
      <c r="GB81" s="417"/>
      <c r="GC81" s="417"/>
      <c r="GD81" s="417"/>
      <c r="GE81" s="417"/>
      <c r="GF81" s="417"/>
      <c r="GG81" s="417"/>
      <c r="GH81" s="417"/>
      <c r="GI81" s="417"/>
      <c r="GJ81" s="417"/>
      <c r="GK81" s="417"/>
      <c r="GL81" s="417"/>
      <c r="GM81" s="417"/>
      <c r="GN81" s="418"/>
      <c r="GO81" s="418"/>
      <c r="GP81" s="418"/>
      <c r="GQ81" s="417"/>
      <c r="GR81" s="417"/>
      <c r="GS81" s="417"/>
      <c r="GT81" s="417"/>
      <c r="GU81" s="417"/>
      <c r="GV81" s="417"/>
      <c r="GW81" s="417"/>
      <c r="GX81" s="417"/>
      <c r="GY81" s="417"/>
      <c r="GZ81" s="417"/>
      <c r="HA81" s="417"/>
      <c r="HB81" s="417"/>
      <c r="HC81" s="418"/>
      <c r="HD81" s="418"/>
      <c r="HE81" s="418"/>
      <c r="HF81" s="417"/>
      <c r="HG81" s="417"/>
      <c r="HH81" s="417"/>
      <c r="HI81" s="417"/>
      <c r="HJ81" s="417"/>
      <c r="HK81" s="417"/>
      <c r="HL81" s="417"/>
      <c r="HM81" s="417"/>
      <c r="HN81" s="417"/>
      <c r="HO81" s="417"/>
      <c r="HP81" s="417"/>
      <c r="HQ81" s="417"/>
      <c r="HR81" s="418"/>
      <c r="HS81" s="418"/>
      <c r="HT81" s="418"/>
    </row>
    <row r="82" spans="1:228" s="387" customFormat="1" ht="12.95" customHeight="1" x14ac:dyDescent="0.2">
      <c r="A82" s="406" t="s">
        <v>55</v>
      </c>
      <c r="B82" s="407" t="s">
        <v>39</v>
      </c>
      <c r="C82" s="406" t="s">
        <v>1884</v>
      </c>
      <c r="D82" s="433" t="s">
        <v>1865</v>
      </c>
      <c r="E82" s="407" t="s">
        <v>1884</v>
      </c>
      <c r="F82" s="407" t="s">
        <v>1865</v>
      </c>
      <c r="G82" s="406" t="s">
        <v>205</v>
      </c>
      <c r="H82" s="408" t="s">
        <v>1582</v>
      </c>
      <c r="I82" s="408" t="s">
        <v>1583</v>
      </c>
      <c r="J82" s="406" t="s">
        <v>1941</v>
      </c>
      <c r="K82" s="406"/>
      <c r="L82" s="406"/>
      <c r="M82" s="406"/>
      <c r="N82" s="452">
        <v>0</v>
      </c>
      <c r="O82" s="452">
        <v>0</v>
      </c>
      <c r="P82" s="452">
        <v>0</v>
      </c>
      <c r="Q82" s="452">
        <v>0</v>
      </c>
      <c r="R82" s="452">
        <v>0</v>
      </c>
      <c r="S82" s="452">
        <v>0</v>
      </c>
      <c r="T82" s="452">
        <v>0</v>
      </c>
      <c r="U82" s="409">
        <v>10.799999952316284</v>
      </c>
      <c r="V82" s="409"/>
      <c r="W82" s="409"/>
      <c r="X82" s="409"/>
      <c r="Y82" s="409">
        <f>5.20000004768371+160</f>
        <v>165.20000004768372</v>
      </c>
      <c r="Z82" s="453">
        <f t="shared" si="47"/>
        <v>176</v>
      </c>
      <c r="AA82" s="452"/>
      <c r="AB82" s="452"/>
      <c r="AC82" s="452"/>
      <c r="AD82" s="452"/>
      <c r="AE82" s="452"/>
      <c r="AF82" s="452"/>
      <c r="AG82" s="452"/>
      <c r="AH82" s="409"/>
      <c r="AI82" s="409"/>
      <c r="AJ82" s="409"/>
      <c r="AK82" s="409"/>
      <c r="AL82" s="409"/>
      <c r="AM82" s="453">
        <f t="shared" si="34"/>
        <v>0</v>
      </c>
      <c r="AN82" s="452"/>
      <c r="AO82" s="452"/>
      <c r="AP82" s="452"/>
      <c r="AQ82" s="452"/>
      <c r="AR82" s="452"/>
      <c r="AS82" s="452"/>
      <c r="AT82" s="452"/>
      <c r="AU82" s="409"/>
      <c r="AV82" s="409"/>
      <c r="AW82" s="409"/>
      <c r="AX82" s="409"/>
      <c r="AY82" s="409"/>
      <c r="AZ82" s="453">
        <f t="shared" si="35"/>
        <v>0</v>
      </c>
      <c r="BA82" s="452"/>
      <c r="BB82" s="452"/>
      <c r="BC82" s="452"/>
      <c r="BD82" s="452"/>
      <c r="BE82" s="452"/>
      <c r="BF82" s="452"/>
      <c r="BG82" s="452"/>
      <c r="BH82" s="409"/>
      <c r="BI82" s="409"/>
      <c r="BJ82" s="409"/>
      <c r="BK82" s="409"/>
      <c r="BL82" s="409"/>
      <c r="BM82" s="453">
        <f t="shared" si="36"/>
        <v>0</v>
      </c>
      <c r="BN82" s="452"/>
      <c r="BO82" s="452"/>
      <c r="BP82" s="452"/>
      <c r="BQ82" s="452"/>
      <c r="BR82" s="452"/>
      <c r="BS82" s="452"/>
      <c r="BT82" s="452"/>
      <c r="BU82" s="409"/>
      <c r="BV82" s="409"/>
      <c r="BW82" s="409"/>
      <c r="BX82" s="409"/>
      <c r="BY82" s="409"/>
      <c r="BZ82" s="453">
        <f t="shared" si="37"/>
        <v>0</v>
      </c>
      <c r="CA82" s="454">
        <f t="shared" si="38"/>
        <v>176</v>
      </c>
      <c r="CB82" s="419"/>
      <c r="CC82" s="419">
        <v>1</v>
      </c>
      <c r="CD82" s="419">
        <v>1</v>
      </c>
      <c r="CE82" s="419">
        <v>1</v>
      </c>
      <c r="CF82" s="419">
        <v>-1</v>
      </c>
      <c r="CG82" s="420">
        <f>IFERROR((FE82/Z82%),0)</f>
        <v>6.1363636092706164</v>
      </c>
      <c r="CH82" s="420">
        <f>IFERROR((FK82/Z82%),0)</f>
        <v>80.969548631798133</v>
      </c>
      <c r="CI82" s="414" t="s">
        <v>71</v>
      </c>
      <c r="CJ82" s="423"/>
      <c r="CK82" s="423"/>
      <c r="CL82" s="423"/>
      <c r="CM82" s="423"/>
      <c r="CN82" s="423"/>
      <c r="CO82" s="423"/>
      <c r="CP82" s="434">
        <v>1</v>
      </c>
      <c r="CQ82" s="423"/>
      <c r="CR82" s="423"/>
      <c r="CS82" s="423"/>
      <c r="CT82" s="423"/>
      <c r="CU82" s="423"/>
      <c r="CV82" s="410">
        <f t="shared" si="39"/>
        <v>1</v>
      </c>
      <c r="CW82" s="423"/>
      <c r="CX82" s="423"/>
      <c r="CY82" s="423"/>
      <c r="CZ82" s="423"/>
      <c r="DA82" s="423"/>
      <c r="DB82" s="423"/>
      <c r="DC82" s="434"/>
      <c r="DD82" s="423"/>
      <c r="DE82" s="423"/>
      <c r="DF82" s="423"/>
      <c r="DG82" s="423"/>
      <c r="DH82" s="423"/>
      <c r="DI82" s="410">
        <f t="shared" si="40"/>
        <v>0</v>
      </c>
      <c r="DJ82" s="423"/>
      <c r="DK82" s="423"/>
      <c r="DL82" s="423"/>
      <c r="DM82" s="423"/>
      <c r="DN82" s="423"/>
      <c r="DO82" s="423"/>
      <c r="DP82" s="434"/>
      <c r="DQ82" s="423"/>
      <c r="DR82" s="423"/>
      <c r="DS82" s="423"/>
      <c r="DT82" s="423"/>
      <c r="DU82" s="423"/>
      <c r="DV82" s="410">
        <f t="shared" si="41"/>
        <v>0</v>
      </c>
      <c r="DW82" s="423"/>
      <c r="DX82" s="423"/>
      <c r="DY82" s="423"/>
      <c r="DZ82" s="423"/>
      <c r="EA82" s="423"/>
      <c r="EB82" s="423"/>
      <c r="EC82" s="434"/>
      <c r="ED82" s="423"/>
      <c r="EE82" s="423"/>
      <c r="EF82" s="423"/>
      <c r="EG82" s="423"/>
      <c r="EH82" s="423"/>
      <c r="EI82" s="410">
        <f t="shared" si="42"/>
        <v>0</v>
      </c>
      <c r="EJ82" s="423"/>
      <c r="EK82" s="423"/>
      <c r="EL82" s="423"/>
      <c r="EM82" s="423"/>
      <c r="EN82" s="423"/>
      <c r="EO82" s="423"/>
      <c r="EP82" s="434"/>
      <c r="EQ82" s="423"/>
      <c r="ER82" s="423"/>
      <c r="ES82" s="423"/>
      <c r="ET82" s="423"/>
      <c r="EU82" s="423"/>
      <c r="EV82" s="410">
        <f t="shared" si="43"/>
        <v>0</v>
      </c>
      <c r="EW82" s="416">
        <f t="shared" si="44"/>
        <v>1</v>
      </c>
      <c r="EX82" s="417">
        <f>IFERROR(VLOOKUP(H82,CEI_012018!$A$1:$U$509,9,FALSE),0)</f>
        <v>0</v>
      </c>
      <c r="EY82" s="417">
        <f>IFERROR(VLOOKUP(H82,CEI_022018!$A$1:$U$509,9,FALSE),0)</f>
        <v>0</v>
      </c>
      <c r="EZ82" s="417">
        <f>IFERROR(VLOOKUP(H82,CEI_032018!$A$1:$U$509,9,FALSE),0)</f>
        <v>0</v>
      </c>
      <c r="FA82" s="417">
        <f>IFERROR(VLOOKUP(H82,CEI_042018!$A$1:$U$491,9,FALSE),0)</f>
        <v>0</v>
      </c>
      <c r="FB82" s="417">
        <f>IFERROR(VLOOKUP(H82,CEI_052018!$A$1:$U$489,9,FALSE),0)</f>
        <v>0</v>
      </c>
      <c r="FC82" s="417">
        <f>IFERROR(VLOOKUP(H82,CEI_062018!$A$1:$U$489,9,FALSE),0)</f>
        <v>0</v>
      </c>
      <c r="FD82" s="417">
        <f>IFERROR(VLOOKUP(H82,CEI_072018!$A$1:$U$489,9,FALSE),0)</f>
        <v>0</v>
      </c>
      <c r="FE82" s="417">
        <f>IFERROR(VLOOKUP(H82,CEI_082018!$A$1:$U$489,9,FALSE),0)</f>
        <v>10.799999952316284</v>
      </c>
      <c r="FF82" s="417">
        <f>IFERROR(VLOOKUP(H82,CEI_092018!$A$1:$U$489,9,FALSE),0)</f>
        <v>10.799999952316284</v>
      </c>
      <c r="FG82" s="417"/>
      <c r="FH82" s="417"/>
      <c r="FI82" s="417"/>
      <c r="FJ82" s="418">
        <f>IFERROR(VLOOKUP(H82,CEI_092018!$A$1:$U$489,12,FALSE),0)</f>
        <v>131.70640563964844</v>
      </c>
      <c r="FK82" s="418">
        <f t="shared" si="45"/>
        <v>142.50640559196472</v>
      </c>
      <c r="FL82" s="418">
        <f t="shared" si="46"/>
        <v>33.493594408035278</v>
      </c>
      <c r="FM82" s="417"/>
      <c r="FN82" s="417"/>
      <c r="FO82" s="417"/>
      <c r="FP82" s="417"/>
      <c r="FQ82" s="417"/>
      <c r="FR82" s="417"/>
      <c r="FS82" s="417"/>
      <c r="FT82" s="417"/>
      <c r="FU82" s="417"/>
      <c r="FV82" s="417"/>
      <c r="FW82" s="417"/>
      <c r="FX82" s="417"/>
      <c r="FY82" s="418"/>
      <c r="FZ82" s="418"/>
      <c r="GA82" s="418"/>
      <c r="GB82" s="417"/>
      <c r="GC82" s="417"/>
      <c r="GD82" s="417"/>
      <c r="GE82" s="417"/>
      <c r="GF82" s="417"/>
      <c r="GG82" s="417"/>
      <c r="GH82" s="417"/>
      <c r="GI82" s="417"/>
      <c r="GJ82" s="417"/>
      <c r="GK82" s="417"/>
      <c r="GL82" s="417"/>
      <c r="GM82" s="417"/>
      <c r="GN82" s="418"/>
      <c r="GO82" s="418"/>
      <c r="GP82" s="418"/>
      <c r="GQ82" s="417"/>
      <c r="GR82" s="417"/>
      <c r="GS82" s="417"/>
      <c r="GT82" s="417"/>
      <c r="GU82" s="417"/>
      <c r="GV82" s="417"/>
      <c r="GW82" s="417"/>
      <c r="GX82" s="417"/>
      <c r="GY82" s="417"/>
      <c r="GZ82" s="417"/>
      <c r="HA82" s="417"/>
      <c r="HB82" s="417"/>
      <c r="HC82" s="418"/>
      <c r="HD82" s="418"/>
      <c r="HE82" s="418"/>
      <c r="HF82" s="417"/>
      <c r="HG82" s="417"/>
      <c r="HH82" s="417"/>
      <c r="HI82" s="417"/>
      <c r="HJ82" s="417"/>
      <c r="HK82" s="417"/>
      <c r="HL82" s="417"/>
      <c r="HM82" s="417"/>
      <c r="HN82" s="417"/>
      <c r="HO82" s="417"/>
      <c r="HP82" s="417"/>
      <c r="HQ82" s="417"/>
      <c r="HR82" s="418"/>
      <c r="HS82" s="418"/>
      <c r="HT82" s="418"/>
    </row>
    <row r="83" spans="1:228" s="387" customFormat="1" ht="12.95" customHeight="1" x14ac:dyDescent="0.2">
      <c r="A83" s="406" t="s">
        <v>55</v>
      </c>
      <c r="B83" s="407" t="s">
        <v>38</v>
      </c>
      <c r="C83" s="406" t="s">
        <v>59</v>
      </c>
      <c r="D83" s="407" t="s">
        <v>212</v>
      </c>
      <c r="E83" s="407" t="s">
        <v>59</v>
      </c>
      <c r="F83" s="407" t="s">
        <v>212</v>
      </c>
      <c r="G83" s="406" t="s">
        <v>205</v>
      </c>
      <c r="H83" s="408" t="s">
        <v>520</v>
      </c>
      <c r="I83" s="408"/>
      <c r="J83" s="406" t="s">
        <v>237</v>
      </c>
      <c r="K83" s="406" t="s">
        <v>214</v>
      </c>
      <c r="L83" s="406" t="s">
        <v>215</v>
      </c>
      <c r="M83" s="406"/>
      <c r="N83" s="452">
        <v>0</v>
      </c>
      <c r="O83" s="452">
        <v>0</v>
      </c>
      <c r="P83" s="452">
        <v>0</v>
      </c>
      <c r="Q83" s="452">
        <v>0</v>
      </c>
      <c r="R83" s="452">
        <v>0</v>
      </c>
      <c r="S83" s="452">
        <v>0</v>
      </c>
      <c r="T83" s="452">
        <v>0</v>
      </c>
      <c r="U83" s="409">
        <v>0</v>
      </c>
      <c r="V83" s="409"/>
      <c r="W83" s="409"/>
      <c r="X83" s="409"/>
      <c r="Y83" s="409"/>
      <c r="Z83" s="453">
        <f t="shared" si="47"/>
        <v>0</v>
      </c>
      <c r="AA83" s="452"/>
      <c r="AB83" s="452"/>
      <c r="AC83" s="452"/>
      <c r="AD83" s="452"/>
      <c r="AE83" s="452"/>
      <c r="AF83" s="452"/>
      <c r="AG83" s="452"/>
      <c r="AH83" s="409"/>
      <c r="AI83" s="409"/>
      <c r="AJ83" s="409"/>
      <c r="AK83" s="409"/>
      <c r="AL83" s="409"/>
      <c r="AM83" s="453">
        <f t="shared" si="34"/>
        <v>0</v>
      </c>
      <c r="AN83" s="452"/>
      <c r="AO83" s="452"/>
      <c r="AP83" s="452"/>
      <c r="AQ83" s="452"/>
      <c r="AR83" s="452"/>
      <c r="AS83" s="452"/>
      <c r="AT83" s="452"/>
      <c r="AU83" s="409"/>
      <c r="AV83" s="409"/>
      <c r="AW83" s="409"/>
      <c r="AX83" s="409"/>
      <c r="AY83" s="409">
        <v>3</v>
      </c>
      <c r="AZ83" s="453">
        <f t="shared" si="35"/>
        <v>3</v>
      </c>
      <c r="BA83" s="452"/>
      <c r="BB83" s="452"/>
      <c r="BC83" s="452"/>
      <c r="BD83" s="452"/>
      <c r="BE83" s="452"/>
      <c r="BF83" s="452"/>
      <c r="BG83" s="452"/>
      <c r="BH83" s="409"/>
      <c r="BI83" s="409"/>
      <c r="BJ83" s="409"/>
      <c r="BK83" s="409"/>
      <c r="BL83" s="409">
        <v>3</v>
      </c>
      <c r="BM83" s="453">
        <f t="shared" si="36"/>
        <v>3</v>
      </c>
      <c r="BN83" s="452"/>
      <c r="BO83" s="452"/>
      <c r="BP83" s="452"/>
      <c r="BQ83" s="452"/>
      <c r="BR83" s="452"/>
      <c r="BS83" s="452"/>
      <c r="BT83" s="452"/>
      <c r="BU83" s="409"/>
      <c r="BV83" s="409"/>
      <c r="BW83" s="409"/>
      <c r="BX83" s="409"/>
      <c r="BY83" s="409"/>
      <c r="BZ83" s="453">
        <f t="shared" si="37"/>
        <v>0</v>
      </c>
      <c r="CA83" s="454">
        <f t="shared" si="38"/>
        <v>6</v>
      </c>
      <c r="CB83" s="411"/>
      <c r="CC83" s="411"/>
      <c r="CD83" s="411"/>
      <c r="CE83" s="411"/>
      <c r="CF83" s="411"/>
      <c r="CG83" s="412"/>
      <c r="CH83" s="413"/>
      <c r="CI83" s="414" t="s">
        <v>71</v>
      </c>
      <c r="CJ83" s="415"/>
      <c r="CK83" s="415"/>
      <c r="CL83" s="415"/>
      <c r="CM83" s="415"/>
      <c r="CN83" s="415"/>
      <c r="CO83" s="415"/>
      <c r="CP83" s="415"/>
      <c r="CQ83" s="415"/>
      <c r="CR83" s="415"/>
      <c r="CS83" s="415"/>
      <c r="CT83" s="415"/>
      <c r="CU83" s="415"/>
      <c r="CV83" s="410">
        <f t="shared" si="39"/>
        <v>0</v>
      </c>
      <c r="CW83" s="415"/>
      <c r="CX83" s="415"/>
      <c r="CY83" s="415"/>
      <c r="CZ83" s="415"/>
      <c r="DA83" s="415"/>
      <c r="DB83" s="415"/>
      <c r="DC83" s="415"/>
      <c r="DD83" s="415"/>
      <c r="DE83" s="415"/>
      <c r="DF83" s="415"/>
      <c r="DG83" s="415"/>
      <c r="DH83" s="415"/>
      <c r="DI83" s="410">
        <f t="shared" si="40"/>
        <v>0</v>
      </c>
      <c r="DJ83" s="415"/>
      <c r="DK83" s="415"/>
      <c r="DL83" s="415"/>
      <c r="DM83" s="415"/>
      <c r="DN83" s="415"/>
      <c r="DO83" s="415"/>
      <c r="DP83" s="415"/>
      <c r="DQ83" s="415"/>
      <c r="DR83" s="415"/>
      <c r="DS83" s="415"/>
      <c r="DT83" s="415"/>
      <c r="DU83" s="415">
        <v>1</v>
      </c>
      <c r="DV83" s="410">
        <f t="shared" si="41"/>
        <v>1</v>
      </c>
      <c r="DW83" s="415"/>
      <c r="DX83" s="415"/>
      <c r="DY83" s="415"/>
      <c r="DZ83" s="415"/>
      <c r="EA83" s="415"/>
      <c r="EB83" s="415"/>
      <c r="EC83" s="415"/>
      <c r="ED83" s="415"/>
      <c r="EE83" s="415"/>
      <c r="EF83" s="415"/>
      <c r="EG83" s="415"/>
      <c r="EH83" s="415">
        <v>1</v>
      </c>
      <c r="EI83" s="410">
        <f t="shared" si="42"/>
        <v>1</v>
      </c>
      <c r="EJ83" s="415"/>
      <c r="EK83" s="415"/>
      <c r="EL83" s="415"/>
      <c r="EM83" s="415"/>
      <c r="EN83" s="415"/>
      <c r="EO83" s="415"/>
      <c r="EP83" s="415"/>
      <c r="EQ83" s="415"/>
      <c r="ER83" s="415"/>
      <c r="ES83" s="415"/>
      <c r="ET83" s="415"/>
      <c r="EU83" s="415"/>
      <c r="EV83" s="410">
        <f t="shared" si="43"/>
        <v>0</v>
      </c>
      <c r="EW83" s="416">
        <f t="shared" si="44"/>
        <v>2</v>
      </c>
      <c r="EX83" s="417">
        <f>IFERROR(VLOOKUP(H83,CEI_012018!$A$1:$U$509,9,FALSE),0)</f>
        <v>0</v>
      </c>
      <c r="EY83" s="417">
        <f>IFERROR(VLOOKUP(H83,CEI_022018!$A$1:$U$509,9,FALSE),0)</f>
        <v>0</v>
      </c>
      <c r="EZ83" s="417">
        <f>IFERROR(VLOOKUP(H83,CEI_032018!$A$1:$U$509,9,FALSE),0)</f>
        <v>0</v>
      </c>
      <c r="FA83" s="417">
        <f>IFERROR(VLOOKUP(H83,CEI_042018!$A$1:$U$491,9,FALSE),0)</f>
        <v>0</v>
      </c>
      <c r="FB83" s="417">
        <f>IFERROR(VLOOKUP(H83,CEI_052018!$A$1:$U$489,9,FALSE),0)</f>
        <v>0</v>
      </c>
      <c r="FC83" s="417">
        <f>IFERROR(VLOOKUP(H83,CEI_062018!$A$1:$U$489,9,FALSE),0)</f>
        <v>0</v>
      </c>
      <c r="FD83" s="417">
        <f>IFERROR(VLOOKUP(H83,CEI_072018!$A$1:$U$489,9,FALSE),0)</f>
        <v>0</v>
      </c>
      <c r="FE83" s="417">
        <f>IFERROR(VLOOKUP(H83,CEI_082018!$A$1:$U$489,9,FALSE),0)</f>
        <v>0</v>
      </c>
      <c r="FF83" s="417">
        <f>IFERROR(VLOOKUP(H83,CEI_092018!$A$1:$U$489,9,FALSE),0)</f>
        <v>0</v>
      </c>
      <c r="FG83" s="417"/>
      <c r="FH83" s="417"/>
      <c r="FI83" s="417"/>
      <c r="FJ83" s="418">
        <f>IFERROR(VLOOKUP(H83,CEI_092018!$A$1:$U$489,12,FALSE),0)</f>
        <v>0</v>
      </c>
      <c r="FK83" s="418">
        <f t="shared" si="45"/>
        <v>0</v>
      </c>
      <c r="FL83" s="418">
        <f t="shared" si="46"/>
        <v>0</v>
      </c>
      <c r="FM83" s="417"/>
      <c r="FN83" s="417"/>
      <c r="FO83" s="417"/>
      <c r="FP83" s="417"/>
      <c r="FQ83" s="417"/>
      <c r="FR83" s="417"/>
      <c r="FS83" s="417"/>
      <c r="FT83" s="417"/>
      <c r="FU83" s="417"/>
      <c r="FV83" s="417"/>
      <c r="FW83" s="417"/>
      <c r="FX83" s="417"/>
      <c r="FY83" s="418"/>
      <c r="FZ83" s="418"/>
      <c r="GA83" s="418"/>
      <c r="GB83" s="417"/>
      <c r="GC83" s="417"/>
      <c r="GD83" s="417"/>
      <c r="GE83" s="417"/>
      <c r="GF83" s="417"/>
      <c r="GG83" s="417"/>
      <c r="GH83" s="417"/>
      <c r="GI83" s="417"/>
      <c r="GJ83" s="417"/>
      <c r="GK83" s="417"/>
      <c r="GL83" s="417"/>
      <c r="GM83" s="417"/>
      <c r="GN83" s="418"/>
      <c r="GO83" s="418"/>
      <c r="GP83" s="418"/>
      <c r="GQ83" s="417"/>
      <c r="GR83" s="417"/>
      <c r="GS83" s="417"/>
      <c r="GT83" s="417"/>
      <c r="GU83" s="417"/>
      <c r="GV83" s="417"/>
      <c r="GW83" s="417"/>
      <c r="GX83" s="417"/>
      <c r="GY83" s="417"/>
      <c r="GZ83" s="417"/>
      <c r="HA83" s="417"/>
      <c r="HB83" s="417"/>
      <c r="HC83" s="418"/>
      <c r="HD83" s="418"/>
      <c r="HE83" s="418"/>
      <c r="HF83" s="417"/>
      <c r="HG83" s="417"/>
      <c r="HH83" s="417"/>
      <c r="HI83" s="417"/>
      <c r="HJ83" s="417"/>
      <c r="HK83" s="417"/>
      <c r="HL83" s="417"/>
      <c r="HM83" s="417"/>
      <c r="HN83" s="417"/>
      <c r="HO83" s="417"/>
      <c r="HP83" s="417"/>
      <c r="HQ83" s="417"/>
      <c r="HR83" s="418"/>
      <c r="HS83" s="418"/>
      <c r="HT83" s="418"/>
    </row>
    <row r="84" spans="1:228" s="387" customFormat="1" ht="12.95" customHeight="1" x14ac:dyDescent="0.2">
      <c r="A84" s="406" t="s">
        <v>55</v>
      </c>
      <c r="B84" s="407" t="s">
        <v>38</v>
      </c>
      <c r="C84" s="406" t="s">
        <v>59</v>
      </c>
      <c r="D84" s="407" t="s">
        <v>242</v>
      </c>
      <c r="E84" s="407" t="s">
        <v>59</v>
      </c>
      <c r="F84" s="407" t="s">
        <v>242</v>
      </c>
      <c r="G84" s="406" t="s">
        <v>205</v>
      </c>
      <c r="H84" s="408" t="s">
        <v>520</v>
      </c>
      <c r="I84" s="408"/>
      <c r="J84" s="406" t="s">
        <v>243</v>
      </c>
      <c r="K84" s="406" t="s">
        <v>244</v>
      </c>
      <c r="L84" s="406" t="s">
        <v>215</v>
      </c>
      <c r="M84" s="406"/>
      <c r="N84" s="452">
        <v>0</v>
      </c>
      <c r="O84" s="452">
        <v>0</v>
      </c>
      <c r="P84" s="452">
        <v>0</v>
      </c>
      <c r="Q84" s="452">
        <v>0</v>
      </c>
      <c r="R84" s="452">
        <v>0</v>
      </c>
      <c r="S84" s="452">
        <v>0</v>
      </c>
      <c r="T84" s="452">
        <v>0</v>
      </c>
      <c r="U84" s="409">
        <v>0</v>
      </c>
      <c r="V84" s="409"/>
      <c r="W84" s="409"/>
      <c r="X84" s="409"/>
      <c r="Y84" s="409"/>
      <c r="Z84" s="453">
        <f t="shared" si="47"/>
        <v>0</v>
      </c>
      <c r="AA84" s="452"/>
      <c r="AB84" s="452"/>
      <c r="AC84" s="452"/>
      <c r="AD84" s="452"/>
      <c r="AE84" s="452"/>
      <c r="AF84" s="452"/>
      <c r="AG84" s="452"/>
      <c r="AH84" s="409"/>
      <c r="AI84" s="409"/>
      <c r="AJ84" s="409"/>
      <c r="AK84" s="409"/>
      <c r="AL84" s="409">
        <v>10</v>
      </c>
      <c r="AM84" s="453">
        <f t="shared" si="34"/>
        <v>10</v>
      </c>
      <c r="AN84" s="452"/>
      <c r="AO84" s="452"/>
      <c r="AP84" s="452"/>
      <c r="AQ84" s="452"/>
      <c r="AR84" s="452"/>
      <c r="AS84" s="452"/>
      <c r="AT84" s="452"/>
      <c r="AU84" s="409"/>
      <c r="AV84" s="409"/>
      <c r="AW84" s="409"/>
      <c r="AX84" s="409"/>
      <c r="AY84" s="409"/>
      <c r="AZ84" s="453">
        <f t="shared" si="35"/>
        <v>0</v>
      </c>
      <c r="BA84" s="452"/>
      <c r="BB84" s="452"/>
      <c r="BC84" s="452"/>
      <c r="BD84" s="452"/>
      <c r="BE84" s="452"/>
      <c r="BF84" s="452"/>
      <c r="BG84" s="452"/>
      <c r="BH84" s="409"/>
      <c r="BI84" s="409"/>
      <c r="BJ84" s="409"/>
      <c r="BK84" s="409"/>
      <c r="BL84" s="409">
        <v>10</v>
      </c>
      <c r="BM84" s="453">
        <f t="shared" si="36"/>
        <v>10</v>
      </c>
      <c r="BN84" s="452"/>
      <c r="BO84" s="452"/>
      <c r="BP84" s="452"/>
      <c r="BQ84" s="452"/>
      <c r="BR84" s="452"/>
      <c r="BS84" s="452"/>
      <c r="BT84" s="452"/>
      <c r="BU84" s="409"/>
      <c r="BV84" s="409"/>
      <c r="BW84" s="409"/>
      <c r="BX84" s="409"/>
      <c r="BY84" s="409"/>
      <c r="BZ84" s="453">
        <f t="shared" si="37"/>
        <v>0</v>
      </c>
      <c r="CA84" s="454">
        <f t="shared" si="38"/>
        <v>20</v>
      </c>
      <c r="CB84" s="411"/>
      <c r="CC84" s="411"/>
      <c r="CD84" s="411"/>
      <c r="CE84" s="411"/>
      <c r="CF84" s="411"/>
      <c r="CG84" s="412"/>
      <c r="CH84" s="413"/>
      <c r="CI84" s="414" t="s">
        <v>71</v>
      </c>
      <c r="CJ84" s="415"/>
      <c r="CK84" s="415"/>
      <c r="CL84" s="415"/>
      <c r="CM84" s="415"/>
      <c r="CN84" s="415"/>
      <c r="CO84" s="415"/>
      <c r="CP84" s="415"/>
      <c r="CQ84" s="415"/>
      <c r="CR84" s="415"/>
      <c r="CS84" s="415"/>
      <c r="CT84" s="415"/>
      <c r="CU84" s="415"/>
      <c r="CV84" s="410">
        <f t="shared" si="39"/>
        <v>0</v>
      </c>
      <c r="CW84" s="415"/>
      <c r="CX84" s="415"/>
      <c r="CY84" s="415"/>
      <c r="CZ84" s="415"/>
      <c r="DA84" s="415"/>
      <c r="DB84" s="415"/>
      <c r="DC84" s="415"/>
      <c r="DD84" s="415"/>
      <c r="DE84" s="415"/>
      <c r="DF84" s="415"/>
      <c r="DG84" s="415"/>
      <c r="DH84" s="415">
        <v>1</v>
      </c>
      <c r="DI84" s="410">
        <f t="shared" si="40"/>
        <v>1</v>
      </c>
      <c r="DJ84" s="415"/>
      <c r="DK84" s="415"/>
      <c r="DL84" s="415"/>
      <c r="DM84" s="415"/>
      <c r="DN84" s="415"/>
      <c r="DO84" s="415"/>
      <c r="DP84" s="415"/>
      <c r="DQ84" s="415"/>
      <c r="DR84" s="415"/>
      <c r="DS84" s="415"/>
      <c r="DT84" s="415"/>
      <c r="DU84" s="415"/>
      <c r="DV84" s="410">
        <f t="shared" si="41"/>
        <v>0</v>
      </c>
      <c r="DW84" s="415"/>
      <c r="DX84" s="415"/>
      <c r="DY84" s="415"/>
      <c r="DZ84" s="415"/>
      <c r="EA84" s="415"/>
      <c r="EB84" s="415"/>
      <c r="EC84" s="415"/>
      <c r="ED84" s="415"/>
      <c r="EE84" s="415"/>
      <c r="EF84" s="415"/>
      <c r="EG84" s="415"/>
      <c r="EH84" s="415">
        <v>1</v>
      </c>
      <c r="EI84" s="410">
        <f t="shared" si="42"/>
        <v>1</v>
      </c>
      <c r="EJ84" s="415"/>
      <c r="EK84" s="415"/>
      <c r="EL84" s="415"/>
      <c r="EM84" s="415"/>
      <c r="EN84" s="415"/>
      <c r="EO84" s="415"/>
      <c r="EP84" s="415"/>
      <c r="EQ84" s="415"/>
      <c r="ER84" s="415"/>
      <c r="ES84" s="415"/>
      <c r="ET84" s="415"/>
      <c r="EU84" s="415"/>
      <c r="EV84" s="410">
        <f t="shared" si="43"/>
        <v>0</v>
      </c>
      <c r="EW84" s="416">
        <f t="shared" si="44"/>
        <v>2</v>
      </c>
      <c r="EX84" s="417">
        <f>IFERROR(VLOOKUP(H84,CEI_012018!$A$1:$U$509,9,FALSE),0)</f>
        <v>0</v>
      </c>
      <c r="EY84" s="417">
        <f>IFERROR(VLOOKUP(H84,CEI_022018!$A$1:$U$509,9,FALSE),0)</f>
        <v>0</v>
      </c>
      <c r="EZ84" s="417">
        <f>IFERROR(VLOOKUP(H84,CEI_032018!$A$1:$U$509,9,FALSE),0)</f>
        <v>0</v>
      </c>
      <c r="FA84" s="417">
        <f>IFERROR(VLOOKUP(H84,CEI_042018!$A$1:$U$491,9,FALSE),0)</f>
        <v>0</v>
      </c>
      <c r="FB84" s="417">
        <f>IFERROR(VLOOKUP(H84,CEI_052018!$A$1:$U$489,9,FALSE),0)</f>
        <v>0</v>
      </c>
      <c r="FC84" s="417">
        <f>IFERROR(VLOOKUP(H84,CEI_062018!$A$1:$U$489,9,FALSE),0)</f>
        <v>0</v>
      </c>
      <c r="FD84" s="417">
        <f>IFERROR(VLOOKUP(H84,CEI_072018!$A$1:$U$489,9,FALSE),0)</f>
        <v>0</v>
      </c>
      <c r="FE84" s="417">
        <f>IFERROR(VLOOKUP(H84,CEI_082018!$A$1:$U$489,9,FALSE),0)</f>
        <v>0</v>
      </c>
      <c r="FF84" s="417">
        <f>IFERROR(VLOOKUP(H84,CEI_092018!$A$1:$U$489,9,FALSE),0)</f>
        <v>0</v>
      </c>
      <c r="FG84" s="417"/>
      <c r="FH84" s="417"/>
      <c r="FI84" s="417"/>
      <c r="FJ84" s="418">
        <f>IFERROR(VLOOKUP(H84,CEI_092018!$A$1:$U$489,12,FALSE),0)</f>
        <v>0</v>
      </c>
      <c r="FK84" s="418">
        <f t="shared" si="45"/>
        <v>0</v>
      </c>
      <c r="FL84" s="418">
        <f t="shared" si="46"/>
        <v>0</v>
      </c>
      <c r="FM84" s="417"/>
      <c r="FN84" s="417"/>
      <c r="FO84" s="417"/>
      <c r="FP84" s="417"/>
      <c r="FQ84" s="417"/>
      <c r="FR84" s="417"/>
      <c r="FS84" s="417"/>
      <c r="FT84" s="417"/>
      <c r="FU84" s="417"/>
      <c r="FV84" s="417"/>
      <c r="FW84" s="417"/>
      <c r="FX84" s="417"/>
      <c r="FY84" s="418"/>
      <c r="FZ84" s="418"/>
      <c r="GA84" s="418"/>
      <c r="GB84" s="417"/>
      <c r="GC84" s="417"/>
      <c r="GD84" s="417"/>
      <c r="GE84" s="417"/>
      <c r="GF84" s="417"/>
      <c r="GG84" s="417"/>
      <c r="GH84" s="417"/>
      <c r="GI84" s="417"/>
      <c r="GJ84" s="417"/>
      <c r="GK84" s="417"/>
      <c r="GL84" s="417"/>
      <c r="GM84" s="417"/>
      <c r="GN84" s="418"/>
      <c r="GO84" s="418"/>
      <c r="GP84" s="418"/>
      <c r="GQ84" s="417"/>
      <c r="GR84" s="417"/>
      <c r="GS84" s="417"/>
      <c r="GT84" s="417"/>
      <c r="GU84" s="417"/>
      <c r="GV84" s="417"/>
      <c r="GW84" s="417"/>
      <c r="GX84" s="417"/>
      <c r="GY84" s="417"/>
      <c r="GZ84" s="417"/>
      <c r="HA84" s="417"/>
      <c r="HB84" s="417"/>
      <c r="HC84" s="418"/>
      <c r="HD84" s="418"/>
      <c r="HE84" s="418"/>
      <c r="HF84" s="417"/>
      <c r="HG84" s="417"/>
      <c r="HH84" s="417"/>
      <c r="HI84" s="417"/>
      <c r="HJ84" s="417"/>
      <c r="HK84" s="417"/>
      <c r="HL84" s="417"/>
      <c r="HM84" s="417"/>
      <c r="HN84" s="417"/>
      <c r="HO84" s="417"/>
      <c r="HP84" s="417"/>
      <c r="HQ84" s="417"/>
      <c r="HR84" s="418"/>
      <c r="HS84" s="418"/>
      <c r="HT84" s="418"/>
    </row>
    <row r="85" spans="1:228" s="387" customFormat="1" ht="12.95" customHeight="1" x14ac:dyDescent="0.2">
      <c r="A85" s="406" t="s">
        <v>55</v>
      </c>
      <c r="B85" s="407" t="s">
        <v>38</v>
      </c>
      <c r="C85" s="406" t="s">
        <v>59</v>
      </c>
      <c r="D85" s="407" t="s">
        <v>1480</v>
      </c>
      <c r="E85" s="407" t="s">
        <v>59</v>
      </c>
      <c r="F85" s="407" t="s">
        <v>1480</v>
      </c>
      <c r="G85" s="406" t="s">
        <v>205</v>
      </c>
      <c r="H85" s="408" t="s">
        <v>520</v>
      </c>
      <c r="I85" s="408"/>
      <c r="J85" s="406" t="s">
        <v>1508</v>
      </c>
      <c r="K85" s="406" t="s">
        <v>1508</v>
      </c>
      <c r="L85" s="406"/>
      <c r="M85" s="406"/>
      <c r="N85" s="452">
        <v>0</v>
      </c>
      <c r="O85" s="452">
        <v>0</v>
      </c>
      <c r="P85" s="452">
        <v>0</v>
      </c>
      <c r="Q85" s="452">
        <v>0</v>
      </c>
      <c r="R85" s="452">
        <v>0</v>
      </c>
      <c r="S85" s="452">
        <v>0</v>
      </c>
      <c r="T85" s="452">
        <v>0</v>
      </c>
      <c r="U85" s="409">
        <v>0</v>
      </c>
      <c r="V85" s="409"/>
      <c r="W85" s="409"/>
      <c r="X85" s="409"/>
      <c r="Y85" s="409"/>
      <c r="Z85" s="453">
        <f t="shared" si="47"/>
        <v>0</v>
      </c>
      <c r="AA85" s="452"/>
      <c r="AB85" s="452"/>
      <c r="AC85" s="452"/>
      <c r="AD85" s="452"/>
      <c r="AE85" s="452"/>
      <c r="AF85" s="452"/>
      <c r="AG85" s="452"/>
      <c r="AH85" s="409"/>
      <c r="AI85" s="409"/>
      <c r="AJ85" s="409"/>
      <c r="AK85" s="409"/>
      <c r="AL85" s="409">
        <f>162-24</f>
        <v>138</v>
      </c>
      <c r="AM85" s="453">
        <f t="shared" si="34"/>
        <v>138</v>
      </c>
      <c r="AN85" s="452"/>
      <c r="AO85" s="452"/>
      <c r="AP85" s="452"/>
      <c r="AQ85" s="452"/>
      <c r="AR85" s="452"/>
      <c r="AS85" s="452"/>
      <c r="AT85" s="452"/>
      <c r="AU85" s="409"/>
      <c r="AV85" s="409"/>
      <c r="AW85" s="409"/>
      <c r="AX85" s="409"/>
      <c r="AY85" s="409"/>
      <c r="AZ85" s="453">
        <f t="shared" si="35"/>
        <v>0</v>
      </c>
      <c r="BA85" s="452"/>
      <c r="BB85" s="452"/>
      <c r="BC85" s="452"/>
      <c r="BD85" s="452"/>
      <c r="BE85" s="452"/>
      <c r="BF85" s="452"/>
      <c r="BG85" s="452"/>
      <c r="BH85" s="409"/>
      <c r="BI85" s="409"/>
      <c r="BJ85" s="409"/>
      <c r="BK85" s="409"/>
      <c r="BL85" s="409"/>
      <c r="BM85" s="453">
        <f t="shared" si="36"/>
        <v>0</v>
      </c>
      <c r="BN85" s="452"/>
      <c r="BO85" s="452"/>
      <c r="BP85" s="452"/>
      <c r="BQ85" s="452"/>
      <c r="BR85" s="452"/>
      <c r="BS85" s="452"/>
      <c r="BT85" s="452"/>
      <c r="BU85" s="409"/>
      <c r="BV85" s="409"/>
      <c r="BW85" s="409"/>
      <c r="BX85" s="409"/>
      <c r="BY85" s="409"/>
      <c r="BZ85" s="453">
        <f t="shared" si="37"/>
        <v>0</v>
      </c>
      <c r="CA85" s="454">
        <f t="shared" si="38"/>
        <v>138</v>
      </c>
      <c r="CB85" s="411"/>
      <c r="CC85" s="411"/>
      <c r="CD85" s="411"/>
      <c r="CE85" s="411"/>
      <c r="CF85" s="411"/>
      <c r="CG85" s="412"/>
      <c r="CH85" s="413"/>
      <c r="CI85" s="414"/>
      <c r="CJ85" s="415"/>
      <c r="CK85" s="415"/>
      <c r="CL85" s="415"/>
      <c r="CM85" s="415"/>
      <c r="CN85" s="415"/>
      <c r="CO85" s="415"/>
      <c r="CP85" s="415"/>
      <c r="CQ85" s="415"/>
      <c r="CR85" s="415"/>
      <c r="CS85" s="415"/>
      <c r="CT85" s="415"/>
      <c r="CU85" s="415"/>
      <c r="CV85" s="410">
        <f t="shared" si="39"/>
        <v>0</v>
      </c>
      <c r="CW85" s="415"/>
      <c r="CX85" s="415"/>
      <c r="CY85" s="415"/>
      <c r="CZ85" s="415"/>
      <c r="DA85" s="415"/>
      <c r="DB85" s="415"/>
      <c r="DC85" s="415"/>
      <c r="DD85" s="415"/>
      <c r="DE85" s="415"/>
      <c r="DF85" s="415"/>
      <c r="DG85" s="415"/>
      <c r="DH85" s="415"/>
      <c r="DI85" s="410">
        <f t="shared" si="40"/>
        <v>0</v>
      </c>
      <c r="DJ85" s="415"/>
      <c r="DK85" s="415"/>
      <c r="DL85" s="415"/>
      <c r="DM85" s="415"/>
      <c r="DN85" s="415"/>
      <c r="DO85" s="415"/>
      <c r="DP85" s="415"/>
      <c r="DQ85" s="415"/>
      <c r="DR85" s="415"/>
      <c r="DS85" s="415"/>
      <c r="DT85" s="415"/>
      <c r="DU85" s="415"/>
      <c r="DV85" s="410">
        <f t="shared" si="41"/>
        <v>0</v>
      </c>
      <c r="DW85" s="415"/>
      <c r="DX85" s="415"/>
      <c r="DY85" s="415"/>
      <c r="DZ85" s="415"/>
      <c r="EA85" s="415"/>
      <c r="EB85" s="415"/>
      <c r="EC85" s="415"/>
      <c r="ED85" s="415"/>
      <c r="EE85" s="415"/>
      <c r="EF85" s="415"/>
      <c r="EG85" s="415"/>
      <c r="EH85" s="415"/>
      <c r="EI85" s="410">
        <f t="shared" si="42"/>
        <v>0</v>
      </c>
      <c r="EJ85" s="415"/>
      <c r="EK85" s="415"/>
      <c r="EL85" s="415"/>
      <c r="EM85" s="415"/>
      <c r="EN85" s="415"/>
      <c r="EO85" s="415"/>
      <c r="EP85" s="415"/>
      <c r="EQ85" s="415"/>
      <c r="ER85" s="415"/>
      <c r="ES85" s="415"/>
      <c r="ET85" s="415"/>
      <c r="EU85" s="415"/>
      <c r="EV85" s="410">
        <f t="shared" si="43"/>
        <v>0</v>
      </c>
      <c r="EW85" s="416">
        <f t="shared" si="44"/>
        <v>0</v>
      </c>
      <c r="EX85" s="417">
        <f>IFERROR(VLOOKUP(H85,CEI_012018!$A$1:$U$509,9,FALSE),0)</f>
        <v>0</v>
      </c>
      <c r="EY85" s="417">
        <f>IFERROR(VLOOKUP(H85,CEI_022018!$A$1:$U$509,9,FALSE),0)</f>
        <v>0</v>
      </c>
      <c r="EZ85" s="417">
        <f>IFERROR(VLOOKUP(H85,CEI_032018!$A$1:$U$509,9,FALSE),0)</f>
        <v>0</v>
      </c>
      <c r="FA85" s="417">
        <f>IFERROR(VLOOKUP(H85,CEI_042018!$A$1:$U$491,9,FALSE),0)</f>
        <v>0</v>
      </c>
      <c r="FB85" s="417">
        <f>IFERROR(VLOOKUP(H85,CEI_052018!$A$1:$U$489,9,FALSE),0)</f>
        <v>0</v>
      </c>
      <c r="FC85" s="417">
        <f>IFERROR(VLOOKUP(H85,CEI_062018!$A$1:$U$489,9,FALSE),0)</f>
        <v>0</v>
      </c>
      <c r="FD85" s="417">
        <f>IFERROR(VLOOKUP(H85,CEI_072018!$A$1:$U$489,9,FALSE),0)</f>
        <v>0</v>
      </c>
      <c r="FE85" s="417">
        <f>IFERROR(VLOOKUP(H85,CEI_082018!$A$1:$U$489,9,FALSE),0)</f>
        <v>0</v>
      </c>
      <c r="FF85" s="417">
        <f>IFERROR(VLOOKUP(H85,CEI_092018!$A$1:$U$489,9,FALSE),0)</f>
        <v>0</v>
      </c>
      <c r="FG85" s="417"/>
      <c r="FH85" s="417"/>
      <c r="FI85" s="417"/>
      <c r="FJ85" s="418">
        <f>IFERROR(VLOOKUP(H85,CEI_092018!$A$1:$U$489,12,FALSE),0)</f>
        <v>0</v>
      </c>
      <c r="FK85" s="418">
        <f t="shared" si="45"/>
        <v>0</v>
      </c>
      <c r="FL85" s="418">
        <f t="shared" si="46"/>
        <v>0</v>
      </c>
      <c r="FM85" s="417"/>
      <c r="FN85" s="417"/>
      <c r="FO85" s="417"/>
      <c r="FP85" s="417"/>
      <c r="FQ85" s="417"/>
      <c r="FR85" s="417"/>
      <c r="FS85" s="417"/>
      <c r="FT85" s="417"/>
      <c r="FU85" s="417"/>
      <c r="FV85" s="417"/>
      <c r="FW85" s="417"/>
      <c r="FX85" s="417"/>
      <c r="FY85" s="418"/>
      <c r="FZ85" s="418"/>
      <c r="GA85" s="418"/>
      <c r="GB85" s="417"/>
      <c r="GC85" s="417"/>
      <c r="GD85" s="417"/>
      <c r="GE85" s="417"/>
      <c r="GF85" s="417"/>
      <c r="GG85" s="417"/>
      <c r="GH85" s="417"/>
      <c r="GI85" s="417"/>
      <c r="GJ85" s="417"/>
      <c r="GK85" s="417"/>
      <c r="GL85" s="417"/>
      <c r="GM85" s="417"/>
      <c r="GN85" s="418"/>
      <c r="GO85" s="418"/>
      <c r="GP85" s="418"/>
      <c r="GQ85" s="417"/>
      <c r="GR85" s="417"/>
      <c r="GS85" s="417"/>
      <c r="GT85" s="417"/>
      <c r="GU85" s="417"/>
      <c r="GV85" s="417"/>
      <c r="GW85" s="417"/>
      <c r="GX85" s="417"/>
      <c r="GY85" s="417"/>
      <c r="GZ85" s="417"/>
      <c r="HA85" s="417"/>
      <c r="HB85" s="417"/>
      <c r="HC85" s="418"/>
      <c r="HD85" s="418"/>
      <c r="HE85" s="418"/>
      <c r="HF85" s="417"/>
      <c r="HG85" s="417"/>
      <c r="HH85" s="417"/>
      <c r="HI85" s="417"/>
      <c r="HJ85" s="417"/>
      <c r="HK85" s="417"/>
      <c r="HL85" s="417"/>
      <c r="HM85" s="417"/>
      <c r="HN85" s="417"/>
      <c r="HO85" s="417"/>
      <c r="HP85" s="417"/>
      <c r="HQ85" s="417"/>
      <c r="HR85" s="418"/>
      <c r="HS85" s="418"/>
      <c r="HT85" s="418"/>
    </row>
    <row r="86" spans="1:228" s="387" customFormat="1" ht="12.95" customHeight="1" x14ac:dyDescent="0.2">
      <c r="A86" s="406" t="s">
        <v>55</v>
      </c>
      <c r="B86" s="407" t="s">
        <v>38</v>
      </c>
      <c r="C86" s="406" t="s">
        <v>59</v>
      </c>
      <c r="D86" s="407" t="s">
        <v>1480</v>
      </c>
      <c r="E86" s="407" t="s">
        <v>59</v>
      </c>
      <c r="F86" s="407" t="s">
        <v>1480</v>
      </c>
      <c r="G86" s="406" t="s">
        <v>205</v>
      </c>
      <c r="H86" s="408" t="s">
        <v>1507</v>
      </c>
      <c r="I86" s="408" t="s">
        <v>1528</v>
      </c>
      <c r="J86" s="406" t="s">
        <v>1857</v>
      </c>
      <c r="K86" s="406" t="s">
        <v>1544</v>
      </c>
      <c r="L86" s="406"/>
      <c r="M86" s="406"/>
      <c r="N86" s="452">
        <v>0</v>
      </c>
      <c r="O86" s="452">
        <v>0</v>
      </c>
      <c r="P86" s="452">
        <v>0</v>
      </c>
      <c r="Q86" s="452">
        <v>0</v>
      </c>
      <c r="R86" s="452">
        <v>0</v>
      </c>
      <c r="S86" s="452">
        <v>0</v>
      </c>
      <c r="T86" s="452">
        <v>0</v>
      </c>
      <c r="U86" s="409">
        <v>0</v>
      </c>
      <c r="V86" s="409"/>
      <c r="W86" s="409">
        <v>8</v>
      </c>
      <c r="X86" s="409">
        <v>22</v>
      </c>
      <c r="Y86" s="409">
        <v>224</v>
      </c>
      <c r="Z86" s="453">
        <f t="shared" si="47"/>
        <v>254</v>
      </c>
      <c r="AA86" s="452"/>
      <c r="AB86" s="452"/>
      <c r="AC86" s="452"/>
      <c r="AD86" s="452"/>
      <c r="AE86" s="452"/>
      <c r="AF86" s="452"/>
      <c r="AG86" s="452"/>
      <c r="AH86" s="409"/>
      <c r="AI86" s="409"/>
      <c r="AJ86" s="409"/>
      <c r="AK86" s="409"/>
      <c r="AL86" s="409"/>
      <c r="AM86" s="453">
        <f t="shared" si="34"/>
        <v>0</v>
      </c>
      <c r="AN86" s="452"/>
      <c r="AO86" s="452"/>
      <c r="AP86" s="452"/>
      <c r="AQ86" s="452"/>
      <c r="AR86" s="452"/>
      <c r="AS86" s="452"/>
      <c r="AT86" s="452"/>
      <c r="AU86" s="409"/>
      <c r="AV86" s="409"/>
      <c r="AW86" s="409"/>
      <c r="AX86" s="409"/>
      <c r="AY86" s="409"/>
      <c r="AZ86" s="453">
        <f t="shared" si="35"/>
        <v>0</v>
      </c>
      <c r="BA86" s="452"/>
      <c r="BB86" s="452"/>
      <c r="BC86" s="452"/>
      <c r="BD86" s="452"/>
      <c r="BE86" s="452"/>
      <c r="BF86" s="452"/>
      <c r="BG86" s="452"/>
      <c r="BH86" s="409"/>
      <c r="BI86" s="409"/>
      <c r="BJ86" s="409"/>
      <c r="BK86" s="409"/>
      <c r="BL86" s="409"/>
      <c r="BM86" s="453">
        <f t="shared" si="36"/>
        <v>0</v>
      </c>
      <c r="BN86" s="452"/>
      <c r="BO86" s="452"/>
      <c r="BP86" s="452"/>
      <c r="BQ86" s="452"/>
      <c r="BR86" s="452"/>
      <c r="BS86" s="452"/>
      <c r="BT86" s="452"/>
      <c r="BU86" s="409"/>
      <c r="BV86" s="409"/>
      <c r="BW86" s="409"/>
      <c r="BX86" s="409"/>
      <c r="BY86" s="409"/>
      <c r="BZ86" s="453">
        <f t="shared" si="37"/>
        <v>0</v>
      </c>
      <c r="CA86" s="454">
        <f t="shared" si="38"/>
        <v>254</v>
      </c>
      <c r="CB86" s="419"/>
      <c r="CC86" s="419">
        <v>1</v>
      </c>
      <c r="CD86" s="419">
        <v>1</v>
      </c>
      <c r="CE86" s="419">
        <v>1</v>
      </c>
      <c r="CF86" s="419">
        <v>1</v>
      </c>
      <c r="CG86" s="420">
        <f>IFERROR((FE86/Z86%),0)</f>
        <v>0</v>
      </c>
      <c r="CH86" s="421">
        <f>IFERROR((FK86/Z86%),0)</f>
        <v>82.758663395258381</v>
      </c>
      <c r="CI86" s="414" t="s">
        <v>106</v>
      </c>
      <c r="CJ86" s="415"/>
      <c r="CK86" s="415"/>
      <c r="CL86" s="415"/>
      <c r="CM86" s="415"/>
      <c r="CN86" s="415"/>
      <c r="CO86" s="415"/>
      <c r="CP86" s="415"/>
      <c r="CQ86" s="415">
        <v>8</v>
      </c>
      <c r="CR86" s="415"/>
      <c r="CS86" s="415"/>
      <c r="CT86" s="415"/>
      <c r="CU86" s="415"/>
      <c r="CV86" s="410">
        <f t="shared" si="39"/>
        <v>8</v>
      </c>
      <c r="CW86" s="415"/>
      <c r="CX86" s="415"/>
      <c r="CY86" s="415"/>
      <c r="CZ86" s="415"/>
      <c r="DA86" s="415"/>
      <c r="DB86" s="415"/>
      <c r="DC86" s="415"/>
      <c r="DD86" s="415"/>
      <c r="DE86" s="415"/>
      <c r="DF86" s="415"/>
      <c r="DG86" s="415"/>
      <c r="DH86" s="415"/>
      <c r="DI86" s="410">
        <f t="shared" si="40"/>
        <v>0</v>
      </c>
      <c r="DJ86" s="415"/>
      <c r="DK86" s="415"/>
      <c r="DL86" s="415"/>
      <c r="DM86" s="415"/>
      <c r="DN86" s="415"/>
      <c r="DO86" s="415"/>
      <c r="DP86" s="415"/>
      <c r="DQ86" s="415"/>
      <c r="DR86" s="415"/>
      <c r="DS86" s="415"/>
      <c r="DT86" s="415"/>
      <c r="DU86" s="415"/>
      <c r="DV86" s="410">
        <f t="shared" si="41"/>
        <v>0</v>
      </c>
      <c r="DW86" s="415"/>
      <c r="DX86" s="415"/>
      <c r="DY86" s="415"/>
      <c r="DZ86" s="415"/>
      <c r="EA86" s="415"/>
      <c r="EB86" s="415"/>
      <c r="EC86" s="415"/>
      <c r="ED86" s="415"/>
      <c r="EE86" s="415"/>
      <c r="EF86" s="415"/>
      <c r="EG86" s="415"/>
      <c r="EH86" s="415"/>
      <c r="EI86" s="410">
        <f t="shared" si="42"/>
        <v>0</v>
      </c>
      <c r="EJ86" s="415"/>
      <c r="EK86" s="415"/>
      <c r="EL86" s="415"/>
      <c r="EM86" s="415"/>
      <c r="EN86" s="415"/>
      <c r="EO86" s="415"/>
      <c r="EP86" s="415"/>
      <c r="EQ86" s="415"/>
      <c r="ER86" s="415"/>
      <c r="ES86" s="415"/>
      <c r="ET86" s="415"/>
      <c r="EU86" s="415"/>
      <c r="EV86" s="410">
        <f t="shared" si="43"/>
        <v>0</v>
      </c>
      <c r="EW86" s="416">
        <f t="shared" si="44"/>
        <v>8</v>
      </c>
      <c r="EX86" s="417">
        <f>IFERROR(VLOOKUP(H86,CEI_012018!$A$1:$U$509,9,FALSE),0)</f>
        <v>0</v>
      </c>
      <c r="EY86" s="417">
        <f>IFERROR(VLOOKUP(H86,CEI_022018!$A$1:$U$509,9,FALSE),0)</f>
        <v>0</v>
      </c>
      <c r="EZ86" s="417">
        <f>IFERROR(VLOOKUP(H86,CEI_032018!$A$1:$U$509,9,FALSE),0)</f>
        <v>0</v>
      </c>
      <c r="FA86" s="417">
        <f>IFERROR(VLOOKUP(H86,CEI_042018!$A$1:$U$491,9,FALSE),0)</f>
        <v>0</v>
      </c>
      <c r="FB86" s="417">
        <f>IFERROR(VLOOKUP(H86,CEI_052018!$A$1:$U$489,9,FALSE),0)</f>
        <v>0</v>
      </c>
      <c r="FC86" s="417">
        <f>IFERROR(VLOOKUP(H86,CEI_062018!$A$1:$U$489,9,FALSE),0)</f>
        <v>0</v>
      </c>
      <c r="FD86" s="417">
        <f>IFERROR(VLOOKUP(H86,CEI_072018!$A$1:$U$489,9,FALSE),0)</f>
        <v>0</v>
      </c>
      <c r="FE86" s="417">
        <f>IFERROR(VLOOKUP(H86,CEI_082018!$A$1:$U$489,9,FALSE),0)</f>
        <v>0</v>
      </c>
      <c r="FF86" s="417">
        <f>IFERROR(VLOOKUP(H86,CEI_092018!$A$1:$U$489,9,FALSE),0)</f>
        <v>4.5799999237060547</v>
      </c>
      <c r="FG86" s="417"/>
      <c r="FH86" s="417"/>
      <c r="FI86" s="417"/>
      <c r="FJ86" s="418">
        <f>IFERROR(VLOOKUP(H86,CEI_092018!$A$1:$U$489,12,FALSE),0)</f>
        <v>205.62700510025024</v>
      </c>
      <c r="FK86" s="418">
        <f t="shared" si="45"/>
        <v>210.2070050239563</v>
      </c>
      <c r="FL86" s="418">
        <f t="shared" si="46"/>
        <v>43.792994976043701</v>
      </c>
      <c r="FM86" s="417"/>
      <c r="FN86" s="417"/>
      <c r="FO86" s="417"/>
      <c r="FP86" s="417"/>
      <c r="FQ86" s="417"/>
      <c r="FR86" s="417"/>
      <c r="FS86" s="417"/>
      <c r="FT86" s="417"/>
      <c r="FU86" s="417"/>
      <c r="FV86" s="417"/>
      <c r="FW86" s="417"/>
      <c r="FX86" s="417"/>
      <c r="FY86" s="418"/>
      <c r="FZ86" s="418"/>
      <c r="GA86" s="418"/>
      <c r="GB86" s="417"/>
      <c r="GC86" s="417"/>
      <c r="GD86" s="417"/>
      <c r="GE86" s="417"/>
      <c r="GF86" s="417"/>
      <c r="GG86" s="417"/>
      <c r="GH86" s="417"/>
      <c r="GI86" s="417"/>
      <c r="GJ86" s="417"/>
      <c r="GK86" s="417"/>
      <c r="GL86" s="417"/>
      <c r="GM86" s="417"/>
      <c r="GN86" s="418"/>
      <c r="GO86" s="418"/>
      <c r="GP86" s="418"/>
      <c r="GQ86" s="417"/>
      <c r="GR86" s="417"/>
      <c r="GS86" s="417"/>
      <c r="GT86" s="417"/>
      <c r="GU86" s="417"/>
      <c r="GV86" s="417"/>
      <c r="GW86" s="417"/>
      <c r="GX86" s="417"/>
      <c r="GY86" s="417"/>
      <c r="GZ86" s="417"/>
      <c r="HA86" s="417"/>
      <c r="HB86" s="417"/>
      <c r="HC86" s="418"/>
      <c r="HD86" s="418"/>
      <c r="HE86" s="418"/>
      <c r="HF86" s="417"/>
      <c r="HG86" s="417"/>
      <c r="HH86" s="417"/>
      <c r="HI86" s="417"/>
      <c r="HJ86" s="417"/>
      <c r="HK86" s="417"/>
      <c r="HL86" s="417"/>
      <c r="HM86" s="417"/>
      <c r="HN86" s="417"/>
      <c r="HO86" s="417"/>
      <c r="HP86" s="417"/>
      <c r="HQ86" s="417"/>
      <c r="HR86" s="418"/>
      <c r="HS86" s="418"/>
      <c r="HT86" s="418"/>
    </row>
    <row r="87" spans="1:228" s="387" customFormat="1" ht="12.95" customHeight="1" x14ac:dyDescent="0.2">
      <c r="A87" s="406" t="s">
        <v>55</v>
      </c>
      <c r="B87" s="407" t="s">
        <v>38</v>
      </c>
      <c r="C87" s="406" t="s">
        <v>59</v>
      </c>
      <c r="D87" s="407" t="s">
        <v>212</v>
      </c>
      <c r="E87" s="407" t="s">
        <v>59</v>
      </c>
      <c r="F87" s="407" t="s">
        <v>212</v>
      </c>
      <c r="G87" s="406" t="s">
        <v>205</v>
      </c>
      <c r="H87" s="408" t="s">
        <v>520</v>
      </c>
      <c r="I87" s="408"/>
      <c r="J87" s="406" t="s">
        <v>213</v>
      </c>
      <c r="K87" s="406" t="s">
        <v>214</v>
      </c>
      <c r="L87" s="406" t="s">
        <v>215</v>
      </c>
      <c r="M87" s="406"/>
      <c r="N87" s="452">
        <v>0</v>
      </c>
      <c r="O87" s="452">
        <v>0</v>
      </c>
      <c r="P87" s="452">
        <v>0</v>
      </c>
      <c r="Q87" s="452">
        <v>0</v>
      </c>
      <c r="R87" s="452">
        <v>0</v>
      </c>
      <c r="S87" s="452">
        <v>0</v>
      </c>
      <c r="T87" s="452">
        <v>0</v>
      </c>
      <c r="U87" s="409">
        <v>0</v>
      </c>
      <c r="V87" s="409"/>
      <c r="W87" s="409"/>
      <c r="X87" s="409"/>
      <c r="Y87" s="409"/>
      <c r="Z87" s="453">
        <f t="shared" si="47"/>
        <v>0</v>
      </c>
      <c r="AA87" s="452"/>
      <c r="AB87" s="452"/>
      <c r="AC87" s="452"/>
      <c r="AD87" s="452"/>
      <c r="AE87" s="452"/>
      <c r="AF87" s="452"/>
      <c r="AG87" s="452"/>
      <c r="AH87" s="409"/>
      <c r="AI87" s="409"/>
      <c r="AJ87" s="409"/>
      <c r="AK87" s="409"/>
      <c r="AL87" s="409"/>
      <c r="AM87" s="453">
        <f t="shared" si="34"/>
        <v>0</v>
      </c>
      <c r="AN87" s="452"/>
      <c r="AO87" s="452"/>
      <c r="AP87" s="452"/>
      <c r="AQ87" s="452"/>
      <c r="AR87" s="452"/>
      <c r="AS87" s="452"/>
      <c r="AT87" s="452"/>
      <c r="AU87" s="409"/>
      <c r="AV87" s="409"/>
      <c r="AW87" s="409"/>
      <c r="AX87" s="409"/>
      <c r="AY87" s="409">
        <v>30</v>
      </c>
      <c r="AZ87" s="453">
        <f t="shared" si="35"/>
        <v>30</v>
      </c>
      <c r="BA87" s="452"/>
      <c r="BB87" s="452"/>
      <c r="BC87" s="452"/>
      <c r="BD87" s="452"/>
      <c r="BE87" s="452"/>
      <c r="BF87" s="452"/>
      <c r="BG87" s="452"/>
      <c r="BH87" s="409"/>
      <c r="BI87" s="409"/>
      <c r="BJ87" s="409"/>
      <c r="BK87" s="409"/>
      <c r="BL87" s="409"/>
      <c r="BM87" s="453">
        <f t="shared" si="36"/>
        <v>0</v>
      </c>
      <c r="BN87" s="452"/>
      <c r="BO87" s="452"/>
      <c r="BP87" s="452"/>
      <c r="BQ87" s="452"/>
      <c r="BR87" s="452"/>
      <c r="BS87" s="452"/>
      <c r="BT87" s="452"/>
      <c r="BU87" s="409"/>
      <c r="BV87" s="409"/>
      <c r="BW87" s="409"/>
      <c r="BX87" s="409"/>
      <c r="BY87" s="409"/>
      <c r="BZ87" s="453">
        <f t="shared" si="37"/>
        <v>0</v>
      </c>
      <c r="CA87" s="454">
        <f t="shared" si="38"/>
        <v>30</v>
      </c>
      <c r="CB87" s="411"/>
      <c r="CC87" s="411"/>
      <c r="CD87" s="411"/>
      <c r="CE87" s="411"/>
      <c r="CF87" s="411"/>
      <c r="CG87" s="412"/>
      <c r="CH87" s="413"/>
      <c r="CI87" s="414" t="s">
        <v>71</v>
      </c>
      <c r="CJ87" s="415"/>
      <c r="CK87" s="415"/>
      <c r="CL87" s="415"/>
      <c r="CM87" s="415"/>
      <c r="CN87" s="415"/>
      <c r="CO87" s="415"/>
      <c r="CP87" s="415"/>
      <c r="CQ87" s="415"/>
      <c r="CR87" s="415"/>
      <c r="CS87" s="415"/>
      <c r="CT87" s="415"/>
      <c r="CU87" s="415"/>
      <c r="CV87" s="410">
        <f t="shared" si="39"/>
        <v>0</v>
      </c>
      <c r="CW87" s="415"/>
      <c r="CX87" s="415"/>
      <c r="CY87" s="415"/>
      <c r="CZ87" s="415"/>
      <c r="DA87" s="415"/>
      <c r="DB87" s="415"/>
      <c r="DC87" s="415"/>
      <c r="DD87" s="415"/>
      <c r="DE87" s="415"/>
      <c r="DF87" s="415"/>
      <c r="DG87" s="415"/>
      <c r="DH87" s="415"/>
      <c r="DI87" s="410">
        <f t="shared" si="40"/>
        <v>0</v>
      </c>
      <c r="DJ87" s="415"/>
      <c r="DK87" s="415"/>
      <c r="DL87" s="415"/>
      <c r="DM87" s="415"/>
      <c r="DN87" s="415"/>
      <c r="DO87" s="415"/>
      <c r="DP87" s="415"/>
      <c r="DQ87" s="415"/>
      <c r="DR87" s="415"/>
      <c r="DS87" s="415"/>
      <c r="DT87" s="415"/>
      <c r="DU87" s="415">
        <v>1</v>
      </c>
      <c r="DV87" s="410">
        <f t="shared" si="41"/>
        <v>1</v>
      </c>
      <c r="DW87" s="415"/>
      <c r="DX87" s="415"/>
      <c r="DY87" s="415"/>
      <c r="DZ87" s="415"/>
      <c r="EA87" s="415"/>
      <c r="EB87" s="415"/>
      <c r="EC87" s="415"/>
      <c r="ED87" s="415"/>
      <c r="EE87" s="415"/>
      <c r="EF87" s="415"/>
      <c r="EG87" s="415"/>
      <c r="EH87" s="415"/>
      <c r="EI87" s="410">
        <f t="shared" si="42"/>
        <v>0</v>
      </c>
      <c r="EJ87" s="415"/>
      <c r="EK87" s="415"/>
      <c r="EL87" s="415"/>
      <c r="EM87" s="415"/>
      <c r="EN87" s="415"/>
      <c r="EO87" s="415"/>
      <c r="EP87" s="415"/>
      <c r="EQ87" s="415"/>
      <c r="ER87" s="415"/>
      <c r="ES87" s="415"/>
      <c r="ET87" s="415"/>
      <c r="EU87" s="415"/>
      <c r="EV87" s="410">
        <f t="shared" si="43"/>
        <v>0</v>
      </c>
      <c r="EW87" s="416">
        <f t="shared" si="44"/>
        <v>1</v>
      </c>
      <c r="EX87" s="417">
        <f>IFERROR(VLOOKUP(H87,CEI_012018!$A$1:$U$509,9,FALSE),0)</f>
        <v>0</v>
      </c>
      <c r="EY87" s="417">
        <f>IFERROR(VLOOKUP(H87,CEI_022018!$A$1:$U$509,9,FALSE),0)</f>
        <v>0</v>
      </c>
      <c r="EZ87" s="417">
        <f>IFERROR(VLOOKUP(H87,CEI_032018!$A$1:$U$509,9,FALSE),0)</f>
        <v>0</v>
      </c>
      <c r="FA87" s="417">
        <f>IFERROR(VLOOKUP(H87,CEI_042018!$A$1:$U$491,9,FALSE),0)</f>
        <v>0</v>
      </c>
      <c r="FB87" s="417">
        <f>IFERROR(VLOOKUP(H87,CEI_052018!$A$1:$U$489,9,FALSE),0)</f>
        <v>0</v>
      </c>
      <c r="FC87" s="417">
        <f>IFERROR(VLOOKUP(H87,CEI_062018!$A$1:$U$489,9,FALSE),0)</f>
        <v>0</v>
      </c>
      <c r="FD87" s="417">
        <f>IFERROR(VLOOKUP(H87,CEI_072018!$A$1:$U$489,9,FALSE),0)</f>
        <v>0</v>
      </c>
      <c r="FE87" s="417">
        <f>IFERROR(VLOOKUP(H87,CEI_082018!$A$1:$U$489,9,FALSE),0)</f>
        <v>0</v>
      </c>
      <c r="FF87" s="417">
        <f>IFERROR(VLOOKUP(H87,CEI_092018!$A$1:$U$489,9,FALSE),0)</f>
        <v>0</v>
      </c>
      <c r="FG87" s="417"/>
      <c r="FH87" s="417"/>
      <c r="FI87" s="417"/>
      <c r="FJ87" s="418">
        <f>IFERROR(VLOOKUP(H87,CEI_092018!$A$1:$U$489,12,FALSE),0)</f>
        <v>0</v>
      </c>
      <c r="FK87" s="418">
        <f t="shared" si="45"/>
        <v>0</v>
      </c>
      <c r="FL87" s="418">
        <f t="shared" si="46"/>
        <v>0</v>
      </c>
      <c r="FM87" s="417"/>
      <c r="FN87" s="417"/>
      <c r="FO87" s="417"/>
      <c r="FP87" s="417"/>
      <c r="FQ87" s="417"/>
      <c r="FR87" s="417"/>
      <c r="FS87" s="417"/>
      <c r="FT87" s="417"/>
      <c r="FU87" s="417"/>
      <c r="FV87" s="417"/>
      <c r="FW87" s="417"/>
      <c r="FX87" s="417"/>
      <c r="FY87" s="418"/>
      <c r="FZ87" s="418"/>
      <c r="GA87" s="418"/>
      <c r="GB87" s="417"/>
      <c r="GC87" s="417"/>
      <c r="GD87" s="417"/>
      <c r="GE87" s="417"/>
      <c r="GF87" s="417"/>
      <c r="GG87" s="417"/>
      <c r="GH87" s="417"/>
      <c r="GI87" s="417"/>
      <c r="GJ87" s="417"/>
      <c r="GK87" s="417"/>
      <c r="GL87" s="417"/>
      <c r="GM87" s="417"/>
      <c r="GN87" s="418"/>
      <c r="GO87" s="418"/>
      <c r="GP87" s="418"/>
      <c r="GQ87" s="417"/>
      <c r="GR87" s="417"/>
      <c r="GS87" s="417"/>
      <c r="GT87" s="417"/>
      <c r="GU87" s="417"/>
      <c r="GV87" s="417"/>
      <c r="GW87" s="417"/>
      <c r="GX87" s="417"/>
      <c r="GY87" s="417"/>
      <c r="GZ87" s="417"/>
      <c r="HA87" s="417"/>
      <c r="HB87" s="417"/>
      <c r="HC87" s="418"/>
      <c r="HD87" s="418"/>
      <c r="HE87" s="418"/>
      <c r="HF87" s="417"/>
      <c r="HG87" s="417"/>
      <c r="HH87" s="417"/>
      <c r="HI87" s="417"/>
      <c r="HJ87" s="417"/>
      <c r="HK87" s="417"/>
      <c r="HL87" s="417"/>
      <c r="HM87" s="417"/>
      <c r="HN87" s="417"/>
      <c r="HO87" s="417"/>
      <c r="HP87" s="417"/>
      <c r="HQ87" s="417"/>
      <c r="HR87" s="418"/>
      <c r="HS87" s="418"/>
      <c r="HT87" s="418"/>
    </row>
    <row r="88" spans="1:228" s="387" customFormat="1" ht="12.95" customHeight="1" x14ac:dyDescent="0.2">
      <c r="A88" s="406" t="s">
        <v>55</v>
      </c>
      <c r="B88" s="407" t="s">
        <v>38</v>
      </c>
      <c r="C88" s="406" t="s">
        <v>59</v>
      </c>
      <c r="D88" s="407" t="s">
        <v>206</v>
      </c>
      <c r="E88" s="407" t="s">
        <v>59</v>
      </c>
      <c r="F88" s="407" t="s">
        <v>206</v>
      </c>
      <c r="G88" s="406" t="s">
        <v>205</v>
      </c>
      <c r="H88" s="408" t="s">
        <v>520</v>
      </c>
      <c r="I88" s="408"/>
      <c r="J88" s="406" t="s">
        <v>216</v>
      </c>
      <c r="K88" s="406" t="s">
        <v>217</v>
      </c>
      <c r="L88" s="406" t="s">
        <v>215</v>
      </c>
      <c r="M88" s="406"/>
      <c r="N88" s="452">
        <v>0</v>
      </c>
      <c r="O88" s="452">
        <v>0</v>
      </c>
      <c r="P88" s="452">
        <v>0</v>
      </c>
      <c r="Q88" s="452">
        <v>0</v>
      </c>
      <c r="R88" s="452">
        <v>0</v>
      </c>
      <c r="S88" s="452">
        <v>0</v>
      </c>
      <c r="T88" s="452">
        <v>0</v>
      </c>
      <c r="U88" s="409">
        <v>0</v>
      </c>
      <c r="V88" s="409"/>
      <c r="W88" s="409"/>
      <c r="X88" s="409"/>
      <c r="Y88" s="409"/>
      <c r="Z88" s="453">
        <f t="shared" si="47"/>
        <v>0</v>
      </c>
      <c r="AA88" s="452"/>
      <c r="AB88" s="452"/>
      <c r="AC88" s="452"/>
      <c r="AD88" s="452"/>
      <c r="AE88" s="452"/>
      <c r="AF88" s="452"/>
      <c r="AG88" s="452"/>
      <c r="AH88" s="409"/>
      <c r="AI88" s="409"/>
      <c r="AJ88" s="409"/>
      <c r="AK88" s="409"/>
      <c r="AL88" s="409">
        <v>33</v>
      </c>
      <c r="AM88" s="453">
        <f t="shared" si="34"/>
        <v>33</v>
      </c>
      <c r="AN88" s="452"/>
      <c r="AO88" s="452"/>
      <c r="AP88" s="452"/>
      <c r="AQ88" s="452"/>
      <c r="AR88" s="452"/>
      <c r="AS88" s="452"/>
      <c r="AT88" s="452"/>
      <c r="AU88" s="409"/>
      <c r="AV88" s="409"/>
      <c r="AW88" s="409"/>
      <c r="AX88" s="409"/>
      <c r="AY88" s="409"/>
      <c r="AZ88" s="453">
        <f t="shared" si="35"/>
        <v>0</v>
      </c>
      <c r="BA88" s="452"/>
      <c r="BB88" s="452"/>
      <c r="BC88" s="452"/>
      <c r="BD88" s="452"/>
      <c r="BE88" s="452"/>
      <c r="BF88" s="452"/>
      <c r="BG88" s="452"/>
      <c r="BH88" s="409"/>
      <c r="BI88" s="409"/>
      <c r="BJ88" s="409"/>
      <c r="BK88" s="409"/>
      <c r="BL88" s="409"/>
      <c r="BM88" s="453">
        <f t="shared" si="36"/>
        <v>0</v>
      </c>
      <c r="BN88" s="452"/>
      <c r="BO88" s="452"/>
      <c r="BP88" s="452"/>
      <c r="BQ88" s="452"/>
      <c r="BR88" s="452"/>
      <c r="BS88" s="452"/>
      <c r="BT88" s="452"/>
      <c r="BU88" s="409"/>
      <c r="BV88" s="409"/>
      <c r="BW88" s="409"/>
      <c r="BX88" s="409"/>
      <c r="BY88" s="409"/>
      <c r="BZ88" s="453">
        <f t="shared" si="37"/>
        <v>0</v>
      </c>
      <c r="CA88" s="454">
        <f t="shared" si="38"/>
        <v>33</v>
      </c>
      <c r="CB88" s="411"/>
      <c r="CC88" s="411"/>
      <c r="CD88" s="411"/>
      <c r="CE88" s="411"/>
      <c r="CF88" s="411"/>
      <c r="CG88" s="412"/>
      <c r="CH88" s="413"/>
      <c r="CI88" s="414" t="s">
        <v>71</v>
      </c>
      <c r="CJ88" s="415"/>
      <c r="CK88" s="415"/>
      <c r="CL88" s="415"/>
      <c r="CM88" s="415"/>
      <c r="CN88" s="415"/>
      <c r="CO88" s="415"/>
      <c r="CP88" s="415"/>
      <c r="CQ88" s="415"/>
      <c r="CR88" s="415"/>
      <c r="CS88" s="415"/>
      <c r="CT88" s="415"/>
      <c r="CU88" s="415"/>
      <c r="CV88" s="410">
        <f t="shared" si="39"/>
        <v>0</v>
      </c>
      <c r="CW88" s="415"/>
      <c r="CX88" s="415"/>
      <c r="CY88" s="415"/>
      <c r="CZ88" s="415"/>
      <c r="DA88" s="415"/>
      <c r="DB88" s="415"/>
      <c r="DC88" s="415"/>
      <c r="DD88" s="415"/>
      <c r="DE88" s="415"/>
      <c r="DF88" s="415"/>
      <c r="DG88" s="415"/>
      <c r="DH88" s="415">
        <v>1</v>
      </c>
      <c r="DI88" s="410">
        <f t="shared" si="40"/>
        <v>1</v>
      </c>
      <c r="DJ88" s="415"/>
      <c r="DK88" s="415"/>
      <c r="DL88" s="415"/>
      <c r="DM88" s="415"/>
      <c r="DN88" s="415"/>
      <c r="DO88" s="415"/>
      <c r="DP88" s="415"/>
      <c r="DQ88" s="415"/>
      <c r="DR88" s="415"/>
      <c r="DS88" s="415"/>
      <c r="DT88" s="415"/>
      <c r="DU88" s="415"/>
      <c r="DV88" s="410">
        <f t="shared" si="41"/>
        <v>0</v>
      </c>
      <c r="DW88" s="415"/>
      <c r="DX88" s="415"/>
      <c r="DY88" s="415"/>
      <c r="DZ88" s="415"/>
      <c r="EA88" s="415"/>
      <c r="EB88" s="415"/>
      <c r="EC88" s="415"/>
      <c r="ED88" s="415"/>
      <c r="EE88" s="415"/>
      <c r="EF88" s="415"/>
      <c r="EG88" s="415"/>
      <c r="EH88" s="415"/>
      <c r="EI88" s="410">
        <f t="shared" si="42"/>
        <v>0</v>
      </c>
      <c r="EJ88" s="415"/>
      <c r="EK88" s="415"/>
      <c r="EL88" s="415"/>
      <c r="EM88" s="415"/>
      <c r="EN88" s="415"/>
      <c r="EO88" s="415"/>
      <c r="EP88" s="415"/>
      <c r="EQ88" s="415"/>
      <c r="ER88" s="415"/>
      <c r="ES88" s="415"/>
      <c r="ET88" s="415"/>
      <c r="EU88" s="415"/>
      <c r="EV88" s="410">
        <f t="shared" si="43"/>
        <v>0</v>
      </c>
      <c r="EW88" s="416">
        <f t="shared" si="44"/>
        <v>1</v>
      </c>
      <c r="EX88" s="417">
        <f>IFERROR(VLOOKUP(H88,CEI_012018!$A$1:$U$509,9,FALSE),0)</f>
        <v>0</v>
      </c>
      <c r="EY88" s="417">
        <f>IFERROR(VLOOKUP(H88,CEI_022018!$A$1:$U$509,9,FALSE),0)</f>
        <v>0</v>
      </c>
      <c r="EZ88" s="417">
        <f>IFERROR(VLOOKUP(H88,CEI_032018!$A$1:$U$509,9,FALSE),0)</f>
        <v>0</v>
      </c>
      <c r="FA88" s="417">
        <f>IFERROR(VLOOKUP(H88,CEI_042018!$A$1:$U$491,9,FALSE),0)</f>
        <v>0</v>
      </c>
      <c r="FB88" s="417">
        <f>IFERROR(VLOOKUP(H88,CEI_052018!$A$1:$U$489,9,FALSE),0)</f>
        <v>0</v>
      </c>
      <c r="FC88" s="417">
        <f>IFERROR(VLOOKUP(H88,CEI_062018!$A$1:$U$489,9,FALSE),0)</f>
        <v>0</v>
      </c>
      <c r="FD88" s="417">
        <f>IFERROR(VLOOKUP(H88,CEI_072018!$A$1:$U$489,9,FALSE),0)</f>
        <v>0</v>
      </c>
      <c r="FE88" s="417">
        <f>IFERROR(VLOOKUP(H88,CEI_082018!$A$1:$U$489,9,FALSE),0)</f>
        <v>0</v>
      </c>
      <c r="FF88" s="417">
        <f>IFERROR(VLOOKUP(H88,CEI_092018!$A$1:$U$489,9,FALSE),0)</f>
        <v>0</v>
      </c>
      <c r="FG88" s="417"/>
      <c r="FH88" s="417"/>
      <c r="FI88" s="417"/>
      <c r="FJ88" s="418">
        <f>IFERROR(VLOOKUP(H88,CEI_092018!$A$1:$U$489,12,FALSE),0)</f>
        <v>0</v>
      </c>
      <c r="FK88" s="418">
        <f t="shared" si="45"/>
        <v>0</v>
      </c>
      <c r="FL88" s="418">
        <f t="shared" si="46"/>
        <v>0</v>
      </c>
      <c r="FM88" s="417"/>
      <c r="FN88" s="417"/>
      <c r="FO88" s="417"/>
      <c r="FP88" s="417"/>
      <c r="FQ88" s="417"/>
      <c r="FR88" s="417"/>
      <c r="FS88" s="417"/>
      <c r="FT88" s="417"/>
      <c r="FU88" s="417"/>
      <c r="FV88" s="417"/>
      <c r="FW88" s="417"/>
      <c r="FX88" s="417"/>
      <c r="FY88" s="418"/>
      <c r="FZ88" s="418"/>
      <c r="GA88" s="418"/>
      <c r="GB88" s="417"/>
      <c r="GC88" s="417"/>
      <c r="GD88" s="417"/>
      <c r="GE88" s="417"/>
      <c r="GF88" s="417"/>
      <c r="GG88" s="417"/>
      <c r="GH88" s="417"/>
      <c r="GI88" s="417"/>
      <c r="GJ88" s="417"/>
      <c r="GK88" s="417"/>
      <c r="GL88" s="417"/>
      <c r="GM88" s="417"/>
      <c r="GN88" s="418"/>
      <c r="GO88" s="418"/>
      <c r="GP88" s="418"/>
      <c r="GQ88" s="417"/>
      <c r="GR88" s="417"/>
      <c r="GS88" s="417"/>
      <c r="GT88" s="417"/>
      <c r="GU88" s="417"/>
      <c r="GV88" s="417"/>
      <c r="GW88" s="417"/>
      <c r="GX88" s="417"/>
      <c r="GY88" s="417"/>
      <c r="GZ88" s="417"/>
      <c r="HA88" s="417"/>
      <c r="HB88" s="417"/>
      <c r="HC88" s="418"/>
      <c r="HD88" s="418"/>
      <c r="HE88" s="418"/>
      <c r="HF88" s="417"/>
      <c r="HG88" s="417"/>
      <c r="HH88" s="417"/>
      <c r="HI88" s="417"/>
      <c r="HJ88" s="417"/>
      <c r="HK88" s="417"/>
      <c r="HL88" s="417"/>
      <c r="HM88" s="417"/>
      <c r="HN88" s="417"/>
      <c r="HO88" s="417"/>
      <c r="HP88" s="417"/>
      <c r="HQ88" s="417"/>
      <c r="HR88" s="418"/>
      <c r="HS88" s="418"/>
      <c r="HT88" s="418"/>
    </row>
    <row r="89" spans="1:228" s="387" customFormat="1" ht="12.95" customHeight="1" x14ac:dyDescent="0.2">
      <c r="A89" s="406" t="s">
        <v>55</v>
      </c>
      <c r="B89" s="407" t="s">
        <v>39</v>
      </c>
      <c r="C89" s="406" t="s">
        <v>59</v>
      </c>
      <c r="D89" s="407" t="s">
        <v>238</v>
      </c>
      <c r="E89" s="407" t="s">
        <v>59</v>
      </c>
      <c r="F89" s="407" t="s">
        <v>238</v>
      </c>
      <c r="G89" s="406" t="s">
        <v>205</v>
      </c>
      <c r="H89" s="408" t="s">
        <v>520</v>
      </c>
      <c r="I89" s="408"/>
      <c r="J89" s="406" t="s">
        <v>239</v>
      </c>
      <c r="K89" s="406" t="s">
        <v>240</v>
      </c>
      <c r="L89" s="406" t="s">
        <v>241</v>
      </c>
      <c r="M89" s="406"/>
      <c r="N89" s="452">
        <v>0</v>
      </c>
      <c r="O89" s="452">
        <v>0</v>
      </c>
      <c r="P89" s="452">
        <v>0</v>
      </c>
      <c r="Q89" s="452">
        <v>0</v>
      </c>
      <c r="R89" s="452">
        <v>0</v>
      </c>
      <c r="S89" s="452">
        <v>0</v>
      </c>
      <c r="T89" s="452">
        <v>0</v>
      </c>
      <c r="U89" s="409">
        <v>0</v>
      </c>
      <c r="V89" s="409"/>
      <c r="W89" s="409"/>
      <c r="X89" s="409"/>
      <c r="Y89" s="409"/>
      <c r="Z89" s="453">
        <f t="shared" si="47"/>
        <v>0</v>
      </c>
      <c r="AA89" s="452"/>
      <c r="AB89" s="452"/>
      <c r="AC89" s="452"/>
      <c r="AD89" s="452"/>
      <c r="AE89" s="452"/>
      <c r="AF89" s="452"/>
      <c r="AG89" s="452"/>
      <c r="AH89" s="409"/>
      <c r="AI89" s="409"/>
      <c r="AJ89" s="409"/>
      <c r="AK89" s="409"/>
      <c r="AL89" s="409">
        <v>21</v>
      </c>
      <c r="AM89" s="453">
        <f t="shared" si="34"/>
        <v>21</v>
      </c>
      <c r="AN89" s="452"/>
      <c r="AO89" s="452"/>
      <c r="AP89" s="452"/>
      <c r="AQ89" s="452"/>
      <c r="AR89" s="452"/>
      <c r="AS89" s="452"/>
      <c r="AT89" s="452"/>
      <c r="AU89" s="409"/>
      <c r="AV89" s="409"/>
      <c r="AW89" s="409"/>
      <c r="AX89" s="409"/>
      <c r="AY89" s="409"/>
      <c r="AZ89" s="453">
        <f t="shared" si="35"/>
        <v>0</v>
      </c>
      <c r="BA89" s="452"/>
      <c r="BB89" s="452"/>
      <c r="BC89" s="452"/>
      <c r="BD89" s="452"/>
      <c r="BE89" s="452"/>
      <c r="BF89" s="452"/>
      <c r="BG89" s="452"/>
      <c r="BH89" s="409"/>
      <c r="BI89" s="409"/>
      <c r="BJ89" s="409"/>
      <c r="BK89" s="409"/>
      <c r="BL89" s="409"/>
      <c r="BM89" s="453">
        <f t="shared" si="36"/>
        <v>0</v>
      </c>
      <c r="BN89" s="452"/>
      <c r="BO89" s="452"/>
      <c r="BP89" s="452"/>
      <c r="BQ89" s="452"/>
      <c r="BR89" s="452"/>
      <c r="BS89" s="452"/>
      <c r="BT89" s="452"/>
      <c r="BU89" s="409"/>
      <c r="BV89" s="409"/>
      <c r="BW89" s="409"/>
      <c r="BX89" s="409"/>
      <c r="BY89" s="409"/>
      <c r="BZ89" s="453">
        <f t="shared" si="37"/>
        <v>0</v>
      </c>
      <c r="CA89" s="454">
        <f t="shared" si="38"/>
        <v>21</v>
      </c>
      <c r="CB89" s="411"/>
      <c r="CC89" s="411"/>
      <c r="CD89" s="411"/>
      <c r="CE89" s="411"/>
      <c r="CF89" s="411"/>
      <c r="CG89" s="412"/>
      <c r="CH89" s="413"/>
      <c r="CI89" s="414" t="s">
        <v>71</v>
      </c>
      <c r="CJ89" s="415"/>
      <c r="CK89" s="415"/>
      <c r="CL89" s="415"/>
      <c r="CM89" s="415"/>
      <c r="CN89" s="415"/>
      <c r="CO89" s="415"/>
      <c r="CP89" s="415"/>
      <c r="CQ89" s="415"/>
      <c r="CR89" s="415"/>
      <c r="CS89" s="415"/>
      <c r="CT89" s="415"/>
      <c r="CU89" s="415"/>
      <c r="CV89" s="410">
        <f t="shared" si="39"/>
        <v>0</v>
      </c>
      <c r="CW89" s="415"/>
      <c r="CX89" s="415"/>
      <c r="CY89" s="415"/>
      <c r="CZ89" s="415"/>
      <c r="DA89" s="415"/>
      <c r="DB89" s="415"/>
      <c r="DC89" s="415"/>
      <c r="DD89" s="415"/>
      <c r="DE89" s="415"/>
      <c r="DF89" s="415"/>
      <c r="DG89" s="415"/>
      <c r="DH89" s="415">
        <v>1</v>
      </c>
      <c r="DI89" s="410">
        <f t="shared" si="40"/>
        <v>1</v>
      </c>
      <c r="DJ89" s="415"/>
      <c r="DK89" s="415"/>
      <c r="DL89" s="415"/>
      <c r="DM89" s="415"/>
      <c r="DN89" s="415"/>
      <c r="DO89" s="415"/>
      <c r="DP89" s="415"/>
      <c r="DQ89" s="415"/>
      <c r="DR89" s="415"/>
      <c r="DS89" s="415"/>
      <c r="DT89" s="415"/>
      <c r="DU89" s="415"/>
      <c r="DV89" s="410">
        <f t="shared" si="41"/>
        <v>0</v>
      </c>
      <c r="DW89" s="415"/>
      <c r="DX89" s="415"/>
      <c r="DY89" s="415"/>
      <c r="DZ89" s="415"/>
      <c r="EA89" s="415"/>
      <c r="EB89" s="415"/>
      <c r="EC89" s="415"/>
      <c r="ED89" s="415"/>
      <c r="EE89" s="415"/>
      <c r="EF89" s="415"/>
      <c r="EG89" s="415"/>
      <c r="EH89" s="415"/>
      <c r="EI89" s="410">
        <f t="shared" si="42"/>
        <v>0</v>
      </c>
      <c r="EJ89" s="415"/>
      <c r="EK89" s="415"/>
      <c r="EL89" s="415"/>
      <c r="EM89" s="415"/>
      <c r="EN89" s="415"/>
      <c r="EO89" s="415"/>
      <c r="EP89" s="415"/>
      <c r="EQ89" s="415"/>
      <c r="ER89" s="415"/>
      <c r="ES89" s="415"/>
      <c r="ET89" s="415"/>
      <c r="EU89" s="415"/>
      <c r="EV89" s="410">
        <f t="shared" si="43"/>
        <v>0</v>
      </c>
      <c r="EW89" s="416">
        <f t="shared" si="44"/>
        <v>1</v>
      </c>
      <c r="EX89" s="417">
        <f>IFERROR(VLOOKUP(H89,CEI_012018!$A$1:$U$509,9,FALSE),0)</f>
        <v>0</v>
      </c>
      <c r="EY89" s="417">
        <f>IFERROR(VLOOKUP(H89,CEI_022018!$A$1:$U$509,9,FALSE),0)</f>
        <v>0</v>
      </c>
      <c r="EZ89" s="417">
        <f>IFERROR(VLOOKUP(H89,CEI_032018!$A$1:$U$509,9,FALSE),0)</f>
        <v>0</v>
      </c>
      <c r="FA89" s="417">
        <f>IFERROR(VLOOKUP(H89,CEI_042018!$A$1:$U$491,9,FALSE),0)</f>
        <v>0</v>
      </c>
      <c r="FB89" s="417">
        <f>IFERROR(VLOOKUP(H89,CEI_052018!$A$1:$U$489,9,FALSE),0)</f>
        <v>0</v>
      </c>
      <c r="FC89" s="417">
        <f>IFERROR(VLOOKUP(H89,CEI_062018!$A$1:$U$489,9,FALSE),0)</f>
        <v>0</v>
      </c>
      <c r="FD89" s="417">
        <f>IFERROR(VLOOKUP(H89,CEI_072018!$A$1:$U$489,9,FALSE),0)</f>
        <v>0</v>
      </c>
      <c r="FE89" s="417">
        <f>IFERROR(VLOOKUP(H89,CEI_082018!$A$1:$U$489,9,FALSE),0)</f>
        <v>0</v>
      </c>
      <c r="FF89" s="417">
        <f>IFERROR(VLOOKUP(H89,CEI_092018!$A$1:$U$489,9,FALSE),0)</f>
        <v>0</v>
      </c>
      <c r="FG89" s="417"/>
      <c r="FH89" s="417"/>
      <c r="FI89" s="417"/>
      <c r="FJ89" s="418">
        <f>IFERROR(VLOOKUP(H89,CEI_092018!$A$1:$U$489,12,FALSE),0)</f>
        <v>0</v>
      </c>
      <c r="FK89" s="418">
        <f t="shared" si="45"/>
        <v>0</v>
      </c>
      <c r="FL89" s="418">
        <f t="shared" si="46"/>
        <v>0</v>
      </c>
      <c r="FM89" s="417"/>
      <c r="FN89" s="417"/>
      <c r="FO89" s="417"/>
      <c r="FP89" s="417"/>
      <c r="FQ89" s="417"/>
      <c r="FR89" s="417"/>
      <c r="FS89" s="417"/>
      <c r="FT89" s="417"/>
      <c r="FU89" s="417"/>
      <c r="FV89" s="417"/>
      <c r="FW89" s="417"/>
      <c r="FX89" s="417"/>
      <c r="FY89" s="418"/>
      <c r="FZ89" s="418"/>
      <c r="GA89" s="418"/>
      <c r="GB89" s="417"/>
      <c r="GC89" s="417"/>
      <c r="GD89" s="417"/>
      <c r="GE89" s="417"/>
      <c r="GF89" s="417"/>
      <c r="GG89" s="417"/>
      <c r="GH89" s="417"/>
      <c r="GI89" s="417"/>
      <c r="GJ89" s="417"/>
      <c r="GK89" s="417"/>
      <c r="GL89" s="417"/>
      <c r="GM89" s="417"/>
      <c r="GN89" s="418"/>
      <c r="GO89" s="418"/>
      <c r="GP89" s="418"/>
      <c r="GQ89" s="417"/>
      <c r="GR89" s="417"/>
      <c r="GS89" s="417"/>
      <c r="GT89" s="417"/>
      <c r="GU89" s="417"/>
      <c r="GV89" s="417"/>
      <c r="GW89" s="417"/>
      <c r="GX89" s="417"/>
      <c r="GY89" s="417"/>
      <c r="GZ89" s="417"/>
      <c r="HA89" s="417"/>
      <c r="HB89" s="417"/>
      <c r="HC89" s="418"/>
      <c r="HD89" s="418"/>
      <c r="HE89" s="418"/>
      <c r="HF89" s="417"/>
      <c r="HG89" s="417"/>
      <c r="HH89" s="417"/>
      <c r="HI89" s="417"/>
      <c r="HJ89" s="417"/>
      <c r="HK89" s="417"/>
      <c r="HL89" s="417"/>
      <c r="HM89" s="417"/>
      <c r="HN89" s="417"/>
      <c r="HO89" s="417"/>
      <c r="HP89" s="417"/>
      <c r="HQ89" s="417"/>
      <c r="HR89" s="418"/>
      <c r="HS89" s="418"/>
      <c r="HT89" s="418"/>
    </row>
    <row r="90" spans="1:228" s="387" customFormat="1" ht="12.95" customHeight="1" x14ac:dyDescent="0.2">
      <c r="A90" s="406" t="s">
        <v>55</v>
      </c>
      <c r="B90" s="407" t="s">
        <v>39</v>
      </c>
      <c r="C90" s="406" t="s">
        <v>59</v>
      </c>
      <c r="D90" s="407" t="s">
        <v>1480</v>
      </c>
      <c r="E90" s="407" t="s">
        <v>59</v>
      </c>
      <c r="F90" s="407" t="s">
        <v>1480</v>
      </c>
      <c r="G90" s="406" t="s">
        <v>205</v>
      </c>
      <c r="H90" s="408" t="s">
        <v>1457</v>
      </c>
      <c r="I90" s="408" t="s">
        <v>1459</v>
      </c>
      <c r="J90" s="406" t="s">
        <v>1481</v>
      </c>
      <c r="K90" s="406" t="s">
        <v>1482</v>
      </c>
      <c r="L90" s="406" t="s">
        <v>209</v>
      </c>
      <c r="M90" s="406"/>
      <c r="N90" s="452">
        <v>0</v>
      </c>
      <c r="O90" s="452">
        <v>0</v>
      </c>
      <c r="P90" s="452">
        <v>0</v>
      </c>
      <c r="Q90" s="452">
        <v>0</v>
      </c>
      <c r="R90" s="452">
        <v>0</v>
      </c>
      <c r="S90" s="452">
        <v>0</v>
      </c>
      <c r="T90" s="452">
        <v>0</v>
      </c>
      <c r="U90" s="409">
        <v>0</v>
      </c>
      <c r="V90" s="409"/>
      <c r="W90" s="409">
        <v>103.2</v>
      </c>
      <c r="X90" s="409"/>
      <c r="Y90" s="409">
        <v>20.845002937315996</v>
      </c>
      <c r="Z90" s="453">
        <f t="shared" si="47"/>
        <v>124.045002937316</v>
      </c>
      <c r="AA90" s="452"/>
      <c r="AB90" s="452"/>
      <c r="AC90" s="452">
        <f>161-24</f>
        <v>137</v>
      </c>
      <c r="AD90" s="452">
        <v>200</v>
      </c>
      <c r="AE90" s="452"/>
      <c r="AF90" s="452"/>
      <c r="AG90" s="452"/>
      <c r="AH90" s="409">
        <f>27.9549970626831+24</f>
        <v>51.954997062683098</v>
      </c>
      <c r="AI90" s="409"/>
      <c r="AJ90" s="409"/>
      <c r="AK90" s="409"/>
      <c r="AL90" s="409"/>
      <c r="AM90" s="453">
        <f t="shared" si="34"/>
        <v>388.95499706268311</v>
      </c>
      <c r="AN90" s="452"/>
      <c r="AO90" s="452"/>
      <c r="AP90" s="452"/>
      <c r="AQ90" s="452"/>
      <c r="AR90" s="452"/>
      <c r="AS90" s="452"/>
      <c r="AT90" s="452"/>
      <c r="AU90" s="409"/>
      <c r="AV90" s="409"/>
      <c r="AW90" s="409"/>
      <c r="AX90" s="409"/>
      <c r="AY90" s="409"/>
      <c r="AZ90" s="453">
        <f t="shared" si="35"/>
        <v>0</v>
      </c>
      <c r="BA90" s="452"/>
      <c r="BB90" s="452"/>
      <c r="BC90" s="452"/>
      <c r="BD90" s="452"/>
      <c r="BE90" s="452"/>
      <c r="BF90" s="452"/>
      <c r="BG90" s="452"/>
      <c r="BH90" s="409"/>
      <c r="BI90" s="409"/>
      <c r="BJ90" s="409"/>
      <c r="BK90" s="409"/>
      <c r="BL90" s="409"/>
      <c r="BM90" s="453">
        <f t="shared" si="36"/>
        <v>0</v>
      </c>
      <c r="BN90" s="452"/>
      <c r="BO90" s="452"/>
      <c r="BP90" s="452"/>
      <c r="BQ90" s="452"/>
      <c r="BR90" s="452"/>
      <c r="BS90" s="452"/>
      <c r="BT90" s="452"/>
      <c r="BU90" s="409"/>
      <c r="BV90" s="409"/>
      <c r="BW90" s="409"/>
      <c r="BX90" s="409"/>
      <c r="BY90" s="409"/>
      <c r="BZ90" s="453">
        <f t="shared" si="37"/>
        <v>0</v>
      </c>
      <c r="CA90" s="454">
        <f t="shared" si="38"/>
        <v>512.99999999999909</v>
      </c>
      <c r="CB90" s="419"/>
      <c r="CC90" s="419">
        <v>1</v>
      </c>
      <c r="CD90" s="419">
        <v>1</v>
      </c>
      <c r="CE90" s="419">
        <v>1</v>
      </c>
      <c r="CF90" s="419">
        <v>1</v>
      </c>
      <c r="CG90" s="420">
        <f>IFERROR((FE90/Z90%),0)</f>
        <v>0</v>
      </c>
      <c r="CH90" s="421">
        <f>IFERROR((FK90/Z90%),0)</f>
        <v>81.999996801737822</v>
      </c>
      <c r="CI90" s="414" t="s">
        <v>71</v>
      </c>
      <c r="CJ90" s="415"/>
      <c r="CK90" s="415"/>
      <c r="CL90" s="415"/>
      <c r="CM90" s="415"/>
      <c r="CN90" s="415"/>
      <c r="CO90" s="415"/>
      <c r="CP90" s="415"/>
      <c r="CQ90" s="415"/>
      <c r="CR90" s="415"/>
      <c r="CS90" s="415"/>
      <c r="CT90" s="415"/>
      <c r="CU90" s="415">
        <v>103</v>
      </c>
      <c r="CV90" s="410">
        <f t="shared" si="39"/>
        <v>103</v>
      </c>
      <c r="CW90" s="415"/>
      <c r="CX90" s="415"/>
      <c r="CY90" s="415"/>
      <c r="CZ90" s="415"/>
      <c r="DA90" s="415"/>
      <c r="DB90" s="415"/>
      <c r="DC90" s="415"/>
      <c r="DD90" s="415"/>
      <c r="DE90" s="415"/>
      <c r="DF90" s="415"/>
      <c r="DG90" s="415"/>
      <c r="DH90" s="415"/>
      <c r="DI90" s="410">
        <f t="shared" si="40"/>
        <v>0</v>
      </c>
      <c r="DJ90" s="415"/>
      <c r="DK90" s="415"/>
      <c r="DL90" s="415"/>
      <c r="DM90" s="415"/>
      <c r="DN90" s="415"/>
      <c r="DO90" s="415"/>
      <c r="DP90" s="415"/>
      <c r="DQ90" s="415"/>
      <c r="DR90" s="415"/>
      <c r="DS90" s="415"/>
      <c r="DT90" s="415"/>
      <c r="DU90" s="415"/>
      <c r="DV90" s="410">
        <f t="shared" si="41"/>
        <v>0</v>
      </c>
      <c r="DW90" s="415"/>
      <c r="DX90" s="415"/>
      <c r="DY90" s="415"/>
      <c r="DZ90" s="415"/>
      <c r="EA90" s="415"/>
      <c r="EB90" s="415"/>
      <c r="EC90" s="415"/>
      <c r="ED90" s="415"/>
      <c r="EE90" s="415"/>
      <c r="EF90" s="415"/>
      <c r="EG90" s="415"/>
      <c r="EH90" s="415"/>
      <c r="EI90" s="410">
        <f t="shared" si="42"/>
        <v>0</v>
      </c>
      <c r="EJ90" s="415"/>
      <c r="EK90" s="415"/>
      <c r="EL90" s="415"/>
      <c r="EM90" s="415"/>
      <c r="EN90" s="415"/>
      <c r="EO90" s="415"/>
      <c r="EP90" s="415"/>
      <c r="EQ90" s="415"/>
      <c r="ER90" s="415"/>
      <c r="ES90" s="415"/>
      <c r="ET90" s="415"/>
      <c r="EU90" s="415"/>
      <c r="EV90" s="410">
        <f t="shared" si="43"/>
        <v>0</v>
      </c>
      <c r="EW90" s="416">
        <f t="shared" si="44"/>
        <v>103</v>
      </c>
      <c r="EX90" s="417">
        <f>IFERROR(VLOOKUP(H90,CEI_012018!$A$1:$U$509,9,FALSE),0)</f>
        <v>0</v>
      </c>
      <c r="EY90" s="417">
        <f>IFERROR(VLOOKUP(H90,CEI_022018!$A$1:$U$509,9,FALSE),0)</f>
        <v>0</v>
      </c>
      <c r="EZ90" s="417">
        <f>IFERROR(VLOOKUP(H90,CEI_032018!$A$1:$U$509,9,FALSE),0)</f>
        <v>0</v>
      </c>
      <c r="FA90" s="417">
        <f>IFERROR(VLOOKUP(H90,CEI_042018!$A$1:$U$491,9,FALSE),0)</f>
        <v>0</v>
      </c>
      <c r="FB90" s="417">
        <f>IFERROR(VLOOKUP(H90,CEI_052018!$A$1:$U$489,9,FALSE),0)</f>
        <v>0</v>
      </c>
      <c r="FC90" s="417">
        <f>IFERROR(VLOOKUP(H90,CEI_062018!$A$1:$U$489,9,FALSE),0)</f>
        <v>0</v>
      </c>
      <c r="FD90" s="417">
        <f>IFERROR(VLOOKUP(H90,CEI_072018!$A$1:$U$489,9,FALSE),0)</f>
        <v>0</v>
      </c>
      <c r="FE90" s="417">
        <f>IFERROR(VLOOKUP(H90,CEI_082018!$A$1:$U$489,9,FALSE),0)</f>
        <v>0</v>
      </c>
      <c r="FF90" s="417">
        <f>IFERROR(VLOOKUP(H90,CEI_092018!$A$1:$U$489,9,FALSE),0)</f>
        <v>0</v>
      </c>
      <c r="FG90" s="417"/>
      <c r="FH90" s="417"/>
      <c r="FI90" s="417"/>
      <c r="FJ90" s="418">
        <f>IFERROR(VLOOKUP(H90,CEI_092018!$A$1:$U$489,12,FALSE),0)</f>
        <v>101.7168984413147</v>
      </c>
      <c r="FK90" s="418">
        <f t="shared" si="45"/>
        <v>101.7168984413147</v>
      </c>
      <c r="FL90" s="418">
        <f t="shared" si="46"/>
        <v>22.328104496001302</v>
      </c>
      <c r="FM90" s="417"/>
      <c r="FN90" s="417"/>
      <c r="FO90" s="417"/>
      <c r="FP90" s="417"/>
      <c r="FQ90" s="417"/>
      <c r="FR90" s="417"/>
      <c r="FS90" s="417"/>
      <c r="FT90" s="417"/>
      <c r="FU90" s="417"/>
      <c r="FV90" s="417"/>
      <c r="FW90" s="417"/>
      <c r="FX90" s="417"/>
      <c r="FY90" s="418"/>
      <c r="FZ90" s="418"/>
      <c r="GA90" s="418"/>
      <c r="GB90" s="417"/>
      <c r="GC90" s="417"/>
      <c r="GD90" s="417"/>
      <c r="GE90" s="417"/>
      <c r="GF90" s="417"/>
      <c r="GG90" s="417"/>
      <c r="GH90" s="417"/>
      <c r="GI90" s="417"/>
      <c r="GJ90" s="417"/>
      <c r="GK90" s="417"/>
      <c r="GL90" s="417"/>
      <c r="GM90" s="417"/>
      <c r="GN90" s="418"/>
      <c r="GO90" s="418"/>
      <c r="GP90" s="418"/>
      <c r="GQ90" s="417"/>
      <c r="GR90" s="417"/>
      <c r="GS90" s="417"/>
      <c r="GT90" s="417"/>
      <c r="GU90" s="417"/>
      <c r="GV90" s="417"/>
      <c r="GW90" s="417"/>
      <c r="GX90" s="417"/>
      <c r="GY90" s="417"/>
      <c r="GZ90" s="417"/>
      <c r="HA90" s="417"/>
      <c r="HB90" s="417"/>
      <c r="HC90" s="418"/>
      <c r="HD90" s="418"/>
      <c r="HE90" s="418"/>
      <c r="HF90" s="417"/>
      <c r="HG90" s="417"/>
      <c r="HH90" s="417"/>
      <c r="HI90" s="417"/>
      <c r="HJ90" s="417"/>
      <c r="HK90" s="417"/>
      <c r="HL90" s="417"/>
      <c r="HM90" s="417"/>
      <c r="HN90" s="417"/>
      <c r="HO90" s="417"/>
      <c r="HP90" s="417"/>
      <c r="HQ90" s="417"/>
      <c r="HR90" s="418"/>
      <c r="HS90" s="418"/>
      <c r="HT90" s="418"/>
    </row>
    <row r="91" spans="1:228" s="387" customFormat="1" ht="12.95" customHeight="1" x14ac:dyDescent="0.2">
      <c r="A91" s="406" t="s">
        <v>55</v>
      </c>
      <c r="B91" s="407" t="s">
        <v>39</v>
      </c>
      <c r="C91" s="406" t="s">
        <v>59</v>
      </c>
      <c r="D91" s="407" t="s">
        <v>1480</v>
      </c>
      <c r="E91" s="407" t="s">
        <v>59</v>
      </c>
      <c r="F91" s="407" t="s">
        <v>1480</v>
      </c>
      <c r="G91" s="406" t="s">
        <v>205</v>
      </c>
      <c r="H91" s="408" t="s">
        <v>520</v>
      </c>
      <c r="I91" s="408"/>
      <c r="J91" s="406" t="s">
        <v>1543</v>
      </c>
      <c r="K91" s="406" t="s">
        <v>1481</v>
      </c>
      <c r="L91" s="406" t="s">
        <v>209</v>
      </c>
      <c r="M91" s="406"/>
      <c r="N91" s="452">
        <v>0</v>
      </c>
      <c r="O91" s="452">
        <v>0</v>
      </c>
      <c r="P91" s="452">
        <v>0</v>
      </c>
      <c r="Q91" s="452">
        <v>0</v>
      </c>
      <c r="R91" s="452">
        <v>0</v>
      </c>
      <c r="S91" s="452">
        <v>0</v>
      </c>
      <c r="T91" s="452">
        <v>0</v>
      </c>
      <c r="U91" s="409">
        <v>0</v>
      </c>
      <c r="V91" s="409"/>
      <c r="W91" s="409"/>
      <c r="X91" s="409"/>
      <c r="Y91" s="409"/>
      <c r="Z91" s="453">
        <f t="shared" si="47"/>
        <v>0</v>
      </c>
      <c r="AA91" s="452"/>
      <c r="AB91" s="452"/>
      <c r="AC91" s="452"/>
      <c r="AD91" s="452"/>
      <c r="AE91" s="452"/>
      <c r="AF91" s="452"/>
      <c r="AG91" s="452"/>
      <c r="AH91" s="409"/>
      <c r="AI91" s="409"/>
      <c r="AJ91" s="409"/>
      <c r="AK91" s="409"/>
      <c r="AL91" s="409">
        <v>8</v>
      </c>
      <c r="AM91" s="453">
        <f t="shared" si="34"/>
        <v>8</v>
      </c>
      <c r="AN91" s="452"/>
      <c r="AO91" s="452"/>
      <c r="AP91" s="452"/>
      <c r="AQ91" s="452"/>
      <c r="AR91" s="452"/>
      <c r="AS91" s="452"/>
      <c r="AT91" s="452"/>
      <c r="AU91" s="409"/>
      <c r="AV91" s="409"/>
      <c r="AW91" s="409"/>
      <c r="AX91" s="409"/>
      <c r="AY91" s="409">
        <v>58</v>
      </c>
      <c r="AZ91" s="453">
        <f t="shared" si="35"/>
        <v>58</v>
      </c>
      <c r="BA91" s="452"/>
      <c r="BB91" s="452"/>
      <c r="BC91" s="452"/>
      <c r="BD91" s="452"/>
      <c r="BE91" s="452"/>
      <c r="BF91" s="452"/>
      <c r="BG91" s="452"/>
      <c r="BH91" s="409"/>
      <c r="BI91" s="409"/>
      <c r="BJ91" s="409"/>
      <c r="BK91" s="409"/>
      <c r="BL91" s="409">
        <v>8</v>
      </c>
      <c r="BM91" s="453">
        <f t="shared" si="36"/>
        <v>8</v>
      </c>
      <c r="BN91" s="452"/>
      <c r="BO91" s="452"/>
      <c r="BP91" s="452"/>
      <c r="BQ91" s="452"/>
      <c r="BR91" s="452"/>
      <c r="BS91" s="452"/>
      <c r="BT91" s="452"/>
      <c r="BU91" s="409"/>
      <c r="BV91" s="409"/>
      <c r="BW91" s="409"/>
      <c r="BX91" s="409"/>
      <c r="BY91" s="409">
        <v>58</v>
      </c>
      <c r="BZ91" s="453">
        <f t="shared" si="37"/>
        <v>58</v>
      </c>
      <c r="CA91" s="454">
        <f t="shared" si="38"/>
        <v>132</v>
      </c>
      <c r="CB91" s="411"/>
      <c r="CC91" s="411"/>
      <c r="CD91" s="411"/>
      <c r="CE91" s="411"/>
      <c r="CF91" s="411"/>
      <c r="CG91" s="412"/>
      <c r="CH91" s="413"/>
      <c r="CI91" s="414" t="s">
        <v>71</v>
      </c>
      <c r="CJ91" s="415"/>
      <c r="CK91" s="415"/>
      <c r="CL91" s="415"/>
      <c r="CM91" s="415"/>
      <c r="CN91" s="415"/>
      <c r="CO91" s="415"/>
      <c r="CP91" s="415"/>
      <c r="CQ91" s="415"/>
      <c r="CR91" s="415"/>
      <c r="CS91" s="415"/>
      <c r="CT91" s="415"/>
      <c r="CU91" s="415"/>
      <c r="CV91" s="410">
        <f t="shared" si="39"/>
        <v>0</v>
      </c>
      <c r="CW91" s="415"/>
      <c r="CX91" s="415"/>
      <c r="CY91" s="415"/>
      <c r="CZ91" s="415"/>
      <c r="DA91" s="415"/>
      <c r="DB91" s="415"/>
      <c r="DC91" s="415"/>
      <c r="DD91" s="415"/>
      <c r="DE91" s="415"/>
      <c r="DF91" s="415"/>
      <c r="DG91" s="415"/>
      <c r="DH91" s="415">
        <v>9</v>
      </c>
      <c r="DI91" s="410">
        <f t="shared" si="40"/>
        <v>9</v>
      </c>
      <c r="DJ91" s="415"/>
      <c r="DK91" s="415"/>
      <c r="DL91" s="415"/>
      <c r="DM91" s="415"/>
      <c r="DN91" s="415"/>
      <c r="DO91" s="415"/>
      <c r="DP91" s="415"/>
      <c r="DQ91" s="415"/>
      <c r="DR91" s="415"/>
      <c r="DS91" s="415"/>
      <c r="DT91" s="415"/>
      <c r="DU91" s="415">
        <v>28</v>
      </c>
      <c r="DV91" s="410">
        <f t="shared" si="41"/>
        <v>28</v>
      </c>
      <c r="DW91" s="415"/>
      <c r="DX91" s="415"/>
      <c r="DY91" s="415"/>
      <c r="DZ91" s="415"/>
      <c r="EA91" s="415"/>
      <c r="EB91" s="415"/>
      <c r="EC91" s="415"/>
      <c r="ED91" s="415"/>
      <c r="EE91" s="415"/>
      <c r="EF91" s="415"/>
      <c r="EG91" s="415"/>
      <c r="EH91" s="415">
        <v>3</v>
      </c>
      <c r="EI91" s="410">
        <f t="shared" si="42"/>
        <v>3</v>
      </c>
      <c r="EJ91" s="415"/>
      <c r="EK91" s="415"/>
      <c r="EL91" s="415"/>
      <c r="EM91" s="415"/>
      <c r="EN91" s="415"/>
      <c r="EO91" s="415"/>
      <c r="EP91" s="415"/>
      <c r="EQ91" s="415"/>
      <c r="ER91" s="415"/>
      <c r="ES91" s="415"/>
      <c r="ET91" s="415"/>
      <c r="EU91" s="415">
        <v>28</v>
      </c>
      <c r="EV91" s="410">
        <f t="shared" si="43"/>
        <v>28</v>
      </c>
      <c r="EW91" s="416">
        <f t="shared" si="44"/>
        <v>68</v>
      </c>
      <c r="EX91" s="417">
        <f>IFERROR(VLOOKUP(H91,CEI_012018!$A$1:$U$509,9,FALSE),0)</f>
        <v>0</v>
      </c>
      <c r="EY91" s="417">
        <f>IFERROR(VLOOKUP(H91,CEI_022018!$A$1:$U$509,9,FALSE),0)</f>
        <v>0</v>
      </c>
      <c r="EZ91" s="417">
        <f>IFERROR(VLOOKUP(H91,CEI_032018!$A$1:$U$509,9,FALSE),0)</f>
        <v>0</v>
      </c>
      <c r="FA91" s="417">
        <f>IFERROR(VLOOKUP(H91,CEI_042018!$A$1:$U$491,9,FALSE),0)</f>
        <v>0</v>
      </c>
      <c r="FB91" s="417">
        <f>IFERROR(VLOOKUP(H91,CEI_052018!$A$1:$U$489,9,FALSE),0)</f>
        <v>0</v>
      </c>
      <c r="FC91" s="417">
        <f>IFERROR(VLOOKUP(H91,CEI_062018!$A$1:$U$489,9,FALSE),0)</f>
        <v>0</v>
      </c>
      <c r="FD91" s="417">
        <f>IFERROR(VLOOKUP(H91,CEI_072018!$A$1:$U$489,9,FALSE),0)</f>
        <v>0</v>
      </c>
      <c r="FE91" s="417">
        <f>IFERROR(VLOOKUP(H91,CEI_082018!$A$1:$U$489,9,FALSE),0)</f>
        <v>0</v>
      </c>
      <c r="FF91" s="417">
        <f>IFERROR(VLOOKUP(H91,CEI_092018!$A$1:$U$489,9,FALSE),0)</f>
        <v>0</v>
      </c>
      <c r="FG91" s="417"/>
      <c r="FH91" s="417"/>
      <c r="FI91" s="417"/>
      <c r="FJ91" s="418">
        <f>IFERROR(VLOOKUP(H91,CEI_092018!$A$1:$U$489,12,FALSE),0)</f>
        <v>0</v>
      </c>
      <c r="FK91" s="418">
        <f t="shared" si="45"/>
        <v>0</v>
      </c>
      <c r="FL91" s="418">
        <f t="shared" si="46"/>
        <v>0</v>
      </c>
      <c r="FM91" s="417"/>
      <c r="FN91" s="417"/>
      <c r="FO91" s="417"/>
      <c r="FP91" s="417"/>
      <c r="FQ91" s="417"/>
      <c r="FR91" s="417"/>
      <c r="FS91" s="417"/>
      <c r="FT91" s="417"/>
      <c r="FU91" s="417"/>
      <c r="FV91" s="417"/>
      <c r="FW91" s="417"/>
      <c r="FX91" s="417"/>
      <c r="FY91" s="418"/>
      <c r="FZ91" s="418"/>
      <c r="GA91" s="418"/>
      <c r="GB91" s="417"/>
      <c r="GC91" s="417"/>
      <c r="GD91" s="417"/>
      <c r="GE91" s="417"/>
      <c r="GF91" s="417"/>
      <c r="GG91" s="417"/>
      <c r="GH91" s="417"/>
      <c r="GI91" s="417"/>
      <c r="GJ91" s="417"/>
      <c r="GK91" s="417"/>
      <c r="GL91" s="417"/>
      <c r="GM91" s="417"/>
      <c r="GN91" s="418"/>
      <c r="GO91" s="418"/>
      <c r="GP91" s="418"/>
      <c r="GQ91" s="417"/>
      <c r="GR91" s="417"/>
      <c r="GS91" s="417"/>
      <c r="GT91" s="417"/>
      <c r="GU91" s="417"/>
      <c r="GV91" s="417"/>
      <c r="GW91" s="417"/>
      <c r="GX91" s="417"/>
      <c r="GY91" s="417"/>
      <c r="GZ91" s="417"/>
      <c r="HA91" s="417"/>
      <c r="HB91" s="417"/>
      <c r="HC91" s="418"/>
      <c r="HD91" s="418"/>
      <c r="HE91" s="418"/>
      <c r="HF91" s="417"/>
      <c r="HG91" s="417"/>
      <c r="HH91" s="417"/>
      <c r="HI91" s="417"/>
      <c r="HJ91" s="417"/>
      <c r="HK91" s="417"/>
      <c r="HL91" s="417"/>
      <c r="HM91" s="417"/>
      <c r="HN91" s="417"/>
      <c r="HO91" s="417"/>
      <c r="HP91" s="417"/>
      <c r="HQ91" s="417"/>
      <c r="HR91" s="418"/>
      <c r="HS91" s="418"/>
      <c r="HT91" s="418"/>
    </row>
    <row r="92" spans="1:228" s="387" customFormat="1" ht="12.95" customHeight="1" x14ac:dyDescent="0.2">
      <c r="A92" s="406" t="s">
        <v>55</v>
      </c>
      <c r="B92" s="407" t="s">
        <v>39</v>
      </c>
      <c r="C92" s="406" t="s">
        <v>59</v>
      </c>
      <c r="D92" s="407" t="s">
        <v>1480</v>
      </c>
      <c r="E92" s="407" t="s">
        <v>59</v>
      </c>
      <c r="F92" s="407" t="s">
        <v>1480</v>
      </c>
      <c r="G92" s="406" t="s">
        <v>205</v>
      </c>
      <c r="H92" s="408" t="s">
        <v>520</v>
      </c>
      <c r="I92" s="408"/>
      <c r="J92" s="406" t="s">
        <v>267</v>
      </c>
      <c r="K92" s="406" t="s">
        <v>268</v>
      </c>
      <c r="L92" s="406" t="s">
        <v>269</v>
      </c>
      <c r="M92" s="406"/>
      <c r="N92" s="452">
        <v>0</v>
      </c>
      <c r="O92" s="452">
        <v>0</v>
      </c>
      <c r="P92" s="452">
        <v>0</v>
      </c>
      <c r="Q92" s="452">
        <v>0</v>
      </c>
      <c r="R92" s="452">
        <v>0</v>
      </c>
      <c r="S92" s="452">
        <v>0</v>
      </c>
      <c r="T92" s="452">
        <v>0</v>
      </c>
      <c r="U92" s="409">
        <v>0</v>
      </c>
      <c r="V92" s="409"/>
      <c r="W92" s="409"/>
      <c r="X92" s="409"/>
      <c r="Y92" s="409"/>
      <c r="Z92" s="453">
        <f t="shared" si="47"/>
        <v>0</v>
      </c>
      <c r="AA92" s="452"/>
      <c r="AB92" s="452"/>
      <c r="AC92" s="452"/>
      <c r="AD92" s="452"/>
      <c r="AE92" s="452"/>
      <c r="AF92" s="452"/>
      <c r="AG92" s="452"/>
      <c r="AH92" s="409"/>
      <c r="AI92" s="409"/>
      <c r="AJ92" s="409"/>
      <c r="AK92" s="409"/>
      <c r="AL92" s="409"/>
      <c r="AM92" s="453">
        <f t="shared" si="34"/>
        <v>0</v>
      </c>
      <c r="AN92" s="452"/>
      <c r="AO92" s="452"/>
      <c r="AP92" s="452"/>
      <c r="AQ92" s="452"/>
      <c r="AR92" s="452"/>
      <c r="AS92" s="452"/>
      <c r="AT92" s="452"/>
      <c r="AU92" s="409"/>
      <c r="AV92" s="409"/>
      <c r="AW92" s="409"/>
      <c r="AX92" s="409"/>
      <c r="AY92" s="409">
        <v>100</v>
      </c>
      <c r="AZ92" s="453">
        <f t="shared" si="35"/>
        <v>100</v>
      </c>
      <c r="BA92" s="452"/>
      <c r="BB92" s="452"/>
      <c r="BC92" s="452"/>
      <c r="BD92" s="452"/>
      <c r="BE92" s="452"/>
      <c r="BF92" s="452"/>
      <c r="BG92" s="452"/>
      <c r="BH92" s="409"/>
      <c r="BI92" s="409"/>
      <c r="BJ92" s="409"/>
      <c r="BK92" s="409"/>
      <c r="BL92" s="409">
        <v>160</v>
      </c>
      <c r="BM92" s="453">
        <f t="shared" si="36"/>
        <v>160</v>
      </c>
      <c r="BN92" s="452"/>
      <c r="BO92" s="452"/>
      <c r="BP92" s="452"/>
      <c r="BQ92" s="452"/>
      <c r="BR92" s="452"/>
      <c r="BS92" s="452"/>
      <c r="BT92" s="452"/>
      <c r="BU92" s="409"/>
      <c r="BV92" s="409"/>
      <c r="BW92" s="409"/>
      <c r="BX92" s="409"/>
      <c r="BY92" s="409">
        <v>160</v>
      </c>
      <c r="BZ92" s="453">
        <f t="shared" si="37"/>
        <v>160</v>
      </c>
      <c r="CA92" s="454">
        <f t="shared" si="38"/>
        <v>420</v>
      </c>
      <c r="CB92" s="411"/>
      <c r="CC92" s="411"/>
      <c r="CD92" s="411"/>
      <c r="CE92" s="411"/>
      <c r="CF92" s="411"/>
      <c r="CG92" s="412"/>
      <c r="CH92" s="413"/>
      <c r="CI92" s="414" t="s">
        <v>71</v>
      </c>
      <c r="CJ92" s="415"/>
      <c r="CK92" s="415"/>
      <c r="CL92" s="415"/>
      <c r="CM92" s="415"/>
      <c r="CN92" s="415"/>
      <c r="CO92" s="415"/>
      <c r="CP92" s="415"/>
      <c r="CQ92" s="415"/>
      <c r="CR92" s="415"/>
      <c r="CS92" s="415"/>
      <c r="CT92" s="415"/>
      <c r="CU92" s="415"/>
      <c r="CV92" s="410">
        <f t="shared" si="39"/>
        <v>0</v>
      </c>
      <c r="CW92" s="415"/>
      <c r="CX92" s="415"/>
      <c r="CY92" s="415"/>
      <c r="CZ92" s="415"/>
      <c r="DA92" s="415"/>
      <c r="DB92" s="415"/>
      <c r="DC92" s="415"/>
      <c r="DD92" s="415"/>
      <c r="DE92" s="415"/>
      <c r="DF92" s="415"/>
      <c r="DG92" s="415"/>
      <c r="DH92" s="415"/>
      <c r="DI92" s="410">
        <f t="shared" si="40"/>
        <v>0</v>
      </c>
      <c r="DJ92" s="415"/>
      <c r="DK92" s="415"/>
      <c r="DL92" s="415"/>
      <c r="DM92" s="415"/>
      <c r="DN92" s="415"/>
      <c r="DO92" s="415"/>
      <c r="DP92" s="415"/>
      <c r="DQ92" s="415"/>
      <c r="DR92" s="415"/>
      <c r="DS92" s="415"/>
      <c r="DT92" s="415"/>
      <c r="DU92" s="415">
        <v>1</v>
      </c>
      <c r="DV92" s="410">
        <f t="shared" si="41"/>
        <v>1</v>
      </c>
      <c r="DW92" s="415"/>
      <c r="DX92" s="415"/>
      <c r="DY92" s="415"/>
      <c r="DZ92" s="415"/>
      <c r="EA92" s="415"/>
      <c r="EB92" s="415"/>
      <c r="EC92" s="415"/>
      <c r="ED92" s="415"/>
      <c r="EE92" s="415"/>
      <c r="EF92" s="415"/>
      <c r="EG92" s="415"/>
      <c r="EH92" s="415">
        <v>1</v>
      </c>
      <c r="EI92" s="410">
        <f t="shared" si="42"/>
        <v>1</v>
      </c>
      <c r="EJ92" s="415"/>
      <c r="EK92" s="415"/>
      <c r="EL92" s="415"/>
      <c r="EM92" s="415"/>
      <c r="EN92" s="415"/>
      <c r="EO92" s="415"/>
      <c r="EP92" s="415"/>
      <c r="EQ92" s="415"/>
      <c r="ER92" s="415"/>
      <c r="ES92" s="415"/>
      <c r="ET92" s="415"/>
      <c r="EU92" s="415">
        <v>1</v>
      </c>
      <c r="EV92" s="410">
        <f t="shared" si="43"/>
        <v>1</v>
      </c>
      <c r="EW92" s="416">
        <f t="shared" si="44"/>
        <v>3</v>
      </c>
      <c r="EX92" s="417">
        <f>IFERROR(VLOOKUP(H92,CEI_012018!$A$1:$U$509,9,FALSE),0)</f>
        <v>0</v>
      </c>
      <c r="EY92" s="417">
        <f>IFERROR(VLOOKUP(H92,CEI_022018!$A$1:$U$509,9,FALSE),0)</f>
        <v>0</v>
      </c>
      <c r="EZ92" s="417">
        <f>IFERROR(VLOOKUP(H92,CEI_032018!$A$1:$U$509,9,FALSE),0)</f>
        <v>0</v>
      </c>
      <c r="FA92" s="417">
        <f>IFERROR(VLOOKUP(H92,CEI_042018!$A$1:$U$491,9,FALSE),0)</f>
        <v>0</v>
      </c>
      <c r="FB92" s="417">
        <f>IFERROR(VLOOKUP(H92,CEI_052018!$A$1:$U$489,9,FALSE),0)</f>
        <v>0</v>
      </c>
      <c r="FC92" s="417">
        <f>IFERROR(VLOOKUP(H92,CEI_062018!$A$1:$U$489,9,FALSE),0)</f>
        <v>0</v>
      </c>
      <c r="FD92" s="417">
        <f>IFERROR(VLOOKUP(H92,CEI_072018!$A$1:$U$489,9,FALSE),0)</f>
        <v>0</v>
      </c>
      <c r="FE92" s="417">
        <f>IFERROR(VLOOKUP(H92,CEI_082018!$A$1:$U$489,9,FALSE),0)</f>
        <v>0</v>
      </c>
      <c r="FF92" s="417">
        <f>IFERROR(VLOOKUP(H92,CEI_092018!$A$1:$U$489,9,FALSE),0)</f>
        <v>0</v>
      </c>
      <c r="FG92" s="417"/>
      <c r="FH92" s="417"/>
      <c r="FI92" s="417"/>
      <c r="FJ92" s="418">
        <f>IFERROR(VLOOKUP(H92,CEI_092018!$A$1:$U$489,12,FALSE),0)</f>
        <v>0</v>
      </c>
      <c r="FK92" s="418">
        <f t="shared" si="45"/>
        <v>0</v>
      </c>
      <c r="FL92" s="418">
        <f t="shared" si="46"/>
        <v>0</v>
      </c>
      <c r="FM92" s="417"/>
      <c r="FN92" s="417"/>
      <c r="FO92" s="417"/>
      <c r="FP92" s="417"/>
      <c r="FQ92" s="417"/>
      <c r="FR92" s="417"/>
      <c r="FS92" s="417"/>
      <c r="FT92" s="417"/>
      <c r="FU92" s="417"/>
      <c r="FV92" s="417"/>
      <c r="FW92" s="417"/>
      <c r="FX92" s="417"/>
      <c r="FY92" s="418"/>
      <c r="FZ92" s="418"/>
      <c r="GA92" s="418"/>
      <c r="GB92" s="417"/>
      <c r="GC92" s="417"/>
      <c r="GD92" s="417"/>
      <c r="GE92" s="417"/>
      <c r="GF92" s="417"/>
      <c r="GG92" s="417"/>
      <c r="GH92" s="417"/>
      <c r="GI92" s="417"/>
      <c r="GJ92" s="417"/>
      <c r="GK92" s="417"/>
      <c r="GL92" s="417"/>
      <c r="GM92" s="417"/>
      <c r="GN92" s="418"/>
      <c r="GO92" s="418"/>
      <c r="GP92" s="418"/>
      <c r="GQ92" s="417"/>
      <c r="GR92" s="417"/>
      <c r="GS92" s="417"/>
      <c r="GT92" s="417"/>
      <c r="GU92" s="417"/>
      <c r="GV92" s="417"/>
      <c r="GW92" s="417"/>
      <c r="GX92" s="417"/>
      <c r="GY92" s="417"/>
      <c r="GZ92" s="417"/>
      <c r="HA92" s="417"/>
      <c r="HB92" s="417"/>
      <c r="HC92" s="418"/>
      <c r="HD92" s="418"/>
      <c r="HE92" s="418"/>
      <c r="HF92" s="417"/>
      <c r="HG92" s="417"/>
      <c r="HH92" s="417"/>
      <c r="HI92" s="417"/>
      <c r="HJ92" s="417"/>
      <c r="HK92" s="417"/>
      <c r="HL92" s="417"/>
      <c r="HM92" s="417"/>
      <c r="HN92" s="417"/>
      <c r="HO92" s="417"/>
      <c r="HP92" s="417"/>
      <c r="HQ92" s="417"/>
      <c r="HR92" s="418"/>
      <c r="HS92" s="418"/>
      <c r="HT92" s="418"/>
    </row>
    <row r="93" spans="1:228" s="387" customFormat="1" ht="12.95" customHeight="1" x14ac:dyDescent="0.2">
      <c r="A93" s="406" t="s">
        <v>52</v>
      </c>
      <c r="B93" s="407" t="s">
        <v>27</v>
      </c>
      <c r="C93" s="406" t="s">
        <v>56</v>
      </c>
      <c r="D93" s="407" t="s">
        <v>271</v>
      </c>
      <c r="E93" s="407" t="s">
        <v>56</v>
      </c>
      <c r="F93" s="407" t="s">
        <v>271</v>
      </c>
      <c r="G93" s="406" t="s">
        <v>54</v>
      </c>
      <c r="H93" s="408" t="s">
        <v>520</v>
      </c>
      <c r="I93" s="408"/>
      <c r="J93" s="406" t="s">
        <v>1466</v>
      </c>
      <c r="K93" s="406" t="s">
        <v>1467</v>
      </c>
      <c r="L93" s="406" t="s">
        <v>1468</v>
      </c>
      <c r="M93" s="406"/>
      <c r="N93" s="452">
        <v>0</v>
      </c>
      <c r="O93" s="452">
        <v>0</v>
      </c>
      <c r="P93" s="452">
        <v>0</v>
      </c>
      <c r="Q93" s="452">
        <v>0</v>
      </c>
      <c r="R93" s="452">
        <v>0</v>
      </c>
      <c r="S93" s="452">
        <v>0</v>
      </c>
      <c r="T93" s="452">
        <v>0</v>
      </c>
      <c r="U93" s="409">
        <v>0</v>
      </c>
      <c r="V93" s="409"/>
      <c r="W93" s="409"/>
      <c r="X93" s="409"/>
      <c r="Y93" s="409"/>
      <c r="Z93" s="453">
        <f t="shared" si="47"/>
        <v>0</v>
      </c>
      <c r="AA93" s="452"/>
      <c r="AB93" s="452"/>
      <c r="AC93" s="452"/>
      <c r="AD93" s="452"/>
      <c r="AE93" s="452"/>
      <c r="AF93" s="452"/>
      <c r="AG93" s="452"/>
      <c r="AH93" s="409">
        <v>55</v>
      </c>
      <c r="AI93" s="409"/>
      <c r="AJ93" s="409"/>
      <c r="AK93" s="409"/>
      <c r="AL93" s="409"/>
      <c r="AM93" s="453">
        <f t="shared" si="34"/>
        <v>55</v>
      </c>
      <c r="AN93" s="452"/>
      <c r="AO93" s="452"/>
      <c r="AP93" s="452"/>
      <c r="AQ93" s="452"/>
      <c r="AR93" s="452">
        <v>60</v>
      </c>
      <c r="AS93" s="452"/>
      <c r="AT93" s="452"/>
      <c r="AU93" s="409"/>
      <c r="AV93" s="409"/>
      <c r="AW93" s="409"/>
      <c r="AX93" s="409"/>
      <c r="AY93" s="409"/>
      <c r="AZ93" s="453">
        <f t="shared" si="35"/>
        <v>60</v>
      </c>
      <c r="BA93" s="452"/>
      <c r="BB93" s="452"/>
      <c r="BC93" s="452"/>
      <c r="BD93" s="452"/>
      <c r="BE93" s="452">
        <v>55</v>
      </c>
      <c r="BF93" s="452"/>
      <c r="BG93" s="452"/>
      <c r="BH93" s="409"/>
      <c r="BI93" s="409"/>
      <c r="BJ93" s="409"/>
      <c r="BK93" s="409"/>
      <c r="BL93" s="409"/>
      <c r="BM93" s="453">
        <f t="shared" si="36"/>
        <v>55</v>
      </c>
      <c r="BN93" s="452"/>
      <c r="BO93" s="452"/>
      <c r="BP93" s="452"/>
      <c r="BQ93" s="452"/>
      <c r="BR93" s="452">
        <v>55</v>
      </c>
      <c r="BS93" s="452"/>
      <c r="BT93" s="452"/>
      <c r="BU93" s="409"/>
      <c r="BV93" s="409"/>
      <c r="BW93" s="409"/>
      <c r="BX93" s="409"/>
      <c r="BY93" s="409"/>
      <c r="BZ93" s="453">
        <f t="shared" si="37"/>
        <v>55</v>
      </c>
      <c r="CA93" s="454">
        <f t="shared" si="38"/>
        <v>225</v>
      </c>
      <c r="CB93" s="411"/>
      <c r="CC93" s="411"/>
      <c r="CD93" s="411"/>
      <c r="CE93" s="411"/>
      <c r="CF93" s="411"/>
      <c r="CG93" s="412"/>
      <c r="CH93" s="413"/>
      <c r="CI93" s="414" t="s">
        <v>71</v>
      </c>
      <c r="CJ93" s="415"/>
      <c r="CK93" s="415"/>
      <c r="CL93" s="415"/>
      <c r="CM93" s="415"/>
      <c r="CN93" s="415"/>
      <c r="CO93" s="415"/>
      <c r="CP93" s="415"/>
      <c r="CQ93" s="415"/>
      <c r="CR93" s="415"/>
      <c r="CS93" s="415"/>
      <c r="CT93" s="415"/>
      <c r="CU93" s="415"/>
      <c r="CV93" s="410">
        <f t="shared" si="39"/>
        <v>0</v>
      </c>
      <c r="CW93" s="415"/>
      <c r="CX93" s="415"/>
      <c r="CY93" s="415"/>
      <c r="CZ93" s="415"/>
      <c r="DA93" s="415"/>
      <c r="DB93" s="415"/>
      <c r="DC93" s="415"/>
      <c r="DD93" s="415"/>
      <c r="DE93" s="415"/>
      <c r="DF93" s="415"/>
      <c r="DG93" s="415"/>
      <c r="DH93" s="415"/>
      <c r="DI93" s="410">
        <f t="shared" si="40"/>
        <v>0</v>
      </c>
      <c r="DJ93" s="415"/>
      <c r="DK93" s="415"/>
      <c r="DL93" s="415"/>
      <c r="DM93" s="415"/>
      <c r="DN93" s="415"/>
      <c r="DO93" s="415"/>
      <c r="DP93" s="415"/>
      <c r="DQ93" s="415">
        <v>18</v>
      </c>
      <c r="DR93" s="415"/>
      <c r="DS93" s="415"/>
      <c r="DT93" s="415"/>
      <c r="DU93" s="415"/>
      <c r="DV93" s="410">
        <f t="shared" si="41"/>
        <v>18</v>
      </c>
      <c r="DW93" s="415"/>
      <c r="DX93" s="415"/>
      <c r="DY93" s="415"/>
      <c r="DZ93" s="415"/>
      <c r="EA93" s="415"/>
      <c r="EB93" s="415"/>
      <c r="EC93" s="415"/>
      <c r="ED93" s="415">
        <v>2</v>
      </c>
      <c r="EE93" s="415"/>
      <c r="EF93" s="415"/>
      <c r="EG93" s="415"/>
      <c r="EH93" s="415"/>
      <c r="EI93" s="410">
        <f t="shared" si="42"/>
        <v>2</v>
      </c>
      <c r="EJ93" s="415"/>
      <c r="EK93" s="415"/>
      <c r="EL93" s="415"/>
      <c r="EM93" s="415"/>
      <c r="EN93" s="415"/>
      <c r="EO93" s="415"/>
      <c r="EP93" s="415"/>
      <c r="EQ93" s="415">
        <v>28</v>
      </c>
      <c r="ER93" s="415"/>
      <c r="ES93" s="415"/>
      <c r="ET93" s="415"/>
      <c r="EU93" s="415"/>
      <c r="EV93" s="410">
        <f t="shared" si="43"/>
        <v>28</v>
      </c>
      <c r="EW93" s="416">
        <f t="shared" si="44"/>
        <v>48</v>
      </c>
      <c r="EX93" s="417">
        <f>IFERROR(VLOOKUP(H93,CEI_012018!$A$1:$U$509,9,FALSE),0)</f>
        <v>0</v>
      </c>
      <c r="EY93" s="417">
        <f>IFERROR(VLOOKUP(H93,CEI_022018!$A$1:$U$509,9,FALSE),0)</f>
        <v>0</v>
      </c>
      <c r="EZ93" s="417">
        <f>IFERROR(VLOOKUP(H93,CEI_032018!$A$1:$U$509,9,FALSE),0)</f>
        <v>0</v>
      </c>
      <c r="FA93" s="417">
        <f>IFERROR(VLOOKUP(H93,CEI_042018!$A$1:$U$491,9,FALSE),0)</f>
        <v>0</v>
      </c>
      <c r="FB93" s="417">
        <f>IFERROR(VLOOKUP(H93,CEI_052018!$A$1:$U$489,9,FALSE),0)</f>
        <v>0</v>
      </c>
      <c r="FC93" s="417">
        <f>IFERROR(VLOOKUP(H93,CEI_062018!$A$1:$U$489,9,FALSE),0)</f>
        <v>0</v>
      </c>
      <c r="FD93" s="417">
        <f>IFERROR(VLOOKUP(H93,CEI_072018!$A$1:$U$489,9,FALSE),0)</f>
        <v>0</v>
      </c>
      <c r="FE93" s="417">
        <f>IFERROR(VLOOKUP(H93,CEI_082018!$A$1:$U$489,9,FALSE),0)</f>
        <v>0</v>
      </c>
      <c r="FF93" s="417">
        <f>IFERROR(VLOOKUP(H93,CEI_092018!$A$1:$U$489,9,FALSE),0)</f>
        <v>0</v>
      </c>
      <c r="FG93" s="417"/>
      <c r="FH93" s="417"/>
      <c r="FI93" s="417"/>
      <c r="FJ93" s="418">
        <f>IFERROR(VLOOKUP(H93,CEI_092018!$A$1:$U$489,12,FALSE),0)</f>
        <v>0</v>
      </c>
      <c r="FK93" s="418">
        <f t="shared" si="45"/>
        <v>0</v>
      </c>
      <c r="FL93" s="418">
        <f t="shared" si="46"/>
        <v>0</v>
      </c>
      <c r="FM93" s="417"/>
      <c r="FN93" s="417"/>
      <c r="FO93" s="417"/>
      <c r="FP93" s="417"/>
      <c r="FQ93" s="417"/>
      <c r="FR93" s="417"/>
      <c r="FS93" s="417"/>
      <c r="FT93" s="417"/>
      <c r="FU93" s="417"/>
      <c r="FV93" s="417"/>
      <c r="FW93" s="417"/>
      <c r="FX93" s="417"/>
      <c r="FY93" s="418"/>
      <c r="FZ93" s="418"/>
      <c r="GA93" s="418"/>
      <c r="GB93" s="417"/>
      <c r="GC93" s="417"/>
      <c r="GD93" s="417"/>
      <c r="GE93" s="417"/>
      <c r="GF93" s="417"/>
      <c r="GG93" s="417"/>
      <c r="GH93" s="417"/>
      <c r="GI93" s="417"/>
      <c r="GJ93" s="417"/>
      <c r="GK93" s="417"/>
      <c r="GL93" s="417"/>
      <c r="GM93" s="417"/>
      <c r="GN93" s="418"/>
      <c r="GO93" s="418"/>
      <c r="GP93" s="418"/>
      <c r="GQ93" s="417"/>
      <c r="GR93" s="417"/>
      <c r="GS93" s="417"/>
      <c r="GT93" s="417"/>
      <c r="GU93" s="417"/>
      <c r="GV93" s="417"/>
      <c r="GW93" s="417"/>
      <c r="GX93" s="417"/>
      <c r="GY93" s="417"/>
      <c r="GZ93" s="417"/>
      <c r="HA93" s="417"/>
      <c r="HB93" s="417"/>
      <c r="HC93" s="418"/>
      <c r="HD93" s="418"/>
      <c r="HE93" s="418"/>
      <c r="HF93" s="417"/>
      <c r="HG93" s="417"/>
      <c r="HH93" s="417"/>
      <c r="HI93" s="417"/>
      <c r="HJ93" s="417"/>
      <c r="HK93" s="417"/>
      <c r="HL93" s="417"/>
      <c r="HM93" s="417"/>
      <c r="HN93" s="417"/>
      <c r="HO93" s="417"/>
      <c r="HP93" s="417"/>
      <c r="HQ93" s="417"/>
      <c r="HR93" s="418"/>
      <c r="HS93" s="418"/>
      <c r="HT93" s="418"/>
    </row>
    <row r="94" spans="1:228" s="387" customFormat="1" ht="12.95" customHeight="1" x14ac:dyDescent="0.2">
      <c r="A94" s="406" t="s">
        <v>52</v>
      </c>
      <c r="B94" s="407" t="s">
        <v>27</v>
      </c>
      <c r="C94" s="406" t="s">
        <v>56</v>
      </c>
      <c r="D94" s="407" t="s">
        <v>271</v>
      </c>
      <c r="E94" s="407" t="s">
        <v>56</v>
      </c>
      <c r="F94" s="407" t="s">
        <v>271</v>
      </c>
      <c r="G94" s="406" t="s">
        <v>54</v>
      </c>
      <c r="H94" s="408" t="s">
        <v>1469</v>
      </c>
      <c r="I94" s="408" t="s">
        <v>1470</v>
      </c>
      <c r="J94" s="406" t="s">
        <v>1478</v>
      </c>
      <c r="K94" s="406" t="s">
        <v>1467</v>
      </c>
      <c r="L94" s="406" t="s">
        <v>1468</v>
      </c>
      <c r="M94" s="406"/>
      <c r="N94" s="452">
        <v>0</v>
      </c>
      <c r="O94" s="452">
        <v>0</v>
      </c>
      <c r="P94" s="452">
        <v>0</v>
      </c>
      <c r="Q94" s="452">
        <v>0</v>
      </c>
      <c r="R94" s="452">
        <v>0</v>
      </c>
      <c r="S94" s="452">
        <v>1.6000000238418579</v>
      </c>
      <c r="T94" s="452">
        <v>0</v>
      </c>
      <c r="U94" s="409">
        <v>27.184600830078125</v>
      </c>
      <c r="V94" s="409">
        <v>91</v>
      </c>
      <c r="W94" s="409"/>
      <c r="X94" s="409"/>
      <c r="Y94" s="409">
        <f>12.2153991460799-4.62</f>
        <v>7.5953991460798997</v>
      </c>
      <c r="Z94" s="453">
        <f t="shared" si="47"/>
        <v>127.37999999999988</v>
      </c>
      <c r="AA94" s="452"/>
      <c r="AB94" s="452"/>
      <c r="AC94" s="452"/>
      <c r="AD94" s="452"/>
      <c r="AE94" s="452"/>
      <c r="AF94" s="452"/>
      <c r="AG94" s="452"/>
      <c r="AH94" s="409"/>
      <c r="AI94" s="409"/>
      <c r="AJ94" s="409"/>
      <c r="AK94" s="409"/>
      <c r="AL94" s="409"/>
      <c r="AM94" s="453">
        <f t="shared" si="34"/>
        <v>0</v>
      </c>
      <c r="AN94" s="452"/>
      <c r="AO94" s="452"/>
      <c r="AP94" s="452"/>
      <c r="AQ94" s="452"/>
      <c r="AR94" s="452"/>
      <c r="AS94" s="452"/>
      <c r="AT94" s="452"/>
      <c r="AU94" s="409"/>
      <c r="AV94" s="409"/>
      <c r="AW94" s="409"/>
      <c r="AX94" s="409"/>
      <c r="AY94" s="409"/>
      <c r="AZ94" s="453">
        <f t="shared" si="35"/>
        <v>0</v>
      </c>
      <c r="BA94" s="452"/>
      <c r="BB94" s="452"/>
      <c r="BC94" s="452"/>
      <c r="BD94" s="452"/>
      <c r="BE94" s="452"/>
      <c r="BF94" s="452"/>
      <c r="BG94" s="452"/>
      <c r="BH94" s="409"/>
      <c r="BI94" s="409"/>
      <c r="BJ94" s="409"/>
      <c r="BK94" s="409"/>
      <c r="BL94" s="409"/>
      <c r="BM94" s="453">
        <f t="shared" si="36"/>
        <v>0</v>
      </c>
      <c r="BN94" s="452"/>
      <c r="BO94" s="452"/>
      <c r="BP94" s="452"/>
      <c r="BQ94" s="452"/>
      <c r="BR94" s="452"/>
      <c r="BS94" s="452"/>
      <c r="BT94" s="452"/>
      <c r="BU94" s="409"/>
      <c r="BV94" s="409"/>
      <c r="BW94" s="409"/>
      <c r="BX94" s="409"/>
      <c r="BY94" s="409"/>
      <c r="BZ94" s="453">
        <f t="shared" si="37"/>
        <v>0</v>
      </c>
      <c r="CA94" s="454">
        <f t="shared" si="38"/>
        <v>127.37999999999988</v>
      </c>
      <c r="CB94" s="419"/>
      <c r="CC94" s="419">
        <v>1</v>
      </c>
      <c r="CD94" s="419">
        <v>1</v>
      </c>
      <c r="CE94" s="419">
        <v>1</v>
      </c>
      <c r="CF94" s="419">
        <v>1</v>
      </c>
      <c r="CG94" s="420">
        <f>IFERROR((FE94/Z94%),0)</f>
        <v>22.597425697848966</v>
      </c>
      <c r="CH94" s="420">
        <f>IFERROR((FK94/Z94%),0)</f>
        <v>93.8234837018896</v>
      </c>
      <c r="CI94" s="414" t="s">
        <v>71</v>
      </c>
      <c r="CJ94" s="415"/>
      <c r="CK94" s="415"/>
      <c r="CL94" s="415"/>
      <c r="CM94" s="415"/>
      <c r="CN94" s="415"/>
      <c r="CO94" s="415"/>
      <c r="CP94" s="415"/>
      <c r="CQ94" s="415">
        <v>44</v>
      </c>
      <c r="CR94" s="415"/>
      <c r="CS94" s="415"/>
      <c r="CT94" s="415"/>
      <c r="CU94" s="415"/>
      <c r="CV94" s="410">
        <f t="shared" si="39"/>
        <v>44</v>
      </c>
      <c r="CW94" s="415"/>
      <c r="CX94" s="415"/>
      <c r="CY94" s="415"/>
      <c r="CZ94" s="415"/>
      <c r="DA94" s="415"/>
      <c r="DB94" s="415"/>
      <c r="DC94" s="415"/>
      <c r="DD94" s="415"/>
      <c r="DE94" s="415"/>
      <c r="DF94" s="415"/>
      <c r="DG94" s="415"/>
      <c r="DH94" s="415"/>
      <c r="DI94" s="410">
        <f t="shared" si="40"/>
        <v>0</v>
      </c>
      <c r="DJ94" s="415"/>
      <c r="DK94" s="415"/>
      <c r="DL94" s="415"/>
      <c r="DM94" s="415"/>
      <c r="DN94" s="415"/>
      <c r="DO94" s="415"/>
      <c r="DP94" s="415"/>
      <c r="DQ94" s="415"/>
      <c r="DR94" s="415"/>
      <c r="DS94" s="415"/>
      <c r="DT94" s="415"/>
      <c r="DU94" s="415"/>
      <c r="DV94" s="410">
        <f t="shared" si="41"/>
        <v>0</v>
      </c>
      <c r="DW94" s="415"/>
      <c r="DX94" s="415"/>
      <c r="DY94" s="415"/>
      <c r="DZ94" s="415"/>
      <c r="EA94" s="415"/>
      <c r="EB94" s="415"/>
      <c r="EC94" s="415"/>
      <c r="ED94" s="415"/>
      <c r="EE94" s="415"/>
      <c r="EF94" s="415"/>
      <c r="EG94" s="415"/>
      <c r="EH94" s="415"/>
      <c r="EI94" s="410">
        <f t="shared" si="42"/>
        <v>0</v>
      </c>
      <c r="EJ94" s="415"/>
      <c r="EK94" s="415"/>
      <c r="EL94" s="415"/>
      <c r="EM94" s="415"/>
      <c r="EN94" s="415"/>
      <c r="EO94" s="415"/>
      <c r="EP94" s="415"/>
      <c r="EQ94" s="415"/>
      <c r="ER94" s="415"/>
      <c r="ES94" s="415"/>
      <c r="ET94" s="415"/>
      <c r="EU94" s="415"/>
      <c r="EV94" s="410">
        <f t="shared" si="43"/>
        <v>0</v>
      </c>
      <c r="EW94" s="416">
        <f t="shared" si="44"/>
        <v>44</v>
      </c>
      <c r="EX94" s="417">
        <f>IFERROR(VLOOKUP(H94,CEI_012018!$A$1:$U$509,9,FALSE),0)</f>
        <v>0</v>
      </c>
      <c r="EY94" s="417">
        <f>IFERROR(VLOOKUP(H94,CEI_022018!$A$1:$U$509,9,FALSE),0)</f>
        <v>0</v>
      </c>
      <c r="EZ94" s="417">
        <f>IFERROR(VLOOKUP(H94,CEI_032018!$A$1:$U$509,9,FALSE),0)</f>
        <v>0</v>
      </c>
      <c r="FA94" s="417">
        <f>IFERROR(VLOOKUP(H94,CEI_042018!$A$1:$U$491,9,FALSE),0)</f>
        <v>0</v>
      </c>
      <c r="FB94" s="417">
        <f>IFERROR(VLOOKUP(H94,CEI_052018!$A$1:$U$489,9,FALSE),0)</f>
        <v>0</v>
      </c>
      <c r="FC94" s="417">
        <f>IFERROR(VLOOKUP(H94,CEI_062018!$A$1:$U$489,9,FALSE),0)</f>
        <v>1.6000000238418579</v>
      </c>
      <c r="FD94" s="417">
        <f>IFERROR(VLOOKUP(H94,CEI_072018!$A$1:$U$489,9,FALSE),0)</f>
        <v>1.6000000238418579</v>
      </c>
      <c r="FE94" s="417">
        <f>IFERROR(VLOOKUP(H94,CEI_082018!$A$1:$U$489,9,FALSE),0)</f>
        <v>28.784600853919983</v>
      </c>
      <c r="FF94" s="417">
        <f>IFERROR(VLOOKUP(H94,CEI_092018!$A$1:$U$489,9,FALSE),0)</f>
        <v>106.28385317325592</v>
      </c>
      <c r="FG94" s="417"/>
      <c r="FH94" s="417"/>
      <c r="FI94" s="417"/>
      <c r="FJ94" s="418">
        <f>IFERROR(VLOOKUP(H94,CEI_092018!$A$1:$U$489,12,FALSE),0)</f>
        <v>13.228500366210938</v>
      </c>
      <c r="FK94" s="418">
        <f t="shared" si="45"/>
        <v>119.51235353946686</v>
      </c>
      <c r="FL94" s="418">
        <f t="shared" si="46"/>
        <v>7.8676464605330239</v>
      </c>
      <c r="FM94" s="417"/>
      <c r="FN94" s="417"/>
      <c r="FO94" s="417"/>
      <c r="FP94" s="417"/>
      <c r="FQ94" s="417"/>
      <c r="FR94" s="417"/>
      <c r="FS94" s="417"/>
      <c r="FT94" s="417"/>
      <c r="FU94" s="417"/>
      <c r="FV94" s="417"/>
      <c r="FW94" s="417"/>
      <c r="FX94" s="417"/>
      <c r="FY94" s="418"/>
      <c r="FZ94" s="418"/>
      <c r="GA94" s="418"/>
      <c r="GB94" s="417"/>
      <c r="GC94" s="417"/>
      <c r="GD94" s="417"/>
      <c r="GE94" s="417"/>
      <c r="GF94" s="417"/>
      <c r="GG94" s="417"/>
      <c r="GH94" s="417"/>
      <c r="GI94" s="417"/>
      <c r="GJ94" s="417"/>
      <c r="GK94" s="417"/>
      <c r="GL94" s="417"/>
      <c r="GM94" s="417"/>
      <c r="GN94" s="418"/>
      <c r="GO94" s="418"/>
      <c r="GP94" s="418"/>
      <c r="GQ94" s="417"/>
      <c r="GR94" s="417"/>
      <c r="GS94" s="417"/>
      <c r="GT94" s="417"/>
      <c r="GU94" s="417"/>
      <c r="GV94" s="417"/>
      <c r="GW94" s="417"/>
      <c r="GX94" s="417"/>
      <c r="GY94" s="417"/>
      <c r="GZ94" s="417"/>
      <c r="HA94" s="417"/>
      <c r="HB94" s="417"/>
      <c r="HC94" s="418"/>
      <c r="HD94" s="418"/>
      <c r="HE94" s="418"/>
      <c r="HF94" s="417"/>
      <c r="HG94" s="417"/>
      <c r="HH94" s="417"/>
      <c r="HI94" s="417"/>
      <c r="HJ94" s="417"/>
      <c r="HK94" s="417"/>
      <c r="HL94" s="417"/>
      <c r="HM94" s="417"/>
      <c r="HN94" s="417"/>
      <c r="HO94" s="417"/>
      <c r="HP94" s="417"/>
      <c r="HQ94" s="417"/>
      <c r="HR94" s="418"/>
      <c r="HS94" s="418"/>
      <c r="HT94" s="418"/>
    </row>
    <row r="95" spans="1:228" s="387" customFormat="1" ht="12.95" customHeight="1" x14ac:dyDescent="0.2">
      <c r="A95" s="406" t="s">
        <v>52</v>
      </c>
      <c r="B95" s="407" t="s">
        <v>27</v>
      </c>
      <c r="C95" s="406" t="s">
        <v>56</v>
      </c>
      <c r="D95" s="407" t="s">
        <v>271</v>
      </c>
      <c r="E95" s="407" t="s">
        <v>56</v>
      </c>
      <c r="F95" s="407" t="s">
        <v>271</v>
      </c>
      <c r="G95" s="406" t="s">
        <v>54</v>
      </c>
      <c r="H95" s="408" t="s">
        <v>520</v>
      </c>
      <c r="I95" s="408" t="s">
        <v>1843</v>
      </c>
      <c r="J95" s="406" t="s">
        <v>624</v>
      </c>
      <c r="K95" s="406" t="s">
        <v>440</v>
      </c>
      <c r="L95" s="406" t="s">
        <v>441</v>
      </c>
      <c r="M95" s="406"/>
      <c r="N95" s="452">
        <v>0</v>
      </c>
      <c r="O95" s="452">
        <v>0</v>
      </c>
      <c r="P95" s="452">
        <v>0</v>
      </c>
      <c r="Q95" s="452">
        <v>0</v>
      </c>
      <c r="R95" s="452">
        <v>0</v>
      </c>
      <c r="S95" s="452">
        <v>0</v>
      </c>
      <c r="T95" s="452">
        <v>0</v>
      </c>
      <c r="U95" s="409">
        <v>0</v>
      </c>
      <c r="V95" s="409"/>
      <c r="W95" s="409"/>
      <c r="X95" s="409"/>
      <c r="Y95" s="409"/>
      <c r="Z95" s="453">
        <f t="shared" si="47"/>
        <v>0</v>
      </c>
      <c r="AA95" s="452"/>
      <c r="AB95" s="452"/>
      <c r="AC95" s="452"/>
      <c r="AD95" s="452"/>
      <c r="AE95" s="452"/>
      <c r="AF95" s="452"/>
      <c r="AG95" s="452"/>
      <c r="AH95" s="409"/>
      <c r="AI95" s="409"/>
      <c r="AJ95" s="409"/>
      <c r="AK95" s="409"/>
      <c r="AL95" s="409"/>
      <c r="AM95" s="453">
        <f t="shared" si="34"/>
        <v>0</v>
      </c>
      <c r="AN95" s="452"/>
      <c r="AO95" s="452"/>
      <c r="AP95" s="452"/>
      <c r="AQ95" s="452"/>
      <c r="AR95" s="452"/>
      <c r="AS95" s="452"/>
      <c r="AT95" s="452"/>
      <c r="AU95" s="409">
        <f>30+94</f>
        <v>124</v>
      </c>
      <c r="AV95" s="409"/>
      <c r="AW95" s="409"/>
      <c r="AX95" s="409"/>
      <c r="AY95" s="409"/>
      <c r="AZ95" s="453">
        <f t="shared" si="35"/>
        <v>124</v>
      </c>
      <c r="BA95" s="452"/>
      <c r="BB95" s="452"/>
      <c r="BC95" s="452"/>
      <c r="BD95" s="452"/>
      <c r="BE95" s="452"/>
      <c r="BF95" s="452"/>
      <c r="BG95" s="452"/>
      <c r="BH95" s="409"/>
      <c r="BI95" s="409"/>
      <c r="BJ95" s="409"/>
      <c r="BK95" s="409"/>
      <c r="BL95" s="409"/>
      <c r="BM95" s="453">
        <f t="shared" si="36"/>
        <v>0</v>
      </c>
      <c r="BN95" s="452"/>
      <c r="BO95" s="452"/>
      <c r="BP95" s="452"/>
      <c r="BQ95" s="452"/>
      <c r="BR95" s="452"/>
      <c r="BS95" s="452"/>
      <c r="BT95" s="452"/>
      <c r="BU95" s="409">
        <v>30</v>
      </c>
      <c r="BV95" s="409"/>
      <c r="BW95" s="409"/>
      <c r="BX95" s="409"/>
      <c r="BY95" s="409"/>
      <c r="BZ95" s="453">
        <f t="shared" si="37"/>
        <v>30</v>
      </c>
      <c r="CA95" s="454">
        <f t="shared" si="38"/>
        <v>154</v>
      </c>
      <c r="CB95" s="419"/>
      <c r="CC95" s="419">
        <v>1</v>
      </c>
      <c r="CD95" s="419">
        <v>0</v>
      </c>
      <c r="CE95" s="419">
        <v>-1</v>
      </c>
      <c r="CF95" s="419">
        <v>-1</v>
      </c>
      <c r="CG95" s="420">
        <f>IFERROR((FE95/Z95%),0)</f>
        <v>0</v>
      </c>
      <c r="CH95" s="420">
        <f>IFERROR((FK95/Z95%),0)</f>
        <v>0</v>
      </c>
      <c r="CI95" s="414" t="s">
        <v>71</v>
      </c>
      <c r="CJ95" s="415"/>
      <c r="CK95" s="415"/>
      <c r="CL95" s="415"/>
      <c r="CM95" s="415"/>
      <c r="CN95" s="415"/>
      <c r="CO95" s="415"/>
      <c r="CP95" s="415"/>
      <c r="CQ95" s="415"/>
      <c r="CR95" s="415"/>
      <c r="CS95" s="415"/>
      <c r="CT95" s="415"/>
      <c r="CU95" s="415">
        <v>60</v>
      </c>
      <c r="CV95" s="410">
        <f t="shared" si="39"/>
        <v>60</v>
      </c>
      <c r="CW95" s="415"/>
      <c r="CX95" s="415"/>
      <c r="CY95" s="415"/>
      <c r="CZ95" s="415"/>
      <c r="DA95" s="415"/>
      <c r="DB95" s="415"/>
      <c r="DC95" s="415"/>
      <c r="DD95" s="415"/>
      <c r="DE95" s="415"/>
      <c r="DF95" s="415"/>
      <c r="DG95" s="415"/>
      <c r="DH95" s="415"/>
      <c r="DI95" s="410">
        <f t="shared" si="40"/>
        <v>0</v>
      </c>
      <c r="DJ95" s="415"/>
      <c r="DK95" s="415"/>
      <c r="DL95" s="415"/>
      <c r="DM95" s="415"/>
      <c r="DN95" s="415"/>
      <c r="DO95" s="415"/>
      <c r="DP95" s="415">
        <v>10</v>
      </c>
      <c r="DQ95" s="415"/>
      <c r="DR95" s="415"/>
      <c r="DS95" s="415"/>
      <c r="DT95" s="415"/>
      <c r="DU95" s="415"/>
      <c r="DV95" s="410">
        <f t="shared" si="41"/>
        <v>10</v>
      </c>
      <c r="DW95" s="415"/>
      <c r="DX95" s="415"/>
      <c r="DY95" s="415"/>
      <c r="DZ95" s="415"/>
      <c r="EA95" s="415"/>
      <c r="EB95" s="415"/>
      <c r="EC95" s="415"/>
      <c r="ED95" s="415"/>
      <c r="EE95" s="415"/>
      <c r="EF95" s="415"/>
      <c r="EG95" s="415"/>
      <c r="EH95" s="415"/>
      <c r="EI95" s="410">
        <f t="shared" si="42"/>
        <v>0</v>
      </c>
      <c r="EJ95" s="415"/>
      <c r="EK95" s="415"/>
      <c r="EL95" s="415"/>
      <c r="EM95" s="415"/>
      <c r="EN95" s="415"/>
      <c r="EO95" s="415"/>
      <c r="EP95" s="415">
        <v>10</v>
      </c>
      <c r="EQ95" s="415"/>
      <c r="ER95" s="415"/>
      <c r="ES95" s="415"/>
      <c r="ET95" s="415"/>
      <c r="EU95" s="415"/>
      <c r="EV95" s="410">
        <f t="shared" si="43"/>
        <v>10</v>
      </c>
      <c r="EW95" s="416">
        <f t="shared" si="44"/>
        <v>80</v>
      </c>
      <c r="EX95" s="417">
        <f>IFERROR(VLOOKUP(H95,CEI_012018!$A$1:$U$509,9,FALSE),0)</f>
        <v>0</v>
      </c>
      <c r="EY95" s="417">
        <f>IFERROR(VLOOKUP(H95,CEI_022018!$A$1:$U$509,9,FALSE),0)</f>
        <v>0</v>
      </c>
      <c r="EZ95" s="417">
        <f>IFERROR(VLOOKUP(H95,CEI_032018!$A$1:$U$509,9,FALSE),0)</f>
        <v>0</v>
      </c>
      <c r="FA95" s="417">
        <f>IFERROR(VLOOKUP(H95,CEI_042018!$A$1:$U$491,9,FALSE),0)</f>
        <v>0</v>
      </c>
      <c r="FB95" s="417">
        <f>IFERROR(VLOOKUP(H95,CEI_052018!$A$1:$U$489,9,FALSE),0)</f>
        <v>0</v>
      </c>
      <c r="FC95" s="417">
        <f>IFERROR(VLOOKUP(H95,CEI_062018!$A$1:$U$489,9,FALSE),0)</f>
        <v>0</v>
      </c>
      <c r="FD95" s="417">
        <f>IFERROR(VLOOKUP(H95,CEI_072018!$A$1:$U$489,9,FALSE),0)</f>
        <v>0</v>
      </c>
      <c r="FE95" s="417">
        <f>IFERROR(VLOOKUP(H95,CEI_082018!$A$1:$U$489,9,FALSE),0)</f>
        <v>0</v>
      </c>
      <c r="FF95" s="417">
        <f>IFERROR(VLOOKUP(H95,CEI_092018!$A$1:$U$489,9,FALSE),0)</f>
        <v>0</v>
      </c>
      <c r="FG95" s="417"/>
      <c r="FH95" s="417"/>
      <c r="FI95" s="417"/>
      <c r="FJ95" s="418">
        <f>IFERROR(VLOOKUP(H95,CEI_092018!$A$1:$U$489,12,FALSE),0)</f>
        <v>0</v>
      </c>
      <c r="FK95" s="418">
        <f t="shared" si="45"/>
        <v>0</v>
      </c>
      <c r="FL95" s="418">
        <f t="shared" si="46"/>
        <v>0</v>
      </c>
      <c r="FM95" s="417"/>
      <c r="FN95" s="417"/>
      <c r="FO95" s="417"/>
      <c r="FP95" s="417"/>
      <c r="FQ95" s="417"/>
      <c r="FR95" s="417"/>
      <c r="FS95" s="417"/>
      <c r="FT95" s="417"/>
      <c r="FU95" s="417"/>
      <c r="FV95" s="417"/>
      <c r="FW95" s="417"/>
      <c r="FX95" s="417"/>
      <c r="FY95" s="418"/>
      <c r="FZ95" s="418"/>
      <c r="GA95" s="418"/>
      <c r="GB95" s="417"/>
      <c r="GC95" s="417"/>
      <c r="GD95" s="417"/>
      <c r="GE95" s="417"/>
      <c r="GF95" s="417"/>
      <c r="GG95" s="417"/>
      <c r="GH95" s="417"/>
      <c r="GI95" s="417"/>
      <c r="GJ95" s="417"/>
      <c r="GK95" s="417"/>
      <c r="GL95" s="417"/>
      <c r="GM95" s="417"/>
      <c r="GN95" s="418"/>
      <c r="GO95" s="418"/>
      <c r="GP95" s="418"/>
      <c r="GQ95" s="417"/>
      <c r="GR95" s="417"/>
      <c r="GS95" s="417"/>
      <c r="GT95" s="417"/>
      <c r="GU95" s="417"/>
      <c r="GV95" s="417"/>
      <c r="GW95" s="417"/>
      <c r="GX95" s="417"/>
      <c r="GY95" s="417"/>
      <c r="GZ95" s="417"/>
      <c r="HA95" s="417"/>
      <c r="HB95" s="417"/>
      <c r="HC95" s="418"/>
      <c r="HD95" s="418"/>
      <c r="HE95" s="418"/>
      <c r="HF95" s="417"/>
      <c r="HG95" s="417"/>
      <c r="HH95" s="417"/>
      <c r="HI95" s="417"/>
      <c r="HJ95" s="417"/>
      <c r="HK95" s="417"/>
      <c r="HL95" s="417"/>
      <c r="HM95" s="417"/>
      <c r="HN95" s="417"/>
      <c r="HO95" s="417"/>
      <c r="HP95" s="417"/>
      <c r="HQ95" s="417"/>
      <c r="HR95" s="418"/>
      <c r="HS95" s="418"/>
      <c r="HT95" s="418"/>
    </row>
    <row r="96" spans="1:228" s="387" customFormat="1" ht="12.95" customHeight="1" x14ac:dyDescent="0.2">
      <c r="A96" s="406" t="s">
        <v>52</v>
      </c>
      <c r="B96" s="407" t="s">
        <v>27</v>
      </c>
      <c r="C96" s="406" t="s">
        <v>56</v>
      </c>
      <c r="D96" s="407" t="s">
        <v>975</v>
      </c>
      <c r="E96" s="407" t="s">
        <v>56</v>
      </c>
      <c r="F96" s="407" t="s">
        <v>975</v>
      </c>
      <c r="G96" s="406" t="s">
        <v>54</v>
      </c>
      <c r="H96" s="408" t="s">
        <v>520</v>
      </c>
      <c r="I96" s="408"/>
      <c r="J96" s="406" t="s">
        <v>1022</v>
      </c>
      <c r="K96" s="406" t="s">
        <v>826</v>
      </c>
      <c r="L96" s="406" t="s">
        <v>422</v>
      </c>
      <c r="M96" s="406"/>
      <c r="N96" s="452">
        <v>0</v>
      </c>
      <c r="O96" s="452">
        <v>0</v>
      </c>
      <c r="P96" s="452">
        <v>0</v>
      </c>
      <c r="Q96" s="452">
        <v>0</v>
      </c>
      <c r="R96" s="452">
        <v>0</v>
      </c>
      <c r="S96" s="452">
        <v>0</v>
      </c>
      <c r="T96" s="452">
        <v>0</v>
      </c>
      <c r="U96" s="409">
        <v>0</v>
      </c>
      <c r="V96" s="409"/>
      <c r="W96" s="409"/>
      <c r="X96" s="409"/>
      <c r="Y96" s="409"/>
      <c r="Z96" s="453">
        <f t="shared" si="47"/>
        <v>0</v>
      </c>
      <c r="AA96" s="452"/>
      <c r="AB96" s="452"/>
      <c r="AC96" s="452"/>
      <c r="AD96" s="452"/>
      <c r="AE96" s="452"/>
      <c r="AF96" s="452"/>
      <c r="AG96" s="452"/>
      <c r="AH96" s="409"/>
      <c r="AI96" s="409"/>
      <c r="AJ96" s="409"/>
      <c r="AK96" s="409"/>
      <c r="AL96" s="409"/>
      <c r="AM96" s="453">
        <f t="shared" si="34"/>
        <v>0</v>
      </c>
      <c r="AN96" s="452"/>
      <c r="AO96" s="452"/>
      <c r="AP96" s="452"/>
      <c r="AQ96" s="452"/>
      <c r="AR96" s="452"/>
      <c r="AS96" s="452"/>
      <c r="AT96" s="452"/>
      <c r="AU96" s="409"/>
      <c r="AV96" s="409"/>
      <c r="AW96" s="409"/>
      <c r="AX96" s="409"/>
      <c r="AY96" s="409"/>
      <c r="AZ96" s="453">
        <f t="shared" si="35"/>
        <v>0</v>
      </c>
      <c r="BA96" s="452"/>
      <c r="BB96" s="452"/>
      <c r="BC96" s="452"/>
      <c r="BD96" s="452"/>
      <c r="BE96" s="452"/>
      <c r="BF96" s="452"/>
      <c r="BG96" s="452"/>
      <c r="BH96" s="409"/>
      <c r="BI96" s="409"/>
      <c r="BJ96" s="409"/>
      <c r="BK96" s="409">
        <v>108</v>
      </c>
      <c r="BL96" s="409"/>
      <c r="BM96" s="453">
        <f t="shared" si="36"/>
        <v>108</v>
      </c>
      <c r="BN96" s="452"/>
      <c r="BO96" s="452"/>
      <c r="BP96" s="452"/>
      <c r="BQ96" s="452"/>
      <c r="BR96" s="452"/>
      <c r="BS96" s="452"/>
      <c r="BT96" s="452"/>
      <c r="BU96" s="409"/>
      <c r="BV96" s="409"/>
      <c r="BW96" s="409"/>
      <c r="BX96" s="409">
        <v>92</v>
      </c>
      <c r="BY96" s="409"/>
      <c r="BZ96" s="453">
        <f t="shared" si="37"/>
        <v>92</v>
      </c>
      <c r="CA96" s="454">
        <f t="shared" si="38"/>
        <v>200</v>
      </c>
      <c r="CB96" s="411"/>
      <c r="CC96" s="411"/>
      <c r="CD96" s="411"/>
      <c r="CE96" s="411"/>
      <c r="CF96" s="411"/>
      <c r="CG96" s="412"/>
      <c r="CH96" s="413"/>
      <c r="CI96" s="414" t="s">
        <v>270</v>
      </c>
      <c r="CJ96" s="415"/>
      <c r="CK96" s="415"/>
      <c r="CL96" s="415"/>
      <c r="CM96" s="415"/>
      <c r="CN96" s="415"/>
      <c r="CO96" s="415"/>
      <c r="CP96" s="415"/>
      <c r="CQ96" s="415"/>
      <c r="CR96" s="415"/>
      <c r="CS96" s="415"/>
      <c r="CT96" s="415"/>
      <c r="CU96" s="415"/>
      <c r="CV96" s="410">
        <f t="shared" si="39"/>
        <v>0</v>
      </c>
      <c r="CW96" s="415"/>
      <c r="CX96" s="415"/>
      <c r="CY96" s="415"/>
      <c r="CZ96" s="415"/>
      <c r="DA96" s="415"/>
      <c r="DB96" s="415"/>
      <c r="DC96" s="415"/>
      <c r="DD96" s="415"/>
      <c r="DE96" s="415"/>
      <c r="DF96" s="415"/>
      <c r="DG96" s="415"/>
      <c r="DH96" s="415"/>
      <c r="DI96" s="410">
        <f t="shared" si="40"/>
        <v>0</v>
      </c>
      <c r="DJ96" s="415"/>
      <c r="DK96" s="415"/>
      <c r="DL96" s="415"/>
      <c r="DM96" s="415"/>
      <c r="DN96" s="415"/>
      <c r="DO96" s="415"/>
      <c r="DP96" s="415"/>
      <c r="DQ96" s="415"/>
      <c r="DR96" s="415"/>
      <c r="DS96" s="415"/>
      <c r="DT96" s="415"/>
      <c r="DU96" s="415"/>
      <c r="DV96" s="410">
        <f t="shared" si="41"/>
        <v>0</v>
      </c>
      <c r="DW96" s="415"/>
      <c r="DX96" s="415"/>
      <c r="DY96" s="415"/>
      <c r="DZ96" s="415"/>
      <c r="EA96" s="415"/>
      <c r="EB96" s="415"/>
      <c r="EC96" s="415"/>
      <c r="ED96" s="415"/>
      <c r="EE96" s="415"/>
      <c r="EF96" s="415"/>
      <c r="EG96" s="415">
        <v>54</v>
      </c>
      <c r="EH96" s="415"/>
      <c r="EI96" s="410">
        <f t="shared" si="42"/>
        <v>54</v>
      </c>
      <c r="EJ96" s="415"/>
      <c r="EK96" s="415"/>
      <c r="EL96" s="415"/>
      <c r="EM96" s="415"/>
      <c r="EN96" s="415"/>
      <c r="EO96" s="415"/>
      <c r="EP96" s="415"/>
      <c r="EQ96" s="415"/>
      <c r="ER96" s="415"/>
      <c r="ES96" s="415"/>
      <c r="ET96" s="415">
        <v>46</v>
      </c>
      <c r="EU96" s="415"/>
      <c r="EV96" s="410">
        <f t="shared" si="43"/>
        <v>46</v>
      </c>
      <c r="EW96" s="416">
        <f t="shared" si="44"/>
        <v>100</v>
      </c>
      <c r="EX96" s="417">
        <f>IFERROR(VLOOKUP(H96,CEI_012018!$A$1:$U$509,9,FALSE),0)</f>
        <v>0</v>
      </c>
      <c r="EY96" s="417">
        <f>IFERROR(VLOOKUP(H96,CEI_022018!$A$1:$U$509,9,FALSE),0)</f>
        <v>0</v>
      </c>
      <c r="EZ96" s="417">
        <f>IFERROR(VLOOKUP(H96,CEI_032018!$A$1:$U$509,9,FALSE),0)</f>
        <v>0</v>
      </c>
      <c r="FA96" s="417">
        <f>IFERROR(VLOOKUP(H96,CEI_042018!$A$1:$U$491,9,FALSE),0)</f>
        <v>0</v>
      </c>
      <c r="FB96" s="417">
        <f>IFERROR(VLOOKUP(H96,CEI_052018!$A$1:$U$489,9,FALSE),0)</f>
        <v>0</v>
      </c>
      <c r="FC96" s="417">
        <f>IFERROR(VLOOKUP(H96,CEI_062018!$A$1:$U$489,9,FALSE),0)</f>
        <v>0</v>
      </c>
      <c r="FD96" s="417">
        <f>IFERROR(VLOOKUP(H96,CEI_072018!$A$1:$U$489,9,FALSE),0)</f>
        <v>0</v>
      </c>
      <c r="FE96" s="417">
        <f>IFERROR(VLOOKUP(H96,CEI_082018!$A$1:$U$489,9,FALSE),0)</f>
        <v>0</v>
      </c>
      <c r="FF96" s="417">
        <f>IFERROR(VLOOKUP(H96,CEI_092018!$A$1:$U$489,9,FALSE),0)</f>
        <v>0</v>
      </c>
      <c r="FG96" s="417"/>
      <c r="FH96" s="417"/>
      <c r="FI96" s="417"/>
      <c r="FJ96" s="418">
        <f>IFERROR(VLOOKUP(H96,CEI_092018!$A$1:$U$489,12,FALSE),0)</f>
        <v>0</v>
      </c>
      <c r="FK96" s="418">
        <f t="shared" si="45"/>
        <v>0</v>
      </c>
      <c r="FL96" s="418">
        <f t="shared" si="46"/>
        <v>0</v>
      </c>
      <c r="FM96" s="417"/>
      <c r="FN96" s="417"/>
      <c r="FO96" s="417"/>
      <c r="FP96" s="417"/>
      <c r="FQ96" s="417"/>
      <c r="FR96" s="417"/>
      <c r="FS96" s="417"/>
      <c r="FT96" s="417"/>
      <c r="FU96" s="417"/>
      <c r="FV96" s="417"/>
      <c r="FW96" s="417"/>
      <c r="FX96" s="417"/>
      <c r="FY96" s="418"/>
      <c r="FZ96" s="418"/>
      <c r="GA96" s="418"/>
      <c r="GB96" s="417"/>
      <c r="GC96" s="417"/>
      <c r="GD96" s="417"/>
      <c r="GE96" s="417"/>
      <c r="GF96" s="417"/>
      <c r="GG96" s="417"/>
      <c r="GH96" s="417"/>
      <c r="GI96" s="417"/>
      <c r="GJ96" s="417"/>
      <c r="GK96" s="417"/>
      <c r="GL96" s="417"/>
      <c r="GM96" s="417"/>
      <c r="GN96" s="418"/>
      <c r="GO96" s="418"/>
      <c r="GP96" s="418"/>
      <c r="GQ96" s="417"/>
      <c r="GR96" s="417"/>
      <c r="GS96" s="417"/>
      <c r="GT96" s="417"/>
      <c r="GU96" s="417"/>
      <c r="GV96" s="417"/>
      <c r="GW96" s="417"/>
      <c r="GX96" s="417"/>
      <c r="GY96" s="417"/>
      <c r="GZ96" s="417"/>
      <c r="HA96" s="417"/>
      <c r="HB96" s="417"/>
      <c r="HC96" s="418"/>
      <c r="HD96" s="418"/>
      <c r="HE96" s="418"/>
      <c r="HF96" s="417"/>
      <c r="HG96" s="417"/>
      <c r="HH96" s="417"/>
      <c r="HI96" s="417"/>
      <c r="HJ96" s="417"/>
      <c r="HK96" s="417"/>
      <c r="HL96" s="417"/>
      <c r="HM96" s="417"/>
      <c r="HN96" s="417"/>
      <c r="HO96" s="417"/>
      <c r="HP96" s="417"/>
      <c r="HQ96" s="417"/>
      <c r="HR96" s="418"/>
      <c r="HS96" s="418"/>
      <c r="HT96" s="418"/>
    </row>
    <row r="97" spans="1:228" s="387" customFormat="1" ht="12.95" customHeight="1" x14ac:dyDescent="0.2">
      <c r="A97" s="406" t="s">
        <v>52</v>
      </c>
      <c r="B97" s="407" t="s">
        <v>27</v>
      </c>
      <c r="C97" s="406" t="s">
        <v>56</v>
      </c>
      <c r="D97" s="407" t="s">
        <v>271</v>
      </c>
      <c r="E97" s="407" t="s">
        <v>56</v>
      </c>
      <c r="F97" s="407" t="s">
        <v>271</v>
      </c>
      <c r="G97" s="406" t="s">
        <v>54</v>
      </c>
      <c r="H97" s="408" t="s">
        <v>520</v>
      </c>
      <c r="I97" s="408"/>
      <c r="J97" s="406" t="s">
        <v>279</v>
      </c>
      <c r="K97" s="406" t="s">
        <v>598</v>
      </c>
      <c r="L97" s="406" t="s">
        <v>599</v>
      </c>
      <c r="M97" s="406" t="s">
        <v>1685</v>
      </c>
      <c r="N97" s="452">
        <v>0</v>
      </c>
      <c r="O97" s="452">
        <v>0</v>
      </c>
      <c r="P97" s="452">
        <v>0</v>
      </c>
      <c r="Q97" s="452">
        <v>0</v>
      </c>
      <c r="R97" s="452">
        <v>0</v>
      </c>
      <c r="S97" s="452">
        <v>0</v>
      </c>
      <c r="T97" s="452">
        <v>0</v>
      </c>
      <c r="U97" s="409">
        <v>0</v>
      </c>
      <c r="V97" s="409"/>
      <c r="W97" s="409"/>
      <c r="X97" s="409"/>
      <c r="Y97" s="409"/>
      <c r="Z97" s="453">
        <f t="shared" si="47"/>
        <v>0</v>
      </c>
      <c r="AA97" s="452"/>
      <c r="AB97" s="452"/>
      <c r="AC97" s="452"/>
      <c r="AD97" s="452"/>
      <c r="AE97" s="452"/>
      <c r="AF97" s="452"/>
      <c r="AG97" s="452"/>
      <c r="AH97" s="409"/>
      <c r="AI97" s="409">
        <v>140</v>
      </c>
      <c r="AJ97" s="409"/>
      <c r="AK97" s="409"/>
      <c r="AL97" s="409"/>
      <c r="AM97" s="453">
        <f t="shared" si="34"/>
        <v>140</v>
      </c>
      <c r="AN97" s="452"/>
      <c r="AO97" s="452"/>
      <c r="AP97" s="452"/>
      <c r="AQ97" s="452"/>
      <c r="AR97" s="452"/>
      <c r="AS97" s="452"/>
      <c r="AT97" s="452"/>
      <c r="AU97" s="409"/>
      <c r="AV97" s="409">
        <v>140</v>
      </c>
      <c r="AW97" s="409"/>
      <c r="AX97" s="409"/>
      <c r="AY97" s="409"/>
      <c r="AZ97" s="453">
        <f t="shared" si="35"/>
        <v>140</v>
      </c>
      <c r="BA97" s="452"/>
      <c r="BB97" s="452"/>
      <c r="BC97" s="452"/>
      <c r="BD97" s="452"/>
      <c r="BE97" s="452"/>
      <c r="BF97" s="452"/>
      <c r="BG97" s="452"/>
      <c r="BH97" s="409"/>
      <c r="BI97" s="409">
        <v>140</v>
      </c>
      <c r="BJ97" s="409"/>
      <c r="BK97" s="409"/>
      <c r="BL97" s="409"/>
      <c r="BM97" s="453">
        <f t="shared" si="36"/>
        <v>140</v>
      </c>
      <c r="BN97" s="452"/>
      <c r="BO97" s="452"/>
      <c r="BP97" s="452"/>
      <c r="BQ97" s="452"/>
      <c r="BR97" s="452"/>
      <c r="BS97" s="452"/>
      <c r="BT97" s="452"/>
      <c r="BU97" s="409"/>
      <c r="BV97" s="409">
        <f>139.748841669999-0.0244848651091161</f>
        <v>139.72435680488988</v>
      </c>
      <c r="BW97" s="409"/>
      <c r="BX97" s="409"/>
      <c r="BY97" s="409"/>
      <c r="BZ97" s="453">
        <f t="shared" si="37"/>
        <v>139.72435680488988</v>
      </c>
      <c r="CA97" s="454">
        <f t="shared" si="38"/>
        <v>559.72435680488991</v>
      </c>
      <c r="CB97" s="411"/>
      <c r="CC97" s="411"/>
      <c r="CD97" s="411"/>
      <c r="CE97" s="411"/>
      <c r="CF97" s="411"/>
      <c r="CG97" s="412"/>
      <c r="CH97" s="413"/>
      <c r="CI97" s="414" t="s">
        <v>71</v>
      </c>
      <c r="CJ97" s="415"/>
      <c r="CK97" s="415"/>
      <c r="CL97" s="415"/>
      <c r="CM97" s="415"/>
      <c r="CN97" s="415"/>
      <c r="CO97" s="415"/>
      <c r="CP97" s="415"/>
      <c r="CQ97" s="415"/>
      <c r="CR97" s="415"/>
      <c r="CS97" s="415"/>
      <c r="CT97" s="415"/>
      <c r="CU97" s="415"/>
      <c r="CV97" s="410">
        <f t="shared" si="39"/>
        <v>0</v>
      </c>
      <c r="CW97" s="415"/>
      <c r="CX97" s="415"/>
      <c r="CY97" s="415"/>
      <c r="CZ97" s="415"/>
      <c r="DA97" s="415"/>
      <c r="DB97" s="415"/>
      <c r="DC97" s="415"/>
      <c r="DD97" s="415"/>
      <c r="DE97" s="415"/>
      <c r="DF97" s="415"/>
      <c r="DG97" s="415"/>
      <c r="DH97" s="415"/>
      <c r="DI97" s="410">
        <f t="shared" si="40"/>
        <v>0</v>
      </c>
      <c r="DJ97" s="415"/>
      <c r="DK97" s="415"/>
      <c r="DL97" s="415"/>
      <c r="DM97" s="415"/>
      <c r="DN97" s="415"/>
      <c r="DO97" s="415"/>
      <c r="DP97" s="415"/>
      <c r="DQ97" s="415">
        <v>3</v>
      </c>
      <c r="DR97" s="415"/>
      <c r="DS97" s="415"/>
      <c r="DT97" s="415"/>
      <c r="DU97" s="415"/>
      <c r="DV97" s="410">
        <f t="shared" si="41"/>
        <v>3</v>
      </c>
      <c r="DW97" s="415"/>
      <c r="DX97" s="415"/>
      <c r="DY97" s="415"/>
      <c r="DZ97" s="415"/>
      <c r="EA97" s="415"/>
      <c r="EB97" s="415"/>
      <c r="EC97" s="415"/>
      <c r="ED97" s="415">
        <v>5</v>
      </c>
      <c r="EE97" s="415"/>
      <c r="EF97" s="415"/>
      <c r="EG97" s="415"/>
      <c r="EH97" s="415"/>
      <c r="EI97" s="410">
        <f t="shared" si="42"/>
        <v>5</v>
      </c>
      <c r="EJ97" s="415"/>
      <c r="EK97" s="415"/>
      <c r="EL97" s="415"/>
      <c r="EM97" s="415"/>
      <c r="EN97" s="415"/>
      <c r="EO97" s="415"/>
      <c r="EP97" s="415"/>
      <c r="EQ97" s="415">
        <v>0</v>
      </c>
      <c r="ER97" s="415"/>
      <c r="ES97" s="415"/>
      <c r="ET97" s="415"/>
      <c r="EU97" s="415"/>
      <c r="EV97" s="410">
        <f t="shared" si="43"/>
        <v>0</v>
      </c>
      <c r="EW97" s="416">
        <f t="shared" si="44"/>
        <v>8</v>
      </c>
      <c r="EX97" s="417">
        <f>IFERROR(VLOOKUP(H97,CEI_012018!$A$1:$U$509,9,FALSE),0)</f>
        <v>0</v>
      </c>
      <c r="EY97" s="417">
        <f>IFERROR(VLOOKUP(H97,CEI_022018!$A$1:$U$509,9,FALSE),0)</f>
        <v>0</v>
      </c>
      <c r="EZ97" s="417">
        <f>IFERROR(VLOOKUP(H97,CEI_032018!$A$1:$U$509,9,FALSE),0)</f>
        <v>0</v>
      </c>
      <c r="FA97" s="417">
        <f>IFERROR(VLOOKUP(H97,CEI_042018!$A$1:$U$491,9,FALSE),0)</f>
        <v>0</v>
      </c>
      <c r="FB97" s="417">
        <f>IFERROR(VLOOKUP(H97,CEI_052018!$A$1:$U$489,9,FALSE),0)</f>
        <v>0</v>
      </c>
      <c r="FC97" s="417">
        <f>IFERROR(VLOOKUP(H97,CEI_062018!$A$1:$U$489,9,FALSE),0)</f>
        <v>0</v>
      </c>
      <c r="FD97" s="417">
        <f>IFERROR(VLOOKUP(H97,CEI_072018!$A$1:$U$489,9,FALSE),0)</f>
        <v>0</v>
      </c>
      <c r="FE97" s="417">
        <f>IFERROR(VLOOKUP(H97,CEI_082018!$A$1:$U$489,9,FALSE),0)</f>
        <v>0</v>
      </c>
      <c r="FF97" s="417">
        <f>IFERROR(VLOOKUP(H97,CEI_092018!$A$1:$U$489,9,FALSE),0)</f>
        <v>0</v>
      </c>
      <c r="FG97" s="417"/>
      <c r="FH97" s="417"/>
      <c r="FI97" s="417"/>
      <c r="FJ97" s="418">
        <f>IFERROR(VLOOKUP(H97,CEI_092018!$A$1:$U$489,12,FALSE),0)</f>
        <v>0</v>
      </c>
      <c r="FK97" s="418">
        <f t="shared" si="45"/>
        <v>0</v>
      </c>
      <c r="FL97" s="418">
        <f t="shared" si="46"/>
        <v>0</v>
      </c>
      <c r="FM97" s="417"/>
      <c r="FN97" s="417"/>
      <c r="FO97" s="417"/>
      <c r="FP97" s="417"/>
      <c r="FQ97" s="417"/>
      <c r="FR97" s="417"/>
      <c r="FS97" s="417"/>
      <c r="FT97" s="417"/>
      <c r="FU97" s="417"/>
      <c r="FV97" s="417"/>
      <c r="FW97" s="417"/>
      <c r="FX97" s="417"/>
      <c r="FY97" s="418"/>
      <c r="FZ97" s="418"/>
      <c r="GA97" s="418"/>
      <c r="GB97" s="417"/>
      <c r="GC97" s="417"/>
      <c r="GD97" s="417"/>
      <c r="GE97" s="417"/>
      <c r="GF97" s="417"/>
      <c r="GG97" s="417"/>
      <c r="GH97" s="417"/>
      <c r="GI97" s="417"/>
      <c r="GJ97" s="417"/>
      <c r="GK97" s="417"/>
      <c r="GL97" s="417"/>
      <c r="GM97" s="417"/>
      <c r="GN97" s="418"/>
      <c r="GO97" s="418"/>
      <c r="GP97" s="418"/>
      <c r="GQ97" s="417"/>
      <c r="GR97" s="417"/>
      <c r="GS97" s="417"/>
      <c r="GT97" s="417"/>
      <c r="GU97" s="417"/>
      <c r="GV97" s="417"/>
      <c r="GW97" s="417"/>
      <c r="GX97" s="417"/>
      <c r="GY97" s="417"/>
      <c r="GZ97" s="417"/>
      <c r="HA97" s="417"/>
      <c r="HB97" s="417"/>
      <c r="HC97" s="418"/>
      <c r="HD97" s="418"/>
      <c r="HE97" s="418"/>
      <c r="HF97" s="417"/>
      <c r="HG97" s="417"/>
      <c r="HH97" s="417"/>
      <c r="HI97" s="417"/>
      <c r="HJ97" s="417"/>
      <c r="HK97" s="417"/>
      <c r="HL97" s="417"/>
      <c r="HM97" s="417"/>
      <c r="HN97" s="417"/>
      <c r="HO97" s="417"/>
      <c r="HP97" s="417"/>
      <c r="HQ97" s="417"/>
      <c r="HR97" s="418"/>
      <c r="HS97" s="418"/>
      <c r="HT97" s="418"/>
    </row>
    <row r="98" spans="1:228" s="387" customFormat="1" ht="12.95" customHeight="1" x14ac:dyDescent="0.2">
      <c r="A98" s="406" t="s">
        <v>52</v>
      </c>
      <c r="B98" s="407" t="s">
        <v>27</v>
      </c>
      <c r="C98" s="406" t="s">
        <v>56</v>
      </c>
      <c r="D98" s="407" t="s">
        <v>271</v>
      </c>
      <c r="E98" s="407" t="s">
        <v>56</v>
      </c>
      <c r="F98" s="407" t="s">
        <v>271</v>
      </c>
      <c r="G98" s="406" t="s">
        <v>54</v>
      </c>
      <c r="H98" s="408" t="s">
        <v>1846</v>
      </c>
      <c r="I98" s="408" t="s">
        <v>1867</v>
      </c>
      <c r="J98" s="406" t="s">
        <v>279</v>
      </c>
      <c r="K98" s="406" t="s">
        <v>598</v>
      </c>
      <c r="L98" s="406" t="s">
        <v>599</v>
      </c>
      <c r="M98" s="406" t="s">
        <v>1685</v>
      </c>
      <c r="N98" s="452">
        <v>0</v>
      </c>
      <c r="O98" s="452">
        <v>0</v>
      </c>
      <c r="P98" s="452">
        <v>0</v>
      </c>
      <c r="Q98" s="452">
        <v>0</v>
      </c>
      <c r="R98" s="452">
        <v>0</v>
      </c>
      <c r="S98" s="452">
        <v>0</v>
      </c>
      <c r="T98" s="452">
        <v>0</v>
      </c>
      <c r="U98" s="409">
        <v>0</v>
      </c>
      <c r="V98" s="409"/>
      <c r="W98" s="409"/>
      <c r="X98" s="409"/>
      <c r="Y98" s="409">
        <f>60+4.62</f>
        <v>64.62</v>
      </c>
      <c r="Z98" s="453">
        <f t="shared" si="47"/>
        <v>64.62</v>
      </c>
      <c r="AA98" s="452"/>
      <c r="AB98" s="452"/>
      <c r="AC98" s="452"/>
      <c r="AD98" s="452"/>
      <c r="AE98" s="452"/>
      <c r="AF98" s="452"/>
      <c r="AG98" s="452"/>
      <c r="AH98" s="409"/>
      <c r="AI98" s="409"/>
      <c r="AJ98" s="409"/>
      <c r="AK98" s="409"/>
      <c r="AL98" s="409"/>
      <c r="AM98" s="453">
        <f t="shared" si="34"/>
        <v>0</v>
      </c>
      <c r="AN98" s="452"/>
      <c r="AO98" s="452"/>
      <c r="AP98" s="452"/>
      <c r="AQ98" s="452"/>
      <c r="AR98" s="452"/>
      <c r="AS98" s="452"/>
      <c r="AT98" s="452"/>
      <c r="AU98" s="409"/>
      <c r="AV98" s="409"/>
      <c r="AW98" s="409"/>
      <c r="AX98" s="409"/>
      <c r="AY98" s="409"/>
      <c r="AZ98" s="453">
        <f t="shared" si="35"/>
        <v>0</v>
      </c>
      <c r="BA98" s="452"/>
      <c r="BB98" s="452"/>
      <c r="BC98" s="452"/>
      <c r="BD98" s="452"/>
      <c r="BE98" s="452"/>
      <c r="BF98" s="452"/>
      <c r="BG98" s="452"/>
      <c r="BH98" s="409"/>
      <c r="BI98" s="409"/>
      <c r="BJ98" s="409"/>
      <c r="BK98" s="409"/>
      <c r="BL98" s="409"/>
      <c r="BM98" s="453">
        <f t="shared" si="36"/>
        <v>0</v>
      </c>
      <c r="BN98" s="452"/>
      <c r="BO98" s="452"/>
      <c r="BP98" s="452"/>
      <c r="BQ98" s="452"/>
      <c r="BR98" s="452"/>
      <c r="BS98" s="452"/>
      <c r="BT98" s="452"/>
      <c r="BU98" s="409"/>
      <c r="BV98" s="409"/>
      <c r="BW98" s="409"/>
      <c r="BX98" s="409"/>
      <c r="BY98" s="409"/>
      <c r="BZ98" s="453">
        <f t="shared" si="37"/>
        <v>0</v>
      </c>
      <c r="CA98" s="454">
        <f t="shared" si="38"/>
        <v>64.62</v>
      </c>
      <c r="CB98" s="419"/>
      <c r="CC98" s="419">
        <v>1</v>
      </c>
      <c r="CD98" s="419">
        <v>1</v>
      </c>
      <c r="CE98" s="419">
        <v>-1</v>
      </c>
      <c r="CF98" s="419">
        <v>-1</v>
      </c>
      <c r="CG98" s="420">
        <f>IFERROR((FE98/Z98%),0)</f>
        <v>0</v>
      </c>
      <c r="CH98" s="420">
        <f>IFERROR((FK98/Z98%),0)</f>
        <v>99.998138814989318</v>
      </c>
      <c r="CI98" s="414" t="s">
        <v>71</v>
      </c>
      <c r="CJ98" s="415"/>
      <c r="CK98" s="415"/>
      <c r="CL98" s="415"/>
      <c r="CM98" s="415"/>
      <c r="CN98" s="415"/>
      <c r="CO98" s="415"/>
      <c r="CP98" s="415"/>
      <c r="CQ98" s="415"/>
      <c r="CR98" s="415"/>
      <c r="CS98" s="415"/>
      <c r="CT98" s="415"/>
      <c r="CU98" s="415">
        <v>3</v>
      </c>
      <c r="CV98" s="410">
        <f t="shared" si="39"/>
        <v>3</v>
      </c>
      <c r="CW98" s="415"/>
      <c r="CX98" s="415"/>
      <c r="CY98" s="415"/>
      <c r="CZ98" s="415"/>
      <c r="DA98" s="415"/>
      <c r="DB98" s="415"/>
      <c r="DC98" s="415"/>
      <c r="DD98" s="415"/>
      <c r="DE98" s="415"/>
      <c r="DF98" s="415"/>
      <c r="DG98" s="415"/>
      <c r="DH98" s="415"/>
      <c r="DI98" s="410">
        <f t="shared" si="40"/>
        <v>0</v>
      </c>
      <c r="DJ98" s="415"/>
      <c r="DK98" s="415"/>
      <c r="DL98" s="415"/>
      <c r="DM98" s="415"/>
      <c r="DN98" s="415"/>
      <c r="DO98" s="415"/>
      <c r="DP98" s="415"/>
      <c r="DQ98" s="415"/>
      <c r="DR98" s="415"/>
      <c r="DS98" s="415"/>
      <c r="DT98" s="415"/>
      <c r="DU98" s="415"/>
      <c r="DV98" s="410">
        <f t="shared" si="41"/>
        <v>0</v>
      </c>
      <c r="DW98" s="415"/>
      <c r="DX98" s="415"/>
      <c r="DY98" s="415"/>
      <c r="DZ98" s="415"/>
      <c r="EA98" s="415"/>
      <c r="EB98" s="415"/>
      <c r="EC98" s="415"/>
      <c r="ED98" s="415"/>
      <c r="EE98" s="415"/>
      <c r="EF98" s="415"/>
      <c r="EG98" s="415"/>
      <c r="EH98" s="415"/>
      <c r="EI98" s="410">
        <f t="shared" si="42"/>
        <v>0</v>
      </c>
      <c r="EJ98" s="415"/>
      <c r="EK98" s="415"/>
      <c r="EL98" s="415"/>
      <c r="EM98" s="415"/>
      <c r="EN98" s="415"/>
      <c r="EO98" s="415"/>
      <c r="EP98" s="415"/>
      <c r="EQ98" s="415">
        <v>0</v>
      </c>
      <c r="ER98" s="415"/>
      <c r="ES98" s="415"/>
      <c r="ET98" s="415"/>
      <c r="EU98" s="415"/>
      <c r="EV98" s="410">
        <f t="shared" si="43"/>
        <v>0</v>
      </c>
      <c r="EW98" s="416">
        <f t="shared" si="44"/>
        <v>3</v>
      </c>
      <c r="EX98" s="417">
        <f>IFERROR(VLOOKUP(H98,CEI_012018!$A$1:$U$509,9,FALSE),0)</f>
        <v>0</v>
      </c>
      <c r="EY98" s="417">
        <f>IFERROR(VLOOKUP(H98,CEI_022018!$A$1:$U$509,9,FALSE),0)</f>
        <v>0</v>
      </c>
      <c r="EZ98" s="417">
        <f>IFERROR(VLOOKUP(H98,CEI_032018!$A$1:$U$509,9,FALSE),0)</f>
        <v>0</v>
      </c>
      <c r="FA98" s="417">
        <f>IFERROR(VLOOKUP(H98,CEI_042018!$A$1:$U$491,9,FALSE),0)</f>
        <v>0</v>
      </c>
      <c r="FB98" s="417">
        <f>IFERROR(VLOOKUP(H98,CEI_052018!$A$1:$U$489,9,FALSE),0)</f>
        <v>0</v>
      </c>
      <c r="FC98" s="417">
        <f>IFERROR(VLOOKUP(H98,CEI_062018!$A$1:$U$489,9,FALSE),0)</f>
        <v>0</v>
      </c>
      <c r="FD98" s="417">
        <f>IFERROR(VLOOKUP(H98,CEI_072018!$A$1:$U$489,9,FALSE),0)</f>
        <v>0</v>
      </c>
      <c r="FE98" s="417">
        <f>IFERROR(VLOOKUP(H98,CEI_082018!$A$1:$U$489,9,FALSE),0)</f>
        <v>0</v>
      </c>
      <c r="FF98" s="417">
        <f>IFERROR(VLOOKUP(H98,CEI_092018!$A$1:$U$489,9,FALSE),0)</f>
        <v>0</v>
      </c>
      <c r="FG98" s="417"/>
      <c r="FH98" s="417"/>
      <c r="FI98" s="417"/>
      <c r="FJ98" s="418">
        <f>IFERROR(VLOOKUP(H98,CEI_092018!$A$1:$U$489,12,FALSE),0)</f>
        <v>64.618797302246094</v>
      </c>
      <c r="FK98" s="418">
        <f t="shared" ref="FK98:FK103" si="48">FF98+FJ98</f>
        <v>64.618797302246094</v>
      </c>
      <c r="FL98" s="418">
        <f t="shared" ref="FL98:FL103" si="49">SUM(Z98-FK98)</f>
        <v>1.2026977539107975E-3</v>
      </c>
      <c r="FM98" s="417"/>
      <c r="FN98" s="417"/>
      <c r="FO98" s="417"/>
      <c r="FP98" s="417"/>
      <c r="FQ98" s="417"/>
      <c r="FR98" s="417"/>
      <c r="FS98" s="417"/>
      <c r="FT98" s="417"/>
      <c r="FU98" s="417"/>
      <c r="FV98" s="417"/>
      <c r="FW98" s="417"/>
      <c r="FX98" s="417"/>
      <c r="FY98" s="418"/>
      <c r="FZ98" s="418"/>
      <c r="GA98" s="418"/>
      <c r="GB98" s="417"/>
      <c r="GC98" s="417"/>
      <c r="GD98" s="417"/>
      <c r="GE98" s="417"/>
      <c r="GF98" s="417"/>
      <c r="GG98" s="417"/>
      <c r="GH98" s="417"/>
      <c r="GI98" s="417"/>
      <c r="GJ98" s="417"/>
      <c r="GK98" s="417"/>
      <c r="GL98" s="417"/>
      <c r="GM98" s="417"/>
      <c r="GN98" s="418"/>
      <c r="GO98" s="418"/>
      <c r="GP98" s="418"/>
      <c r="GQ98" s="417"/>
      <c r="GR98" s="417"/>
      <c r="GS98" s="417"/>
      <c r="GT98" s="417"/>
      <c r="GU98" s="417"/>
      <c r="GV98" s="417"/>
      <c r="GW98" s="417"/>
      <c r="GX98" s="417"/>
      <c r="GY98" s="417"/>
      <c r="GZ98" s="417"/>
      <c r="HA98" s="417"/>
      <c r="HB98" s="417"/>
      <c r="HC98" s="418"/>
      <c r="HD98" s="418"/>
      <c r="HE98" s="418"/>
      <c r="HF98" s="417"/>
      <c r="HG98" s="417"/>
      <c r="HH98" s="417"/>
      <c r="HI98" s="417"/>
      <c r="HJ98" s="417"/>
      <c r="HK98" s="417"/>
      <c r="HL98" s="417"/>
      <c r="HM98" s="417"/>
      <c r="HN98" s="417"/>
      <c r="HO98" s="417"/>
      <c r="HP98" s="417"/>
      <c r="HQ98" s="417"/>
      <c r="HR98" s="418"/>
      <c r="HS98" s="418"/>
      <c r="HT98" s="418"/>
    </row>
    <row r="99" spans="1:228" s="387" customFormat="1" ht="12.95" customHeight="1" x14ac:dyDescent="0.2">
      <c r="A99" s="406" t="s">
        <v>52</v>
      </c>
      <c r="B99" s="407" t="s">
        <v>27</v>
      </c>
      <c r="C99" s="406" t="s">
        <v>56</v>
      </c>
      <c r="D99" s="407" t="s">
        <v>981</v>
      </c>
      <c r="E99" s="407" t="s">
        <v>56</v>
      </c>
      <c r="F99" s="407" t="s">
        <v>981</v>
      </c>
      <c r="G99" s="406" t="s">
        <v>54</v>
      </c>
      <c r="H99" s="408" t="s">
        <v>520</v>
      </c>
      <c r="I99" s="408"/>
      <c r="J99" s="406" t="s">
        <v>794</v>
      </c>
      <c r="K99" s="406" t="s">
        <v>795</v>
      </c>
      <c r="L99" s="406" t="s">
        <v>796</v>
      </c>
      <c r="M99" s="406"/>
      <c r="N99" s="452">
        <v>0</v>
      </c>
      <c r="O99" s="452">
        <v>0</v>
      </c>
      <c r="P99" s="452">
        <v>0</v>
      </c>
      <c r="Q99" s="452">
        <v>0</v>
      </c>
      <c r="R99" s="452">
        <v>0</v>
      </c>
      <c r="S99" s="452">
        <v>0</v>
      </c>
      <c r="T99" s="452">
        <v>0</v>
      </c>
      <c r="U99" s="409">
        <v>0</v>
      </c>
      <c r="V99" s="409"/>
      <c r="W99" s="409"/>
      <c r="X99" s="409"/>
      <c r="Y99" s="409"/>
      <c r="Z99" s="453">
        <f t="shared" si="47"/>
        <v>0</v>
      </c>
      <c r="AA99" s="452"/>
      <c r="AB99" s="452"/>
      <c r="AC99" s="452"/>
      <c r="AD99" s="452"/>
      <c r="AE99" s="452"/>
      <c r="AF99" s="452"/>
      <c r="AG99" s="452"/>
      <c r="AH99" s="409"/>
      <c r="AI99" s="409"/>
      <c r="AJ99" s="409"/>
      <c r="AK99" s="409"/>
      <c r="AL99" s="409"/>
      <c r="AM99" s="453">
        <f t="shared" si="34"/>
        <v>0</v>
      </c>
      <c r="AN99" s="452"/>
      <c r="AO99" s="452"/>
      <c r="AP99" s="452"/>
      <c r="AQ99" s="452"/>
      <c r="AR99" s="452"/>
      <c r="AS99" s="452"/>
      <c r="AT99" s="452">
        <v>45.710839976157331</v>
      </c>
      <c r="AU99" s="409"/>
      <c r="AV99" s="409"/>
      <c r="AW99" s="409"/>
      <c r="AX99" s="409"/>
      <c r="AY99" s="409"/>
      <c r="AZ99" s="453">
        <f t="shared" si="35"/>
        <v>45.710839976157331</v>
      </c>
      <c r="BA99" s="452"/>
      <c r="BB99" s="452"/>
      <c r="BC99" s="452"/>
      <c r="BD99" s="452"/>
      <c r="BE99" s="452"/>
      <c r="BF99" s="452"/>
      <c r="BG99" s="452"/>
      <c r="BH99" s="409"/>
      <c r="BI99" s="409"/>
      <c r="BJ99" s="409"/>
      <c r="BK99" s="409"/>
      <c r="BL99" s="409"/>
      <c r="BM99" s="453">
        <f t="shared" si="36"/>
        <v>0</v>
      </c>
      <c r="BN99" s="452"/>
      <c r="BO99" s="452"/>
      <c r="BP99" s="452"/>
      <c r="BQ99" s="452"/>
      <c r="BR99" s="452"/>
      <c r="BS99" s="452"/>
      <c r="BT99" s="452">
        <v>60</v>
      </c>
      <c r="BU99" s="409"/>
      <c r="BV99" s="409"/>
      <c r="BW99" s="409"/>
      <c r="BX99" s="409"/>
      <c r="BY99" s="409"/>
      <c r="BZ99" s="453">
        <f t="shared" si="37"/>
        <v>60</v>
      </c>
      <c r="CA99" s="454">
        <f t="shared" si="38"/>
        <v>105.71083997615733</v>
      </c>
      <c r="CB99" s="411"/>
      <c r="CC99" s="411"/>
      <c r="CD99" s="411"/>
      <c r="CE99" s="411"/>
      <c r="CF99" s="411"/>
      <c r="CG99" s="412"/>
      <c r="CH99" s="413"/>
      <c r="CI99" s="414" t="s">
        <v>71</v>
      </c>
      <c r="CJ99" s="415"/>
      <c r="CK99" s="415"/>
      <c r="CL99" s="415"/>
      <c r="CM99" s="415"/>
      <c r="CN99" s="415"/>
      <c r="CO99" s="415"/>
      <c r="CP99" s="415"/>
      <c r="CQ99" s="415"/>
      <c r="CR99" s="415"/>
      <c r="CS99" s="415"/>
      <c r="CT99" s="415"/>
      <c r="CU99" s="415"/>
      <c r="CV99" s="410">
        <f t="shared" si="39"/>
        <v>0</v>
      </c>
      <c r="CW99" s="415"/>
      <c r="CX99" s="415"/>
      <c r="CY99" s="415"/>
      <c r="CZ99" s="415"/>
      <c r="DA99" s="415"/>
      <c r="DB99" s="415"/>
      <c r="DC99" s="415"/>
      <c r="DD99" s="415"/>
      <c r="DE99" s="415"/>
      <c r="DF99" s="415"/>
      <c r="DG99" s="415"/>
      <c r="DH99" s="415"/>
      <c r="DI99" s="410">
        <f t="shared" si="40"/>
        <v>0</v>
      </c>
      <c r="DJ99" s="415"/>
      <c r="DK99" s="415"/>
      <c r="DL99" s="415"/>
      <c r="DM99" s="415"/>
      <c r="DN99" s="415"/>
      <c r="DO99" s="415"/>
      <c r="DP99" s="415">
        <v>72</v>
      </c>
      <c r="DQ99" s="415"/>
      <c r="DR99" s="415"/>
      <c r="DS99" s="415"/>
      <c r="DT99" s="415"/>
      <c r="DU99" s="415"/>
      <c r="DV99" s="410">
        <f t="shared" si="41"/>
        <v>72</v>
      </c>
      <c r="DW99" s="415"/>
      <c r="DX99" s="415"/>
      <c r="DY99" s="415"/>
      <c r="DZ99" s="415"/>
      <c r="EA99" s="415"/>
      <c r="EB99" s="415"/>
      <c r="EC99" s="415">
        <v>72</v>
      </c>
      <c r="ED99" s="415"/>
      <c r="EE99" s="415"/>
      <c r="EF99" s="415"/>
      <c r="EG99" s="415"/>
      <c r="EH99" s="415"/>
      <c r="EI99" s="410">
        <f t="shared" si="42"/>
        <v>72</v>
      </c>
      <c r="EJ99" s="415"/>
      <c r="EK99" s="415"/>
      <c r="EL99" s="415"/>
      <c r="EM99" s="415"/>
      <c r="EN99" s="415"/>
      <c r="EO99" s="415"/>
      <c r="EP99" s="415"/>
      <c r="EQ99" s="415"/>
      <c r="ER99" s="415"/>
      <c r="ES99" s="415"/>
      <c r="ET99" s="415"/>
      <c r="EU99" s="415"/>
      <c r="EV99" s="410">
        <f t="shared" si="43"/>
        <v>0</v>
      </c>
      <c r="EW99" s="416">
        <f t="shared" si="44"/>
        <v>144</v>
      </c>
      <c r="EX99" s="417">
        <f>IFERROR(VLOOKUP(H99,CEI_012018!$A$1:$U$509,9,FALSE),0)</f>
        <v>0</v>
      </c>
      <c r="EY99" s="417">
        <f>IFERROR(VLOOKUP(H99,CEI_022018!$A$1:$U$509,9,FALSE),0)</f>
        <v>0</v>
      </c>
      <c r="EZ99" s="417">
        <f>IFERROR(VLOOKUP(H99,CEI_032018!$A$1:$U$509,9,FALSE),0)</f>
        <v>0</v>
      </c>
      <c r="FA99" s="417">
        <f>IFERROR(VLOOKUP(H99,CEI_042018!$A$1:$U$491,9,FALSE),0)</f>
        <v>0</v>
      </c>
      <c r="FB99" s="417">
        <f>IFERROR(VLOOKUP(H99,CEI_052018!$A$1:$U$489,9,FALSE),0)</f>
        <v>0</v>
      </c>
      <c r="FC99" s="417">
        <f>IFERROR(VLOOKUP(H99,CEI_062018!$A$1:$U$489,9,FALSE),0)</f>
        <v>0</v>
      </c>
      <c r="FD99" s="417">
        <f>IFERROR(VLOOKUP(H99,CEI_072018!$A$1:$U$489,9,FALSE),0)</f>
        <v>0</v>
      </c>
      <c r="FE99" s="417">
        <f>IFERROR(VLOOKUP(H99,CEI_082018!$A$1:$U$489,9,FALSE),0)</f>
        <v>0</v>
      </c>
      <c r="FF99" s="417">
        <f>IFERROR(VLOOKUP(H99,CEI_092018!$A$1:$U$489,9,FALSE),0)</f>
        <v>0</v>
      </c>
      <c r="FG99" s="417"/>
      <c r="FH99" s="417"/>
      <c r="FI99" s="417"/>
      <c r="FJ99" s="418">
        <f>IFERROR(VLOOKUP(H99,CEI_092018!$A$1:$U$489,12,FALSE),0)</f>
        <v>0</v>
      </c>
      <c r="FK99" s="418">
        <f t="shared" si="48"/>
        <v>0</v>
      </c>
      <c r="FL99" s="418">
        <f t="shared" si="49"/>
        <v>0</v>
      </c>
      <c r="FM99" s="417"/>
      <c r="FN99" s="417"/>
      <c r="FO99" s="417"/>
      <c r="FP99" s="417"/>
      <c r="FQ99" s="417"/>
      <c r="FR99" s="417"/>
      <c r="FS99" s="417"/>
      <c r="FT99" s="417"/>
      <c r="FU99" s="417"/>
      <c r="FV99" s="417"/>
      <c r="FW99" s="417"/>
      <c r="FX99" s="417"/>
      <c r="FY99" s="418"/>
      <c r="FZ99" s="418"/>
      <c r="GA99" s="418"/>
      <c r="GB99" s="417"/>
      <c r="GC99" s="417"/>
      <c r="GD99" s="417"/>
      <c r="GE99" s="417"/>
      <c r="GF99" s="417"/>
      <c r="GG99" s="417"/>
      <c r="GH99" s="417"/>
      <c r="GI99" s="417"/>
      <c r="GJ99" s="417"/>
      <c r="GK99" s="417"/>
      <c r="GL99" s="417"/>
      <c r="GM99" s="417"/>
      <c r="GN99" s="418"/>
      <c r="GO99" s="418"/>
      <c r="GP99" s="418"/>
      <c r="GQ99" s="417"/>
      <c r="GR99" s="417"/>
      <c r="GS99" s="417"/>
      <c r="GT99" s="417"/>
      <c r="GU99" s="417"/>
      <c r="GV99" s="417"/>
      <c r="GW99" s="417"/>
      <c r="GX99" s="417"/>
      <c r="GY99" s="417"/>
      <c r="GZ99" s="417"/>
      <c r="HA99" s="417"/>
      <c r="HB99" s="417"/>
      <c r="HC99" s="418"/>
      <c r="HD99" s="418"/>
      <c r="HE99" s="418"/>
      <c r="HF99" s="417"/>
      <c r="HG99" s="417"/>
      <c r="HH99" s="417"/>
      <c r="HI99" s="417"/>
      <c r="HJ99" s="417"/>
      <c r="HK99" s="417"/>
      <c r="HL99" s="417"/>
      <c r="HM99" s="417"/>
      <c r="HN99" s="417"/>
      <c r="HO99" s="417"/>
      <c r="HP99" s="417"/>
      <c r="HQ99" s="417"/>
      <c r="HR99" s="418"/>
      <c r="HS99" s="418"/>
      <c r="HT99" s="418"/>
    </row>
    <row r="100" spans="1:228" s="387" customFormat="1" ht="12.95" customHeight="1" x14ac:dyDescent="0.2">
      <c r="A100" s="406" t="s">
        <v>52</v>
      </c>
      <c r="B100" s="407" t="s">
        <v>31</v>
      </c>
      <c r="C100" s="406" t="s">
        <v>56</v>
      </c>
      <c r="D100" s="407" t="s">
        <v>451</v>
      </c>
      <c r="E100" s="407" t="s">
        <v>56</v>
      </c>
      <c r="F100" s="407" t="s">
        <v>451</v>
      </c>
      <c r="G100" s="406" t="s">
        <v>54</v>
      </c>
      <c r="H100" s="408" t="s">
        <v>520</v>
      </c>
      <c r="I100" s="408"/>
      <c r="J100" s="406" t="s">
        <v>538</v>
      </c>
      <c r="K100" s="406" t="s">
        <v>625</v>
      </c>
      <c r="L100" s="406" t="s">
        <v>628</v>
      </c>
      <c r="M100" s="435" t="s">
        <v>1681</v>
      </c>
      <c r="N100" s="452">
        <v>0</v>
      </c>
      <c r="O100" s="452">
        <v>0</v>
      </c>
      <c r="P100" s="452">
        <v>0</v>
      </c>
      <c r="Q100" s="452">
        <v>0</v>
      </c>
      <c r="R100" s="452">
        <v>0</v>
      </c>
      <c r="S100" s="452">
        <v>0</v>
      </c>
      <c r="T100" s="452">
        <v>0</v>
      </c>
      <c r="U100" s="409">
        <v>0</v>
      </c>
      <c r="V100" s="409"/>
      <c r="W100" s="409"/>
      <c r="X100" s="409"/>
      <c r="Y100" s="409"/>
      <c r="Z100" s="453">
        <f t="shared" si="47"/>
        <v>0</v>
      </c>
      <c r="AA100" s="452"/>
      <c r="AB100" s="452"/>
      <c r="AC100" s="452"/>
      <c r="AD100" s="452"/>
      <c r="AE100" s="452"/>
      <c r="AF100" s="452"/>
      <c r="AG100" s="452">
        <v>102.5</v>
      </c>
      <c r="AH100" s="409"/>
      <c r="AI100" s="409"/>
      <c r="AJ100" s="409"/>
      <c r="AK100" s="409"/>
      <c r="AL100" s="409"/>
      <c r="AM100" s="453">
        <f t="shared" si="34"/>
        <v>102.5</v>
      </c>
      <c r="AN100" s="452"/>
      <c r="AO100" s="452"/>
      <c r="AP100" s="452"/>
      <c r="AQ100" s="452"/>
      <c r="AR100" s="452"/>
      <c r="AS100" s="452"/>
      <c r="AT100" s="452"/>
      <c r="AU100" s="409"/>
      <c r="AV100" s="409"/>
      <c r="AW100" s="409"/>
      <c r="AX100" s="409"/>
      <c r="AY100" s="409"/>
      <c r="AZ100" s="453">
        <f t="shared" si="35"/>
        <v>0</v>
      </c>
      <c r="BA100" s="452"/>
      <c r="BB100" s="452"/>
      <c r="BC100" s="452"/>
      <c r="BD100" s="452"/>
      <c r="BE100" s="452"/>
      <c r="BF100" s="452"/>
      <c r="BG100" s="452"/>
      <c r="BH100" s="409"/>
      <c r="BI100" s="409"/>
      <c r="BJ100" s="409"/>
      <c r="BK100" s="409"/>
      <c r="BL100" s="409"/>
      <c r="BM100" s="453">
        <f t="shared" si="36"/>
        <v>0</v>
      </c>
      <c r="BN100" s="452"/>
      <c r="BO100" s="452"/>
      <c r="BP100" s="452"/>
      <c r="BQ100" s="452"/>
      <c r="BR100" s="452"/>
      <c r="BS100" s="452"/>
      <c r="BT100" s="452"/>
      <c r="BU100" s="409"/>
      <c r="BV100" s="409"/>
      <c r="BW100" s="409"/>
      <c r="BX100" s="409"/>
      <c r="BY100" s="409"/>
      <c r="BZ100" s="453">
        <f t="shared" si="37"/>
        <v>0</v>
      </c>
      <c r="CA100" s="454">
        <f t="shared" si="38"/>
        <v>102.5</v>
      </c>
      <c r="CB100" s="411"/>
      <c r="CC100" s="411"/>
      <c r="CD100" s="411"/>
      <c r="CE100" s="411"/>
      <c r="CF100" s="411"/>
      <c r="CG100" s="412"/>
      <c r="CH100" s="413"/>
      <c r="CI100" s="414" t="s">
        <v>1090</v>
      </c>
      <c r="CJ100" s="415"/>
      <c r="CK100" s="415"/>
      <c r="CL100" s="415"/>
      <c r="CM100" s="415"/>
      <c r="CN100" s="415"/>
      <c r="CO100" s="415"/>
      <c r="CP100" s="415"/>
      <c r="CQ100" s="415"/>
      <c r="CR100" s="415"/>
      <c r="CS100" s="415"/>
      <c r="CT100" s="415"/>
      <c r="CU100" s="415">
        <v>1</v>
      </c>
      <c r="CV100" s="410">
        <f t="shared" si="39"/>
        <v>1</v>
      </c>
      <c r="CW100" s="415"/>
      <c r="CX100" s="415"/>
      <c r="CY100" s="415"/>
      <c r="CZ100" s="415"/>
      <c r="DA100" s="415"/>
      <c r="DB100" s="415"/>
      <c r="DC100" s="415"/>
      <c r="DD100" s="415"/>
      <c r="DE100" s="415"/>
      <c r="DF100" s="415"/>
      <c r="DG100" s="415"/>
      <c r="DH100" s="415"/>
      <c r="DI100" s="410">
        <f t="shared" si="40"/>
        <v>0</v>
      </c>
      <c r="DJ100" s="415"/>
      <c r="DK100" s="415"/>
      <c r="DL100" s="415"/>
      <c r="DM100" s="415"/>
      <c r="DN100" s="415"/>
      <c r="DO100" s="415"/>
      <c r="DP100" s="415"/>
      <c r="DQ100" s="415"/>
      <c r="DR100" s="415"/>
      <c r="DS100" s="415"/>
      <c r="DT100" s="415"/>
      <c r="DU100" s="415"/>
      <c r="DV100" s="410">
        <f t="shared" si="41"/>
        <v>0</v>
      </c>
      <c r="DW100" s="415"/>
      <c r="DX100" s="415"/>
      <c r="DY100" s="415"/>
      <c r="DZ100" s="415"/>
      <c r="EA100" s="415"/>
      <c r="EB100" s="415"/>
      <c r="EC100" s="415"/>
      <c r="ED100" s="415"/>
      <c r="EE100" s="415"/>
      <c r="EF100" s="415"/>
      <c r="EG100" s="415"/>
      <c r="EH100" s="415"/>
      <c r="EI100" s="410">
        <f t="shared" si="42"/>
        <v>0</v>
      </c>
      <c r="EJ100" s="415"/>
      <c r="EK100" s="415"/>
      <c r="EL100" s="415"/>
      <c r="EM100" s="415"/>
      <c r="EN100" s="415"/>
      <c r="EO100" s="415"/>
      <c r="EP100" s="415"/>
      <c r="EQ100" s="415"/>
      <c r="ER100" s="415"/>
      <c r="ES100" s="415"/>
      <c r="ET100" s="415"/>
      <c r="EU100" s="415"/>
      <c r="EV100" s="410">
        <f t="shared" si="43"/>
        <v>0</v>
      </c>
      <c r="EW100" s="416">
        <f t="shared" si="44"/>
        <v>1</v>
      </c>
      <c r="EX100" s="417">
        <f>IFERROR(VLOOKUP(H100,CEI_012018!$A$1:$U$509,9,FALSE),0)</f>
        <v>0</v>
      </c>
      <c r="EY100" s="417">
        <f>IFERROR(VLOOKUP(H100,CEI_022018!$A$1:$U$509,9,FALSE),0)</f>
        <v>0</v>
      </c>
      <c r="EZ100" s="417">
        <f>IFERROR(VLOOKUP(H100,CEI_032018!$A$1:$U$509,9,FALSE),0)</f>
        <v>0</v>
      </c>
      <c r="FA100" s="417">
        <f>IFERROR(VLOOKUP(H100,CEI_042018!$A$1:$U$491,9,FALSE),0)</f>
        <v>0</v>
      </c>
      <c r="FB100" s="417">
        <f>IFERROR(VLOOKUP(H100,CEI_052018!$A$1:$U$489,9,FALSE),0)</f>
        <v>0</v>
      </c>
      <c r="FC100" s="417">
        <f>IFERROR(VLOOKUP(H100,CEI_062018!$A$1:$U$489,9,FALSE),0)</f>
        <v>0</v>
      </c>
      <c r="FD100" s="417">
        <f>IFERROR(VLOOKUP(H100,CEI_072018!$A$1:$U$489,9,FALSE),0)</f>
        <v>0</v>
      </c>
      <c r="FE100" s="417">
        <f>IFERROR(VLOOKUP(H100,CEI_082018!$A$1:$U$489,9,FALSE),0)</f>
        <v>0</v>
      </c>
      <c r="FF100" s="417">
        <f>IFERROR(VLOOKUP(H100,CEI_092018!$A$1:$U$489,9,FALSE),0)</f>
        <v>0</v>
      </c>
      <c r="FG100" s="417"/>
      <c r="FH100" s="417"/>
      <c r="FI100" s="417"/>
      <c r="FJ100" s="418">
        <f>IFERROR(VLOOKUP(H100,CEI_092018!$A$1:$U$489,12,FALSE),0)</f>
        <v>0</v>
      </c>
      <c r="FK100" s="418">
        <f t="shared" si="48"/>
        <v>0</v>
      </c>
      <c r="FL100" s="418">
        <f t="shared" si="49"/>
        <v>0</v>
      </c>
      <c r="FM100" s="417"/>
      <c r="FN100" s="417"/>
      <c r="FO100" s="417"/>
      <c r="FP100" s="417"/>
      <c r="FQ100" s="417"/>
      <c r="FR100" s="417"/>
      <c r="FS100" s="417"/>
      <c r="FT100" s="417"/>
      <c r="FU100" s="417"/>
      <c r="FV100" s="417"/>
      <c r="FW100" s="417"/>
      <c r="FX100" s="417"/>
      <c r="FY100" s="418"/>
      <c r="FZ100" s="418"/>
      <c r="GA100" s="418"/>
      <c r="GB100" s="417"/>
      <c r="GC100" s="417"/>
      <c r="GD100" s="417"/>
      <c r="GE100" s="417"/>
      <c r="GF100" s="417"/>
      <c r="GG100" s="417"/>
      <c r="GH100" s="417"/>
      <c r="GI100" s="417"/>
      <c r="GJ100" s="417"/>
      <c r="GK100" s="417"/>
      <c r="GL100" s="417"/>
      <c r="GM100" s="417"/>
      <c r="GN100" s="418"/>
      <c r="GO100" s="418"/>
      <c r="GP100" s="418"/>
      <c r="GQ100" s="417"/>
      <c r="GR100" s="417"/>
      <c r="GS100" s="417"/>
      <c r="GT100" s="417"/>
      <c r="GU100" s="417"/>
      <c r="GV100" s="417"/>
      <c r="GW100" s="417"/>
      <c r="GX100" s="417"/>
      <c r="GY100" s="417"/>
      <c r="GZ100" s="417"/>
      <c r="HA100" s="417"/>
      <c r="HB100" s="417"/>
      <c r="HC100" s="418"/>
      <c r="HD100" s="418"/>
      <c r="HE100" s="418"/>
      <c r="HF100" s="417"/>
      <c r="HG100" s="417"/>
      <c r="HH100" s="417"/>
      <c r="HI100" s="417"/>
      <c r="HJ100" s="417"/>
      <c r="HK100" s="417"/>
      <c r="HL100" s="417"/>
      <c r="HM100" s="417"/>
      <c r="HN100" s="417"/>
      <c r="HO100" s="417"/>
      <c r="HP100" s="417"/>
      <c r="HQ100" s="417"/>
      <c r="HR100" s="418"/>
      <c r="HS100" s="418"/>
      <c r="HT100" s="418"/>
    </row>
    <row r="101" spans="1:228" s="387" customFormat="1" ht="12.95" customHeight="1" x14ac:dyDescent="0.2">
      <c r="A101" s="406" t="s">
        <v>61</v>
      </c>
      <c r="B101" s="407" t="s">
        <v>33</v>
      </c>
      <c r="C101" s="406" t="s">
        <v>56</v>
      </c>
      <c r="D101" s="407" t="s">
        <v>975</v>
      </c>
      <c r="E101" s="407" t="s">
        <v>56</v>
      </c>
      <c r="F101" s="407" t="s">
        <v>975</v>
      </c>
      <c r="G101" s="406" t="s">
        <v>54</v>
      </c>
      <c r="H101" s="408" t="s">
        <v>520</v>
      </c>
      <c r="I101" s="408"/>
      <c r="J101" s="406" t="s">
        <v>1023</v>
      </c>
      <c r="K101" s="406" t="s">
        <v>826</v>
      </c>
      <c r="L101" s="406" t="s">
        <v>422</v>
      </c>
      <c r="M101" s="406"/>
      <c r="N101" s="452">
        <v>0</v>
      </c>
      <c r="O101" s="452">
        <v>0</v>
      </c>
      <c r="P101" s="452">
        <v>0</v>
      </c>
      <c r="Q101" s="452">
        <v>0</v>
      </c>
      <c r="R101" s="452">
        <v>0</v>
      </c>
      <c r="S101" s="452">
        <v>0</v>
      </c>
      <c r="T101" s="452">
        <v>0</v>
      </c>
      <c r="U101" s="409">
        <v>0</v>
      </c>
      <c r="V101" s="409"/>
      <c r="W101" s="409"/>
      <c r="X101" s="409"/>
      <c r="Y101" s="409"/>
      <c r="Z101" s="453">
        <f t="shared" si="47"/>
        <v>0</v>
      </c>
      <c r="AA101" s="452"/>
      <c r="AB101" s="452"/>
      <c r="AC101" s="452"/>
      <c r="AD101" s="452"/>
      <c r="AE101" s="452"/>
      <c r="AF101" s="452"/>
      <c r="AG101" s="452"/>
      <c r="AH101" s="409"/>
      <c r="AI101" s="409"/>
      <c r="AJ101" s="409"/>
      <c r="AK101" s="409">
        <v>13</v>
      </c>
      <c r="AL101" s="409"/>
      <c r="AM101" s="453">
        <f t="shared" si="34"/>
        <v>13</v>
      </c>
      <c r="AN101" s="452"/>
      <c r="AO101" s="452"/>
      <c r="AP101" s="452"/>
      <c r="AQ101" s="452"/>
      <c r="AR101" s="452"/>
      <c r="AS101" s="452"/>
      <c r="AT101" s="452"/>
      <c r="AU101" s="409"/>
      <c r="AV101" s="409"/>
      <c r="AW101" s="409"/>
      <c r="AX101" s="409">
        <v>13</v>
      </c>
      <c r="AY101" s="409"/>
      <c r="AZ101" s="453">
        <f t="shared" si="35"/>
        <v>13</v>
      </c>
      <c r="BA101" s="452"/>
      <c r="BB101" s="452"/>
      <c r="BC101" s="452"/>
      <c r="BD101" s="452"/>
      <c r="BE101" s="452"/>
      <c r="BF101" s="452"/>
      <c r="BG101" s="452"/>
      <c r="BH101" s="409"/>
      <c r="BI101" s="409"/>
      <c r="BJ101" s="409"/>
      <c r="BK101" s="409"/>
      <c r="BL101" s="409"/>
      <c r="BM101" s="453">
        <f t="shared" si="36"/>
        <v>0</v>
      </c>
      <c r="BN101" s="452"/>
      <c r="BO101" s="452"/>
      <c r="BP101" s="452"/>
      <c r="BQ101" s="452"/>
      <c r="BR101" s="452"/>
      <c r="BS101" s="452"/>
      <c r="BT101" s="452"/>
      <c r="BU101" s="409"/>
      <c r="BV101" s="409"/>
      <c r="BW101" s="409"/>
      <c r="BX101" s="409">
        <v>26</v>
      </c>
      <c r="BY101" s="409"/>
      <c r="BZ101" s="453">
        <f t="shared" si="37"/>
        <v>26</v>
      </c>
      <c r="CA101" s="454">
        <f t="shared" si="38"/>
        <v>52</v>
      </c>
      <c r="CB101" s="411"/>
      <c r="CC101" s="411"/>
      <c r="CD101" s="411"/>
      <c r="CE101" s="411"/>
      <c r="CF101" s="411"/>
      <c r="CG101" s="412"/>
      <c r="CH101" s="413"/>
      <c r="CI101" s="414" t="s">
        <v>270</v>
      </c>
      <c r="CJ101" s="415"/>
      <c r="CK101" s="415"/>
      <c r="CL101" s="415"/>
      <c r="CM101" s="415"/>
      <c r="CN101" s="415"/>
      <c r="CO101" s="415"/>
      <c r="CP101" s="415"/>
      <c r="CQ101" s="415"/>
      <c r="CR101" s="415"/>
      <c r="CS101" s="415"/>
      <c r="CT101" s="415"/>
      <c r="CU101" s="415"/>
      <c r="CV101" s="410">
        <f t="shared" si="39"/>
        <v>0</v>
      </c>
      <c r="CW101" s="415"/>
      <c r="CX101" s="415"/>
      <c r="CY101" s="415"/>
      <c r="CZ101" s="415"/>
      <c r="DA101" s="415"/>
      <c r="DB101" s="415"/>
      <c r="DC101" s="415"/>
      <c r="DD101" s="415"/>
      <c r="DE101" s="415"/>
      <c r="DF101" s="415"/>
      <c r="DG101" s="415">
        <v>6</v>
      </c>
      <c r="DH101" s="415"/>
      <c r="DI101" s="410">
        <f t="shared" si="40"/>
        <v>6</v>
      </c>
      <c r="DJ101" s="415"/>
      <c r="DK101" s="415"/>
      <c r="DL101" s="415"/>
      <c r="DM101" s="415"/>
      <c r="DN101" s="415"/>
      <c r="DO101" s="415"/>
      <c r="DP101" s="415"/>
      <c r="DQ101" s="415"/>
      <c r="DR101" s="415"/>
      <c r="DS101" s="415"/>
      <c r="DT101" s="415">
        <v>6</v>
      </c>
      <c r="DU101" s="415"/>
      <c r="DV101" s="410">
        <f t="shared" si="41"/>
        <v>6</v>
      </c>
      <c r="DW101" s="415"/>
      <c r="DX101" s="415"/>
      <c r="DY101" s="415"/>
      <c r="DZ101" s="415"/>
      <c r="EA101" s="415"/>
      <c r="EB101" s="415"/>
      <c r="EC101" s="415"/>
      <c r="ED101" s="415"/>
      <c r="EE101" s="415"/>
      <c r="EF101" s="415"/>
      <c r="EG101" s="415"/>
      <c r="EH101" s="415"/>
      <c r="EI101" s="410">
        <f t="shared" si="42"/>
        <v>0</v>
      </c>
      <c r="EJ101" s="415"/>
      <c r="EK101" s="415"/>
      <c r="EL101" s="415"/>
      <c r="EM101" s="415"/>
      <c r="EN101" s="415"/>
      <c r="EO101" s="415"/>
      <c r="EP101" s="415"/>
      <c r="EQ101" s="415"/>
      <c r="ER101" s="415"/>
      <c r="ES101" s="415"/>
      <c r="ET101" s="415">
        <v>12</v>
      </c>
      <c r="EU101" s="415"/>
      <c r="EV101" s="410">
        <f t="shared" si="43"/>
        <v>12</v>
      </c>
      <c r="EW101" s="416">
        <f t="shared" si="44"/>
        <v>24</v>
      </c>
      <c r="EX101" s="417">
        <f>IFERROR(VLOOKUP(H101,CEI_012018!$A$1:$U$509,9,FALSE),0)</f>
        <v>0</v>
      </c>
      <c r="EY101" s="417">
        <f>IFERROR(VLOOKUP(H101,CEI_022018!$A$1:$U$509,9,FALSE),0)</f>
        <v>0</v>
      </c>
      <c r="EZ101" s="417">
        <f>IFERROR(VLOOKUP(H101,CEI_032018!$A$1:$U$509,9,FALSE),0)</f>
        <v>0</v>
      </c>
      <c r="FA101" s="417">
        <f>IFERROR(VLOOKUP(H101,CEI_042018!$A$1:$U$491,9,FALSE),0)</f>
        <v>0</v>
      </c>
      <c r="FB101" s="417">
        <f>IFERROR(VLOOKUP(H101,CEI_052018!$A$1:$U$489,9,FALSE),0)</f>
        <v>0</v>
      </c>
      <c r="FC101" s="417">
        <f>IFERROR(VLOOKUP(H101,CEI_062018!$A$1:$U$489,9,FALSE),0)</f>
        <v>0</v>
      </c>
      <c r="FD101" s="417">
        <f>IFERROR(VLOOKUP(H101,CEI_072018!$A$1:$U$489,9,FALSE),0)</f>
        <v>0</v>
      </c>
      <c r="FE101" s="417">
        <f>IFERROR(VLOOKUP(H101,CEI_082018!$A$1:$U$489,9,FALSE),0)</f>
        <v>0</v>
      </c>
      <c r="FF101" s="417">
        <f>IFERROR(VLOOKUP(H101,CEI_092018!$A$1:$U$489,9,FALSE),0)</f>
        <v>0</v>
      </c>
      <c r="FG101" s="417"/>
      <c r="FH101" s="417"/>
      <c r="FI101" s="417"/>
      <c r="FJ101" s="418">
        <f>IFERROR(VLOOKUP(H101,CEI_092018!$A$1:$U$489,12,FALSE),0)</f>
        <v>0</v>
      </c>
      <c r="FK101" s="418">
        <f t="shared" si="48"/>
        <v>0</v>
      </c>
      <c r="FL101" s="418">
        <f t="shared" si="49"/>
        <v>0</v>
      </c>
      <c r="FM101" s="417"/>
      <c r="FN101" s="417"/>
      <c r="FO101" s="417"/>
      <c r="FP101" s="417"/>
      <c r="FQ101" s="417"/>
      <c r="FR101" s="417"/>
      <c r="FS101" s="417"/>
      <c r="FT101" s="417"/>
      <c r="FU101" s="417"/>
      <c r="FV101" s="417"/>
      <c r="FW101" s="417"/>
      <c r="FX101" s="417"/>
      <c r="FY101" s="418"/>
      <c r="FZ101" s="418"/>
      <c r="GA101" s="418"/>
      <c r="GB101" s="417"/>
      <c r="GC101" s="417"/>
      <c r="GD101" s="417"/>
      <c r="GE101" s="417"/>
      <c r="GF101" s="417"/>
      <c r="GG101" s="417"/>
      <c r="GH101" s="417"/>
      <c r="GI101" s="417"/>
      <c r="GJ101" s="417"/>
      <c r="GK101" s="417"/>
      <c r="GL101" s="417"/>
      <c r="GM101" s="417"/>
      <c r="GN101" s="418"/>
      <c r="GO101" s="418"/>
      <c r="GP101" s="418"/>
      <c r="GQ101" s="417"/>
      <c r="GR101" s="417"/>
      <c r="GS101" s="417"/>
      <c r="GT101" s="417"/>
      <c r="GU101" s="417"/>
      <c r="GV101" s="417"/>
      <c r="GW101" s="417"/>
      <c r="GX101" s="417"/>
      <c r="GY101" s="417"/>
      <c r="GZ101" s="417"/>
      <c r="HA101" s="417"/>
      <c r="HB101" s="417"/>
      <c r="HC101" s="418"/>
      <c r="HD101" s="418"/>
      <c r="HE101" s="418"/>
      <c r="HF101" s="417"/>
      <c r="HG101" s="417"/>
      <c r="HH101" s="417"/>
      <c r="HI101" s="417"/>
      <c r="HJ101" s="417"/>
      <c r="HK101" s="417"/>
      <c r="HL101" s="417"/>
      <c r="HM101" s="417"/>
      <c r="HN101" s="417"/>
      <c r="HO101" s="417"/>
      <c r="HP101" s="417"/>
      <c r="HQ101" s="417"/>
      <c r="HR101" s="418"/>
      <c r="HS101" s="418"/>
      <c r="HT101" s="418"/>
    </row>
    <row r="102" spans="1:228" s="387" customFormat="1" ht="12.95" customHeight="1" x14ac:dyDescent="0.2">
      <c r="A102" s="406" t="s">
        <v>61</v>
      </c>
      <c r="B102" s="407" t="s">
        <v>33</v>
      </c>
      <c r="C102" s="406" t="s">
        <v>56</v>
      </c>
      <c r="D102" s="407" t="s">
        <v>271</v>
      </c>
      <c r="E102" s="407" t="s">
        <v>56</v>
      </c>
      <c r="F102" s="407" t="s">
        <v>271</v>
      </c>
      <c r="G102" s="406" t="s">
        <v>54</v>
      </c>
      <c r="H102" s="408" t="s">
        <v>520</v>
      </c>
      <c r="I102" s="408"/>
      <c r="J102" s="406" t="s">
        <v>436</v>
      </c>
      <c r="K102" s="406" t="s">
        <v>437</v>
      </c>
      <c r="L102" s="406" t="s">
        <v>438</v>
      </c>
      <c r="M102" s="406"/>
      <c r="N102" s="452">
        <v>0</v>
      </c>
      <c r="O102" s="452">
        <v>0</v>
      </c>
      <c r="P102" s="452">
        <v>0</v>
      </c>
      <c r="Q102" s="452">
        <v>0</v>
      </c>
      <c r="R102" s="452">
        <v>0</v>
      </c>
      <c r="S102" s="452">
        <v>0</v>
      </c>
      <c r="T102" s="452">
        <v>0</v>
      </c>
      <c r="U102" s="409">
        <v>0</v>
      </c>
      <c r="V102" s="409"/>
      <c r="W102" s="409"/>
      <c r="X102" s="409"/>
      <c r="Y102" s="409"/>
      <c r="Z102" s="453">
        <f t="shared" si="47"/>
        <v>0</v>
      </c>
      <c r="AA102" s="452"/>
      <c r="AB102" s="452"/>
      <c r="AC102" s="452"/>
      <c r="AD102" s="452"/>
      <c r="AE102" s="452"/>
      <c r="AF102" s="452"/>
      <c r="AG102" s="452"/>
      <c r="AH102" s="409"/>
      <c r="AI102" s="409"/>
      <c r="AJ102" s="409"/>
      <c r="AK102" s="409"/>
      <c r="AL102" s="409"/>
      <c r="AM102" s="453">
        <f t="shared" si="34"/>
        <v>0</v>
      </c>
      <c r="AN102" s="452"/>
      <c r="AO102" s="452"/>
      <c r="AP102" s="452"/>
      <c r="AQ102" s="452"/>
      <c r="AR102" s="452"/>
      <c r="AS102" s="452"/>
      <c r="AT102" s="452"/>
      <c r="AU102" s="409"/>
      <c r="AV102" s="409"/>
      <c r="AW102" s="409"/>
      <c r="AX102" s="409"/>
      <c r="AY102" s="409"/>
      <c r="AZ102" s="453">
        <f t="shared" si="35"/>
        <v>0</v>
      </c>
      <c r="BA102" s="452"/>
      <c r="BB102" s="452"/>
      <c r="BC102" s="452"/>
      <c r="BD102" s="452">
        <v>5</v>
      </c>
      <c r="BE102" s="452">
        <v>14</v>
      </c>
      <c r="BF102" s="452">
        <v>65</v>
      </c>
      <c r="BG102" s="452">
        <v>75</v>
      </c>
      <c r="BH102" s="409">
        <v>87</v>
      </c>
      <c r="BI102" s="409">
        <v>49</v>
      </c>
      <c r="BJ102" s="409"/>
      <c r="BK102" s="409"/>
      <c r="BL102" s="409"/>
      <c r="BM102" s="453">
        <f t="shared" si="36"/>
        <v>295</v>
      </c>
      <c r="BN102" s="452"/>
      <c r="BO102" s="452"/>
      <c r="BP102" s="452"/>
      <c r="BQ102" s="452"/>
      <c r="BR102" s="452"/>
      <c r="BS102" s="452"/>
      <c r="BT102" s="452"/>
      <c r="BU102" s="409"/>
      <c r="BV102" s="409"/>
      <c r="BW102" s="409"/>
      <c r="BX102" s="409"/>
      <c r="BY102" s="409"/>
      <c r="BZ102" s="453">
        <f t="shared" si="37"/>
        <v>0</v>
      </c>
      <c r="CA102" s="454">
        <f t="shared" si="38"/>
        <v>295</v>
      </c>
      <c r="CB102" s="411"/>
      <c r="CC102" s="411"/>
      <c r="CD102" s="411"/>
      <c r="CE102" s="411"/>
      <c r="CF102" s="411"/>
      <c r="CG102" s="412"/>
      <c r="CH102" s="413"/>
      <c r="CI102" s="414" t="s">
        <v>70</v>
      </c>
      <c r="CJ102" s="422">
        <v>0</v>
      </c>
      <c r="CK102" s="422">
        <v>0</v>
      </c>
      <c r="CL102" s="422">
        <v>0</v>
      </c>
      <c r="CM102" s="422">
        <v>0</v>
      </c>
      <c r="CN102" s="422">
        <v>0</v>
      </c>
      <c r="CO102" s="422">
        <v>0</v>
      </c>
      <c r="CP102" s="422">
        <v>0</v>
      </c>
      <c r="CQ102" s="422">
        <v>0</v>
      </c>
      <c r="CR102" s="422">
        <v>0</v>
      </c>
      <c r="CS102" s="422">
        <v>0</v>
      </c>
      <c r="CT102" s="422">
        <v>0</v>
      </c>
      <c r="CU102" s="422">
        <v>0</v>
      </c>
      <c r="CV102" s="410">
        <f t="shared" si="39"/>
        <v>0</v>
      </c>
      <c r="CW102" s="422">
        <v>0</v>
      </c>
      <c r="CX102" s="422">
        <v>0</v>
      </c>
      <c r="CY102" s="422">
        <v>0</v>
      </c>
      <c r="CZ102" s="422">
        <v>0</v>
      </c>
      <c r="DA102" s="422">
        <v>0</v>
      </c>
      <c r="DB102" s="422">
        <v>0</v>
      </c>
      <c r="DC102" s="422">
        <v>0</v>
      </c>
      <c r="DD102" s="422">
        <v>0</v>
      </c>
      <c r="DE102" s="422">
        <v>0</v>
      </c>
      <c r="DF102" s="422">
        <v>0</v>
      </c>
      <c r="DG102" s="422">
        <v>0</v>
      </c>
      <c r="DH102" s="422">
        <v>0</v>
      </c>
      <c r="DI102" s="410">
        <f t="shared" si="40"/>
        <v>0</v>
      </c>
      <c r="DJ102" s="422">
        <v>0</v>
      </c>
      <c r="DK102" s="422">
        <v>0</v>
      </c>
      <c r="DL102" s="422">
        <v>0</v>
      </c>
      <c r="DM102" s="422">
        <v>0</v>
      </c>
      <c r="DN102" s="422">
        <v>0</v>
      </c>
      <c r="DO102" s="422">
        <v>0</v>
      </c>
      <c r="DP102" s="422">
        <v>0</v>
      </c>
      <c r="DQ102" s="422">
        <v>0</v>
      </c>
      <c r="DR102" s="422">
        <v>0</v>
      </c>
      <c r="DS102" s="422">
        <v>0</v>
      </c>
      <c r="DT102" s="422">
        <v>0</v>
      </c>
      <c r="DU102" s="422">
        <v>0</v>
      </c>
      <c r="DV102" s="410">
        <f t="shared" si="41"/>
        <v>0</v>
      </c>
      <c r="DW102" s="422">
        <v>0</v>
      </c>
      <c r="DX102" s="422">
        <v>0</v>
      </c>
      <c r="DY102" s="422">
        <v>0</v>
      </c>
      <c r="DZ102" s="422">
        <v>4.6511627906976744E-3</v>
      </c>
      <c r="EA102" s="422">
        <v>1.3023255813953489E-2</v>
      </c>
      <c r="EB102" s="422">
        <v>6.0465116279069767E-2</v>
      </c>
      <c r="EC102" s="422">
        <v>6.9767441860465115E-2</v>
      </c>
      <c r="ED102" s="422">
        <v>8.0930232558139539E-2</v>
      </c>
      <c r="EE102" s="422">
        <v>4.5581395348837206E-2</v>
      </c>
      <c r="EF102" s="422">
        <v>0</v>
      </c>
      <c r="EG102" s="422">
        <v>0</v>
      </c>
      <c r="EH102" s="422">
        <v>0</v>
      </c>
      <c r="EI102" s="410">
        <f t="shared" si="42"/>
        <v>0.2744186046511628</v>
      </c>
      <c r="EJ102" s="422">
        <v>0</v>
      </c>
      <c r="EK102" s="422">
        <v>0</v>
      </c>
      <c r="EL102" s="422">
        <v>0</v>
      </c>
      <c r="EM102" s="422">
        <v>0</v>
      </c>
      <c r="EN102" s="422">
        <v>0</v>
      </c>
      <c r="EO102" s="422">
        <v>0</v>
      </c>
      <c r="EP102" s="422">
        <v>0</v>
      </c>
      <c r="EQ102" s="422">
        <v>0</v>
      </c>
      <c r="ER102" s="422">
        <v>0</v>
      </c>
      <c r="ES102" s="422">
        <v>0</v>
      </c>
      <c r="ET102" s="422">
        <v>0</v>
      </c>
      <c r="EU102" s="422">
        <v>0</v>
      </c>
      <c r="EV102" s="410">
        <f t="shared" si="43"/>
        <v>0</v>
      </c>
      <c r="EW102" s="416">
        <f t="shared" si="44"/>
        <v>0.2744186046511628</v>
      </c>
      <c r="EX102" s="417">
        <f>IFERROR(VLOOKUP(H102,CEI_012018!$A$1:$U$509,9,FALSE),0)</f>
        <v>0</v>
      </c>
      <c r="EY102" s="417">
        <f>IFERROR(VLOOKUP(H102,CEI_022018!$A$1:$U$509,9,FALSE),0)</f>
        <v>0</v>
      </c>
      <c r="EZ102" s="417">
        <f>IFERROR(VLOOKUP(H102,CEI_032018!$A$1:$U$509,9,FALSE),0)</f>
        <v>0</v>
      </c>
      <c r="FA102" s="417">
        <f>IFERROR(VLOOKUP(H102,CEI_042018!$A$1:$U$491,9,FALSE),0)</f>
        <v>0</v>
      </c>
      <c r="FB102" s="417">
        <f>IFERROR(VLOOKUP(H102,CEI_052018!$A$1:$U$489,9,FALSE),0)</f>
        <v>0</v>
      </c>
      <c r="FC102" s="417">
        <f>IFERROR(VLOOKUP(H102,CEI_062018!$A$1:$U$489,9,FALSE),0)</f>
        <v>0</v>
      </c>
      <c r="FD102" s="417">
        <f>IFERROR(VLOOKUP(H102,CEI_072018!$A$1:$U$489,9,FALSE),0)</f>
        <v>0</v>
      </c>
      <c r="FE102" s="417">
        <f>IFERROR(VLOOKUP(H102,CEI_082018!$A$1:$U$489,9,FALSE),0)</f>
        <v>0</v>
      </c>
      <c r="FF102" s="417">
        <f>IFERROR(VLOOKUP(H102,CEI_092018!$A$1:$U$489,9,FALSE),0)</f>
        <v>0</v>
      </c>
      <c r="FG102" s="417"/>
      <c r="FH102" s="417"/>
      <c r="FI102" s="417"/>
      <c r="FJ102" s="418">
        <f>IFERROR(VLOOKUP(H102,CEI_092018!$A$1:$U$489,12,FALSE),0)</f>
        <v>0</v>
      </c>
      <c r="FK102" s="418">
        <f t="shared" si="48"/>
        <v>0</v>
      </c>
      <c r="FL102" s="418">
        <f t="shared" si="49"/>
        <v>0</v>
      </c>
      <c r="FM102" s="417"/>
      <c r="FN102" s="417"/>
      <c r="FO102" s="417"/>
      <c r="FP102" s="417"/>
      <c r="FQ102" s="417"/>
      <c r="FR102" s="417"/>
      <c r="FS102" s="417"/>
      <c r="FT102" s="417"/>
      <c r="FU102" s="417"/>
      <c r="FV102" s="417"/>
      <c r="FW102" s="417"/>
      <c r="FX102" s="417"/>
      <c r="FY102" s="418"/>
      <c r="FZ102" s="418"/>
      <c r="GA102" s="418"/>
      <c r="GB102" s="417"/>
      <c r="GC102" s="417"/>
      <c r="GD102" s="417"/>
      <c r="GE102" s="417"/>
      <c r="GF102" s="417"/>
      <c r="GG102" s="417"/>
      <c r="GH102" s="417"/>
      <c r="GI102" s="417"/>
      <c r="GJ102" s="417"/>
      <c r="GK102" s="417"/>
      <c r="GL102" s="417"/>
      <c r="GM102" s="417"/>
      <c r="GN102" s="418"/>
      <c r="GO102" s="418"/>
      <c r="GP102" s="418"/>
      <c r="GQ102" s="417"/>
      <c r="GR102" s="417"/>
      <c r="GS102" s="417"/>
      <c r="GT102" s="417"/>
      <c r="GU102" s="417"/>
      <c r="GV102" s="417"/>
      <c r="GW102" s="417"/>
      <c r="GX102" s="417"/>
      <c r="GY102" s="417"/>
      <c r="GZ102" s="417"/>
      <c r="HA102" s="417"/>
      <c r="HB102" s="417"/>
      <c r="HC102" s="418"/>
      <c r="HD102" s="418"/>
      <c r="HE102" s="418"/>
      <c r="HF102" s="417"/>
      <c r="HG102" s="417"/>
      <c r="HH102" s="417"/>
      <c r="HI102" s="417"/>
      <c r="HJ102" s="417"/>
      <c r="HK102" s="417"/>
      <c r="HL102" s="417"/>
      <c r="HM102" s="417"/>
      <c r="HN102" s="417"/>
      <c r="HO102" s="417"/>
      <c r="HP102" s="417"/>
      <c r="HQ102" s="417"/>
      <c r="HR102" s="418"/>
      <c r="HS102" s="418"/>
      <c r="HT102" s="418"/>
    </row>
    <row r="103" spans="1:228" s="387" customFormat="1" ht="12.95" customHeight="1" x14ac:dyDescent="0.2">
      <c r="A103" s="406" t="s">
        <v>55</v>
      </c>
      <c r="B103" s="407" t="s">
        <v>39</v>
      </c>
      <c r="C103" s="406" t="s">
        <v>56</v>
      </c>
      <c r="D103" s="407" t="s">
        <v>271</v>
      </c>
      <c r="E103" s="407" t="s">
        <v>56</v>
      </c>
      <c r="F103" s="407" t="s">
        <v>271</v>
      </c>
      <c r="G103" s="406" t="s">
        <v>54</v>
      </c>
      <c r="H103" s="408" t="s">
        <v>1920</v>
      </c>
      <c r="I103" s="408"/>
      <c r="J103" s="406" t="s">
        <v>939</v>
      </c>
      <c r="K103" s="406" t="s">
        <v>938</v>
      </c>
      <c r="L103" s="406" t="s">
        <v>442</v>
      </c>
      <c r="M103" s="406"/>
      <c r="N103" s="452">
        <v>0</v>
      </c>
      <c r="O103" s="452">
        <v>0</v>
      </c>
      <c r="P103" s="452">
        <v>0</v>
      </c>
      <c r="Q103" s="452">
        <v>0</v>
      </c>
      <c r="R103" s="452">
        <v>0</v>
      </c>
      <c r="S103" s="452">
        <v>0</v>
      </c>
      <c r="T103" s="452">
        <v>0</v>
      </c>
      <c r="U103" s="409">
        <v>0</v>
      </c>
      <c r="V103" s="409"/>
      <c r="W103" s="409"/>
      <c r="X103" s="409"/>
      <c r="Y103" s="409"/>
      <c r="Z103" s="453">
        <f t="shared" si="47"/>
        <v>0</v>
      </c>
      <c r="AA103" s="452"/>
      <c r="AB103" s="452"/>
      <c r="AC103" s="452"/>
      <c r="AD103" s="452"/>
      <c r="AE103" s="452"/>
      <c r="AF103" s="452"/>
      <c r="AG103" s="452"/>
      <c r="AH103" s="409">
        <v>320</v>
      </c>
      <c r="AI103" s="409"/>
      <c r="AJ103" s="409"/>
      <c r="AK103" s="409"/>
      <c r="AL103" s="409"/>
      <c r="AM103" s="453">
        <f t="shared" si="34"/>
        <v>320</v>
      </c>
      <c r="AN103" s="452"/>
      <c r="AO103" s="452"/>
      <c r="AP103" s="452"/>
      <c r="AQ103" s="452"/>
      <c r="AR103" s="452"/>
      <c r="AS103" s="452"/>
      <c r="AT103" s="452"/>
      <c r="AU103" s="409"/>
      <c r="AV103" s="409"/>
      <c r="AW103" s="409"/>
      <c r="AX103" s="409"/>
      <c r="AY103" s="409"/>
      <c r="AZ103" s="453">
        <f t="shared" si="35"/>
        <v>0</v>
      </c>
      <c r="BA103" s="452"/>
      <c r="BB103" s="452"/>
      <c r="BC103" s="452"/>
      <c r="BD103" s="452"/>
      <c r="BE103" s="452"/>
      <c r="BF103" s="452"/>
      <c r="BG103" s="452"/>
      <c r="BH103" s="409"/>
      <c r="BI103" s="409"/>
      <c r="BJ103" s="409"/>
      <c r="BK103" s="409"/>
      <c r="BL103" s="409"/>
      <c r="BM103" s="453">
        <f t="shared" si="36"/>
        <v>0</v>
      </c>
      <c r="BN103" s="452"/>
      <c r="BO103" s="452"/>
      <c r="BP103" s="452"/>
      <c r="BQ103" s="452"/>
      <c r="BR103" s="452"/>
      <c r="BS103" s="452"/>
      <c r="BT103" s="452"/>
      <c r="BU103" s="409"/>
      <c r="BV103" s="409"/>
      <c r="BW103" s="409"/>
      <c r="BX103" s="409"/>
      <c r="BY103" s="409"/>
      <c r="BZ103" s="453">
        <f t="shared" si="37"/>
        <v>0</v>
      </c>
      <c r="CA103" s="454">
        <f t="shared" si="38"/>
        <v>320</v>
      </c>
      <c r="CB103" s="411"/>
      <c r="CC103" s="411"/>
      <c r="CD103" s="411"/>
      <c r="CE103" s="411"/>
      <c r="CF103" s="411"/>
      <c r="CG103" s="420">
        <f>IFERROR((FE103/Z103%),0)</f>
        <v>0</v>
      </c>
      <c r="CH103" s="413"/>
      <c r="CI103" s="414" t="s">
        <v>70</v>
      </c>
      <c r="CJ103" s="422">
        <v>0</v>
      </c>
      <c r="CK103" s="422">
        <v>0</v>
      </c>
      <c r="CL103" s="422">
        <v>0</v>
      </c>
      <c r="CM103" s="422">
        <v>0</v>
      </c>
      <c r="CN103" s="422">
        <v>0</v>
      </c>
      <c r="CO103" s="422">
        <v>0</v>
      </c>
      <c r="CP103" s="422">
        <v>0</v>
      </c>
      <c r="CQ103" s="422">
        <v>0</v>
      </c>
      <c r="CR103" s="422">
        <v>0</v>
      </c>
      <c r="CS103" s="422">
        <v>0</v>
      </c>
      <c r="CT103" s="422">
        <v>0</v>
      </c>
      <c r="CU103" s="422">
        <v>0</v>
      </c>
      <c r="CV103" s="410">
        <f t="shared" si="39"/>
        <v>0</v>
      </c>
      <c r="CW103" s="422"/>
      <c r="CX103" s="422"/>
      <c r="CY103" s="422"/>
      <c r="CZ103" s="422"/>
      <c r="DA103" s="422"/>
      <c r="DB103" s="422"/>
      <c r="DC103" s="422"/>
      <c r="DD103" s="422"/>
      <c r="DE103" s="422"/>
      <c r="DF103" s="422"/>
      <c r="DG103" s="422"/>
      <c r="DH103" s="422"/>
      <c r="DI103" s="410">
        <f t="shared" si="40"/>
        <v>0</v>
      </c>
      <c r="DJ103" s="422">
        <v>0</v>
      </c>
      <c r="DK103" s="422">
        <v>0</v>
      </c>
      <c r="DL103" s="422">
        <v>0</v>
      </c>
      <c r="DM103" s="422">
        <v>0</v>
      </c>
      <c r="DN103" s="422">
        <v>0</v>
      </c>
      <c r="DO103" s="422">
        <v>0</v>
      </c>
      <c r="DP103" s="422">
        <v>0</v>
      </c>
      <c r="DQ103" s="422">
        <v>0</v>
      </c>
      <c r="DR103" s="422">
        <v>0</v>
      </c>
      <c r="DS103" s="422">
        <v>0</v>
      </c>
      <c r="DT103" s="422">
        <v>0</v>
      </c>
      <c r="DU103" s="422">
        <v>0</v>
      </c>
      <c r="DV103" s="410">
        <f t="shared" si="41"/>
        <v>0</v>
      </c>
      <c r="DW103" s="422">
        <v>0</v>
      </c>
      <c r="DX103" s="422">
        <v>0</v>
      </c>
      <c r="DY103" s="422">
        <v>0</v>
      </c>
      <c r="DZ103" s="422">
        <v>0</v>
      </c>
      <c r="EA103" s="422">
        <v>0</v>
      </c>
      <c r="EB103" s="422">
        <v>0</v>
      </c>
      <c r="EC103" s="422">
        <v>0</v>
      </c>
      <c r="ED103" s="422">
        <v>0</v>
      </c>
      <c r="EE103" s="422">
        <v>0</v>
      </c>
      <c r="EF103" s="422">
        <v>0.29767441860465116</v>
      </c>
      <c r="EG103" s="422">
        <v>0</v>
      </c>
      <c r="EH103" s="422">
        <v>0</v>
      </c>
      <c r="EI103" s="410">
        <f t="shared" si="42"/>
        <v>0.29767441860465116</v>
      </c>
      <c r="EJ103" s="422">
        <v>0</v>
      </c>
      <c r="EK103" s="422">
        <v>0</v>
      </c>
      <c r="EL103" s="422">
        <v>0</v>
      </c>
      <c r="EM103" s="422">
        <v>0</v>
      </c>
      <c r="EN103" s="422">
        <v>0</v>
      </c>
      <c r="EO103" s="422">
        <v>0</v>
      </c>
      <c r="EP103" s="422">
        <v>0</v>
      </c>
      <c r="EQ103" s="422">
        <v>0</v>
      </c>
      <c r="ER103" s="422">
        <v>0</v>
      </c>
      <c r="ES103" s="422">
        <v>0</v>
      </c>
      <c r="ET103" s="422">
        <v>0</v>
      </c>
      <c r="EU103" s="422">
        <v>0</v>
      </c>
      <c r="EV103" s="410">
        <f t="shared" si="43"/>
        <v>0</v>
      </c>
      <c r="EW103" s="416">
        <f t="shared" si="44"/>
        <v>0.29767441860465116</v>
      </c>
      <c r="EX103" s="417">
        <f>IFERROR(VLOOKUP(H103,CEI_012018!$A$1:$U$509,9,FALSE),0)</f>
        <v>0</v>
      </c>
      <c r="EY103" s="417">
        <f>IFERROR(VLOOKUP(H103,CEI_022018!$A$1:$U$509,9,FALSE),0)</f>
        <v>0</v>
      </c>
      <c r="EZ103" s="417">
        <f>IFERROR(VLOOKUP(H103,CEI_032018!$A$1:$U$509,9,FALSE),0)</f>
        <v>0</v>
      </c>
      <c r="FA103" s="417">
        <f>IFERROR(VLOOKUP(H103,CEI_042018!$A$1:$U$491,9,FALSE),0)</f>
        <v>0</v>
      </c>
      <c r="FB103" s="417">
        <f>IFERROR(VLOOKUP(H103,CEI_052018!$A$1:$U$489,9,FALSE),0)</f>
        <v>0</v>
      </c>
      <c r="FC103" s="417">
        <f>IFERROR(VLOOKUP(H103,CEI_062018!$A$1:$U$489,9,FALSE),0)</f>
        <v>0</v>
      </c>
      <c r="FD103" s="417">
        <f>IFERROR(VLOOKUP(H103,CEI_072018!$A$1:$U$489,9,FALSE),0)</f>
        <v>0</v>
      </c>
      <c r="FE103" s="417">
        <f>IFERROR(VLOOKUP(H103,CEI_082018!$A$1:$U$489,9,FALSE),0)</f>
        <v>0</v>
      </c>
      <c r="FF103" s="417">
        <f>IFERROR(VLOOKUP(H103,CEI_092018!$A$1:$U$489,9,FALSE),0)</f>
        <v>0</v>
      </c>
      <c r="FG103" s="417"/>
      <c r="FH103" s="417"/>
      <c r="FI103" s="417"/>
      <c r="FJ103" s="418">
        <f>IFERROR(VLOOKUP(H103,CEI_092018!$A$1:$U$489,12,FALSE),0)</f>
        <v>0</v>
      </c>
      <c r="FK103" s="418">
        <f t="shared" si="48"/>
        <v>0</v>
      </c>
      <c r="FL103" s="418">
        <f t="shared" si="49"/>
        <v>0</v>
      </c>
      <c r="FM103" s="417"/>
      <c r="FN103" s="417"/>
      <c r="FO103" s="417"/>
      <c r="FP103" s="417"/>
      <c r="FQ103" s="417"/>
      <c r="FR103" s="417"/>
      <c r="FS103" s="417"/>
      <c r="FT103" s="417"/>
      <c r="FU103" s="417"/>
      <c r="FV103" s="417"/>
      <c r="FW103" s="417"/>
      <c r="FX103" s="417"/>
      <c r="FY103" s="418"/>
      <c r="FZ103" s="418"/>
      <c r="GA103" s="418"/>
      <c r="GB103" s="417"/>
      <c r="GC103" s="417"/>
      <c r="GD103" s="417"/>
      <c r="GE103" s="417"/>
      <c r="GF103" s="417"/>
      <c r="GG103" s="417"/>
      <c r="GH103" s="417"/>
      <c r="GI103" s="417"/>
      <c r="GJ103" s="417"/>
      <c r="GK103" s="417"/>
      <c r="GL103" s="417"/>
      <c r="GM103" s="417"/>
      <c r="GN103" s="418"/>
      <c r="GO103" s="418"/>
      <c r="GP103" s="418"/>
      <c r="GQ103" s="417"/>
      <c r="GR103" s="417"/>
      <c r="GS103" s="417"/>
      <c r="GT103" s="417"/>
      <c r="GU103" s="417"/>
      <c r="GV103" s="417"/>
      <c r="GW103" s="417"/>
      <c r="GX103" s="417"/>
      <c r="GY103" s="417"/>
      <c r="GZ103" s="417"/>
      <c r="HA103" s="417"/>
      <c r="HB103" s="417"/>
      <c r="HC103" s="418"/>
      <c r="HD103" s="418"/>
      <c r="HE103" s="418"/>
      <c r="HF103" s="417"/>
      <c r="HG103" s="417"/>
      <c r="HH103" s="417"/>
      <c r="HI103" s="417"/>
      <c r="HJ103" s="417"/>
      <c r="HK103" s="417"/>
      <c r="HL103" s="417"/>
      <c r="HM103" s="417"/>
      <c r="HN103" s="417"/>
      <c r="HO103" s="417"/>
      <c r="HP103" s="417"/>
      <c r="HQ103" s="417"/>
      <c r="HR103" s="418"/>
      <c r="HS103" s="418"/>
      <c r="HT103" s="418"/>
    </row>
    <row r="104" spans="1:228" s="387" customFormat="1" ht="12.95" customHeight="1" x14ac:dyDescent="0.2">
      <c r="A104" s="406" t="s">
        <v>61</v>
      </c>
      <c r="B104" s="407" t="s">
        <v>33</v>
      </c>
      <c r="C104" s="406" t="s">
        <v>63</v>
      </c>
      <c r="D104" s="407" t="s">
        <v>2004</v>
      </c>
      <c r="E104" s="406" t="s">
        <v>63</v>
      </c>
      <c r="F104" s="407" t="s">
        <v>2004</v>
      </c>
      <c r="G104" s="406" t="s">
        <v>63</v>
      </c>
      <c r="H104" s="408" t="s">
        <v>520</v>
      </c>
      <c r="I104" s="408"/>
      <c r="J104" s="406" t="s">
        <v>2005</v>
      </c>
      <c r="K104" s="406"/>
      <c r="L104" s="406"/>
      <c r="M104" s="406"/>
      <c r="N104" s="452">
        <v>0</v>
      </c>
      <c r="O104" s="452">
        <v>0</v>
      </c>
      <c r="P104" s="452">
        <v>0</v>
      </c>
      <c r="Q104" s="452">
        <v>0</v>
      </c>
      <c r="R104" s="452">
        <v>0</v>
      </c>
      <c r="S104" s="452">
        <v>0</v>
      </c>
      <c r="T104" s="452">
        <v>0</v>
      </c>
      <c r="U104" s="409">
        <v>0</v>
      </c>
      <c r="V104" s="409"/>
      <c r="W104" s="409"/>
      <c r="X104" s="409"/>
      <c r="Y104" s="409"/>
      <c r="Z104" s="453">
        <f t="shared" si="47"/>
        <v>0</v>
      </c>
      <c r="AA104" s="452"/>
      <c r="AB104" s="452"/>
      <c r="AC104" s="452"/>
      <c r="AD104" s="452"/>
      <c r="AE104" s="452"/>
      <c r="AF104" s="452"/>
      <c r="AG104" s="452"/>
      <c r="AH104" s="409"/>
      <c r="AI104" s="409"/>
      <c r="AJ104" s="409"/>
      <c r="AK104" s="409"/>
      <c r="AL104" s="409"/>
      <c r="AM104" s="453">
        <f t="shared" si="34"/>
        <v>0</v>
      </c>
      <c r="AN104" s="452"/>
      <c r="AO104" s="452"/>
      <c r="AP104" s="452"/>
      <c r="AQ104" s="452"/>
      <c r="AR104" s="452"/>
      <c r="AS104" s="452"/>
      <c r="AT104" s="452"/>
      <c r="AU104" s="409"/>
      <c r="AV104" s="409"/>
      <c r="AW104" s="409"/>
      <c r="AX104" s="409"/>
      <c r="AY104" s="409"/>
      <c r="AZ104" s="453">
        <f t="shared" si="35"/>
        <v>0</v>
      </c>
      <c r="BA104" s="452"/>
      <c r="BB104" s="452"/>
      <c r="BC104" s="452"/>
      <c r="BD104" s="452"/>
      <c r="BE104" s="452"/>
      <c r="BF104" s="452">
        <v>320</v>
      </c>
      <c r="BG104" s="452"/>
      <c r="BH104" s="409"/>
      <c r="BI104" s="409"/>
      <c r="BJ104" s="409"/>
      <c r="BK104" s="409"/>
      <c r="BL104" s="409"/>
      <c r="BM104" s="453">
        <f t="shared" si="36"/>
        <v>320</v>
      </c>
      <c r="BN104" s="452"/>
      <c r="BO104" s="452"/>
      <c r="BP104" s="452"/>
      <c r="BQ104" s="452"/>
      <c r="BR104" s="452"/>
      <c r="BS104" s="452"/>
      <c r="BT104" s="452"/>
      <c r="BU104" s="409"/>
      <c r="BV104" s="409"/>
      <c r="BW104" s="409"/>
      <c r="BX104" s="409"/>
      <c r="BY104" s="409"/>
      <c r="BZ104" s="453">
        <f t="shared" si="37"/>
        <v>0</v>
      </c>
      <c r="CA104" s="454">
        <f t="shared" si="38"/>
        <v>320</v>
      </c>
      <c r="CB104" s="411"/>
      <c r="CC104" s="411"/>
      <c r="CD104" s="411"/>
      <c r="CE104" s="411"/>
      <c r="CF104" s="411"/>
      <c r="CG104" s="420"/>
      <c r="CH104" s="413"/>
      <c r="CI104" s="414"/>
      <c r="CJ104" s="422"/>
      <c r="CK104" s="422"/>
      <c r="CL104" s="422"/>
      <c r="CM104" s="422"/>
      <c r="CN104" s="422"/>
      <c r="CO104" s="422"/>
      <c r="CP104" s="422"/>
      <c r="CQ104" s="422"/>
      <c r="CR104" s="422"/>
      <c r="CS104" s="422"/>
      <c r="CT104" s="422"/>
      <c r="CU104" s="422"/>
      <c r="CV104" s="410"/>
      <c r="CW104" s="422"/>
      <c r="CX104" s="422"/>
      <c r="CY104" s="422"/>
      <c r="CZ104" s="422"/>
      <c r="DA104" s="422"/>
      <c r="DB104" s="422"/>
      <c r="DC104" s="422"/>
      <c r="DD104" s="422"/>
      <c r="DE104" s="422"/>
      <c r="DF104" s="422"/>
      <c r="DG104" s="422"/>
      <c r="DH104" s="422"/>
      <c r="DI104" s="410"/>
      <c r="DJ104" s="422"/>
      <c r="DK104" s="422"/>
      <c r="DL104" s="422"/>
      <c r="DM104" s="422"/>
      <c r="DN104" s="422"/>
      <c r="DO104" s="422"/>
      <c r="DP104" s="422"/>
      <c r="DQ104" s="422"/>
      <c r="DR104" s="422"/>
      <c r="DS104" s="422"/>
      <c r="DT104" s="422"/>
      <c r="DU104" s="422"/>
      <c r="DV104" s="410"/>
      <c r="DW104" s="422"/>
      <c r="DX104" s="422"/>
      <c r="DY104" s="422"/>
      <c r="DZ104" s="422"/>
      <c r="EA104" s="422"/>
      <c r="EB104" s="422"/>
      <c r="EC104" s="422"/>
      <c r="ED104" s="422"/>
      <c r="EE104" s="422"/>
      <c r="EF104" s="422"/>
      <c r="EG104" s="422"/>
      <c r="EH104" s="422"/>
      <c r="EI104" s="410"/>
      <c r="EJ104" s="422"/>
      <c r="EK104" s="422"/>
      <c r="EL104" s="422"/>
      <c r="EM104" s="422"/>
      <c r="EN104" s="422"/>
      <c r="EO104" s="422"/>
      <c r="EP104" s="422"/>
      <c r="EQ104" s="422"/>
      <c r="ER104" s="422"/>
      <c r="ES104" s="422"/>
      <c r="ET104" s="422"/>
      <c r="EU104" s="422"/>
      <c r="EV104" s="410"/>
      <c r="EW104" s="416"/>
      <c r="EX104" s="417"/>
      <c r="EY104" s="417"/>
      <c r="EZ104" s="417"/>
      <c r="FA104" s="417"/>
      <c r="FB104" s="417"/>
      <c r="FC104" s="417"/>
      <c r="FD104" s="417"/>
      <c r="FE104" s="417"/>
      <c r="FF104" s="417"/>
      <c r="FG104" s="417"/>
      <c r="FH104" s="417"/>
      <c r="FI104" s="417"/>
      <c r="FJ104" s="418"/>
      <c r="FK104" s="418"/>
      <c r="FL104" s="418"/>
      <c r="FM104" s="417"/>
      <c r="FN104" s="417"/>
      <c r="FO104" s="417"/>
      <c r="FP104" s="417"/>
      <c r="FQ104" s="417"/>
      <c r="FR104" s="417"/>
      <c r="FS104" s="417"/>
      <c r="FT104" s="417"/>
      <c r="FU104" s="417"/>
      <c r="FV104" s="417"/>
      <c r="FW104" s="417"/>
      <c r="FX104" s="417"/>
      <c r="FY104" s="418"/>
      <c r="FZ104" s="418"/>
      <c r="GA104" s="418"/>
      <c r="GB104" s="417"/>
      <c r="GC104" s="417"/>
      <c r="GD104" s="417"/>
      <c r="GE104" s="417"/>
      <c r="GF104" s="417"/>
      <c r="GG104" s="417"/>
      <c r="GH104" s="417"/>
      <c r="GI104" s="417"/>
      <c r="GJ104" s="417"/>
      <c r="GK104" s="417"/>
      <c r="GL104" s="417"/>
      <c r="GM104" s="417"/>
      <c r="GN104" s="418"/>
      <c r="GO104" s="418"/>
      <c r="GP104" s="418"/>
      <c r="GQ104" s="417"/>
      <c r="GR104" s="417"/>
      <c r="GS104" s="417"/>
      <c r="GT104" s="417"/>
      <c r="GU104" s="417"/>
      <c r="GV104" s="417"/>
      <c r="GW104" s="417"/>
      <c r="GX104" s="417"/>
      <c r="GY104" s="417"/>
      <c r="GZ104" s="417"/>
      <c r="HA104" s="417"/>
      <c r="HB104" s="417"/>
      <c r="HC104" s="418"/>
      <c r="HD104" s="418"/>
      <c r="HE104" s="418"/>
      <c r="HF104" s="417"/>
      <c r="HG104" s="417"/>
      <c r="HH104" s="417"/>
      <c r="HI104" s="417"/>
      <c r="HJ104" s="417"/>
      <c r="HK104" s="417"/>
      <c r="HL104" s="417"/>
      <c r="HM104" s="417"/>
      <c r="HN104" s="417"/>
      <c r="HO104" s="417"/>
      <c r="HP104" s="417"/>
      <c r="HQ104" s="417"/>
      <c r="HR104" s="418"/>
      <c r="HS104" s="418"/>
      <c r="HT104" s="418"/>
    </row>
    <row r="105" spans="1:228" s="387" customFormat="1" ht="12.95" customHeight="1" x14ac:dyDescent="0.2">
      <c r="A105" s="406" t="s">
        <v>61</v>
      </c>
      <c r="B105" s="407" t="s">
        <v>37</v>
      </c>
      <c r="C105" s="406" t="s">
        <v>56</v>
      </c>
      <c r="D105" s="407" t="s">
        <v>451</v>
      </c>
      <c r="E105" s="407" t="s">
        <v>56</v>
      </c>
      <c r="F105" s="407" t="s">
        <v>451</v>
      </c>
      <c r="G105" s="406" t="s">
        <v>54</v>
      </c>
      <c r="H105" s="408" t="s">
        <v>520</v>
      </c>
      <c r="I105" s="408"/>
      <c r="J105" s="406" t="s">
        <v>539</v>
      </c>
      <c r="K105" s="406" t="s">
        <v>626</v>
      </c>
      <c r="L105" s="406" t="s">
        <v>628</v>
      </c>
      <c r="M105" s="435" t="s">
        <v>1681</v>
      </c>
      <c r="N105" s="452">
        <v>0</v>
      </c>
      <c r="O105" s="452">
        <v>0</v>
      </c>
      <c r="P105" s="452">
        <v>0</v>
      </c>
      <c r="Q105" s="452">
        <v>0</v>
      </c>
      <c r="R105" s="452">
        <v>0</v>
      </c>
      <c r="S105" s="452">
        <v>0</v>
      </c>
      <c r="T105" s="452">
        <v>0</v>
      </c>
      <c r="U105" s="409">
        <v>0</v>
      </c>
      <c r="V105" s="409"/>
      <c r="W105" s="409"/>
      <c r="X105" s="409"/>
      <c r="Y105" s="409"/>
      <c r="Z105" s="453">
        <f t="shared" si="47"/>
        <v>0</v>
      </c>
      <c r="AA105" s="452"/>
      <c r="AB105" s="452"/>
      <c r="AC105" s="452"/>
      <c r="AD105" s="452"/>
      <c r="AE105" s="452"/>
      <c r="AF105" s="452"/>
      <c r="AG105" s="452">
        <v>105.44</v>
      </c>
      <c r="AH105" s="409"/>
      <c r="AI105" s="409"/>
      <c r="AJ105" s="409"/>
      <c r="AK105" s="409"/>
      <c r="AL105" s="409"/>
      <c r="AM105" s="453">
        <f t="shared" si="34"/>
        <v>105.44</v>
      </c>
      <c r="AN105" s="452"/>
      <c r="AO105" s="452"/>
      <c r="AP105" s="452"/>
      <c r="AQ105" s="452"/>
      <c r="AR105" s="452"/>
      <c r="AS105" s="452"/>
      <c r="AT105" s="452"/>
      <c r="AU105" s="409"/>
      <c r="AV105" s="409"/>
      <c r="AW105" s="409"/>
      <c r="AX105" s="409"/>
      <c r="AY105" s="409"/>
      <c r="AZ105" s="453">
        <f t="shared" si="35"/>
        <v>0</v>
      </c>
      <c r="BA105" s="452"/>
      <c r="BB105" s="452"/>
      <c r="BC105" s="452"/>
      <c r="BD105" s="452"/>
      <c r="BE105" s="452"/>
      <c r="BF105" s="452"/>
      <c r="BG105" s="452"/>
      <c r="BH105" s="409"/>
      <c r="BI105" s="409"/>
      <c r="BJ105" s="409"/>
      <c r="BK105" s="409"/>
      <c r="BL105" s="409"/>
      <c r="BM105" s="453">
        <f t="shared" si="36"/>
        <v>0</v>
      </c>
      <c r="BN105" s="452"/>
      <c r="BO105" s="452"/>
      <c r="BP105" s="452"/>
      <c r="BQ105" s="452"/>
      <c r="BR105" s="452"/>
      <c r="BS105" s="452"/>
      <c r="BT105" s="452"/>
      <c r="BU105" s="409"/>
      <c r="BV105" s="409"/>
      <c r="BW105" s="409"/>
      <c r="BX105" s="409"/>
      <c r="BY105" s="409"/>
      <c r="BZ105" s="453">
        <f t="shared" si="37"/>
        <v>0</v>
      </c>
      <c r="CA105" s="454">
        <f t="shared" si="38"/>
        <v>105.44</v>
      </c>
      <c r="CB105" s="411"/>
      <c r="CC105" s="411"/>
      <c r="CD105" s="411"/>
      <c r="CE105" s="411"/>
      <c r="CF105" s="411"/>
      <c r="CG105" s="412"/>
      <c r="CH105" s="413"/>
      <c r="CI105" s="414" t="s">
        <v>540</v>
      </c>
      <c r="CJ105" s="415"/>
      <c r="CK105" s="415"/>
      <c r="CL105" s="415"/>
      <c r="CM105" s="415"/>
      <c r="CN105" s="415"/>
      <c r="CO105" s="415"/>
      <c r="CP105" s="415"/>
      <c r="CQ105" s="415"/>
      <c r="CR105" s="415"/>
      <c r="CS105" s="415"/>
      <c r="CT105" s="415"/>
      <c r="CU105" s="415">
        <v>1</v>
      </c>
      <c r="CV105" s="410">
        <f t="shared" ref="CV105:CV141" si="50">SUM(CJ105:CU105)</f>
        <v>1</v>
      </c>
      <c r="CW105" s="415"/>
      <c r="CX105" s="415"/>
      <c r="CY105" s="415"/>
      <c r="CZ105" s="415"/>
      <c r="DA105" s="415"/>
      <c r="DB105" s="415"/>
      <c r="DC105" s="415"/>
      <c r="DD105" s="415"/>
      <c r="DE105" s="415"/>
      <c r="DF105" s="415"/>
      <c r="DG105" s="415"/>
      <c r="DH105" s="415"/>
      <c r="DI105" s="410">
        <f t="shared" ref="DI105:DI141" si="51">SUM(CW105:DH105)</f>
        <v>0</v>
      </c>
      <c r="DJ105" s="415"/>
      <c r="DK105" s="415"/>
      <c r="DL105" s="415"/>
      <c r="DM105" s="415"/>
      <c r="DN105" s="415"/>
      <c r="DO105" s="415"/>
      <c r="DP105" s="415"/>
      <c r="DQ105" s="415"/>
      <c r="DR105" s="415"/>
      <c r="DS105" s="415"/>
      <c r="DT105" s="415"/>
      <c r="DU105" s="415"/>
      <c r="DV105" s="410">
        <f t="shared" ref="DV105:DV141" si="52">SUM(DJ105:DU105)</f>
        <v>0</v>
      </c>
      <c r="DW105" s="415"/>
      <c r="DX105" s="415"/>
      <c r="DY105" s="415"/>
      <c r="DZ105" s="415"/>
      <c r="EA105" s="415"/>
      <c r="EB105" s="415"/>
      <c r="EC105" s="415"/>
      <c r="ED105" s="415"/>
      <c r="EE105" s="415"/>
      <c r="EF105" s="415"/>
      <c r="EG105" s="415"/>
      <c r="EH105" s="415"/>
      <c r="EI105" s="410">
        <f t="shared" ref="EI105:EI141" si="53">SUM(DW105:EH105)</f>
        <v>0</v>
      </c>
      <c r="EJ105" s="415"/>
      <c r="EK105" s="415"/>
      <c r="EL105" s="415"/>
      <c r="EM105" s="415"/>
      <c r="EN105" s="415"/>
      <c r="EO105" s="415"/>
      <c r="EP105" s="415"/>
      <c r="EQ105" s="415"/>
      <c r="ER105" s="415"/>
      <c r="ES105" s="415"/>
      <c r="ET105" s="415"/>
      <c r="EU105" s="415"/>
      <c r="EV105" s="410">
        <f t="shared" ref="EV105:EV141" si="54">SUM(EJ105:EU105)</f>
        <v>0</v>
      </c>
      <c r="EW105" s="416">
        <f t="shared" ref="EW105:EW141" si="55">SUM(EV105,EI105,DV105,DI105,CV105)</f>
        <v>1</v>
      </c>
      <c r="EX105" s="417">
        <f>IFERROR(VLOOKUP(H105,CEI_012018!$A$1:$U$509,9,FALSE),0)</f>
        <v>0</v>
      </c>
      <c r="EY105" s="417">
        <f>IFERROR(VLOOKUP(H105,CEI_022018!$A$1:$U$509,9,FALSE),0)</f>
        <v>0</v>
      </c>
      <c r="EZ105" s="417">
        <f>IFERROR(VLOOKUP(H105,CEI_032018!$A$1:$U$509,9,FALSE),0)</f>
        <v>0</v>
      </c>
      <c r="FA105" s="417">
        <f>IFERROR(VLOOKUP(H105,CEI_042018!$A$1:$U$491,9,FALSE),0)</f>
        <v>0</v>
      </c>
      <c r="FB105" s="417">
        <f>IFERROR(VLOOKUP(H105,CEI_052018!$A$1:$U$489,9,FALSE),0)</f>
        <v>0</v>
      </c>
      <c r="FC105" s="417">
        <f>IFERROR(VLOOKUP(H105,CEI_062018!$A$1:$U$489,9,FALSE),0)</f>
        <v>0</v>
      </c>
      <c r="FD105" s="417">
        <f>IFERROR(VLOOKUP(H105,CEI_072018!$A$1:$U$489,9,FALSE),0)</f>
        <v>0</v>
      </c>
      <c r="FE105" s="417">
        <f>IFERROR(VLOOKUP(H105,CEI_082018!$A$1:$U$489,9,FALSE),0)</f>
        <v>0</v>
      </c>
      <c r="FF105" s="417">
        <f>IFERROR(VLOOKUP(H105,CEI_092018!$A$1:$U$489,9,FALSE),0)</f>
        <v>0</v>
      </c>
      <c r="FG105" s="417"/>
      <c r="FH105" s="417"/>
      <c r="FI105" s="417"/>
      <c r="FJ105" s="418">
        <f>IFERROR(VLOOKUP(H105,CEI_092018!$A$1:$U$489,12,FALSE),0)</f>
        <v>0</v>
      </c>
      <c r="FK105" s="418">
        <f t="shared" ref="FK105:FK168" si="56">FF105+FJ105</f>
        <v>0</v>
      </c>
      <c r="FL105" s="418">
        <f t="shared" ref="FL105:FL168" si="57">SUM(Z105-FK105)</f>
        <v>0</v>
      </c>
      <c r="FM105" s="417"/>
      <c r="FN105" s="417"/>
      <c r="FO105" s="417"/>
      <c r="FP105" s="417"/>
      <c r="FQ105" s="417"/>
      <c r="FR105" s="417"/>
      <c r="FS105" s="417"/>
      <c r="FT105" s="417"/>
      <c r="FU105" s="417"/>
      <c r="FV105" s="417"/>
      <c r="FW105" s="417"/>
      <c r="FX105" s="417"/>
      <c r="FY105" s="418"/>
      <c r="FZ105" s="418"/>
      <c r="GA105" s="418"/>
      <c r="GB105" s="417"/>
      <c r="GC105" s="417"/>
      <c r="GD105" s="417"/>
      <c r="GE105" s="417"/>
      <c r="GF105" s="417"/>
      <c r="GG105" s="417"/>
      <c r="GH105" s="417"/>
      <c r="GI105" s="417"/>
      <c r="GJ105" s="417"/>
      <c r="GK105" s="417"/>
      <c r="GL105" s="417"/>
      <c r="GM105" s="417"/>
      <c r="GN105" s="418"/>
      <c r="GO105" s="418"/>
      <c r="GP105" s="418"/>
      <c r="GQ105" s="417"/>
      <c r="GR105" s="417"/>
      <c r="GS105" s="417"/>
      <c r="GT105" s="417"/>
      <c r="GU105" s="417"/>
      <c r="GV105" s="417"/>
      <c r="GW105" s="417"/>
      <c r="GX105" s="417"/>
      <c r="GY105" s="417"/>
      <c r="GZ105" s="417"/>
      <c r="HA105" s="417"/>
      <c r="HB105" s="417"/>
      <c r="HC105" s="418"/>
      <c r="HD105" s="418"/>
      <c r="HE105" s="418"/>
      <c r="HF105" s="417"/>
      <c r="HG105" s="417"/>
      <c r="HH105" s="417"/>
      <c r="HI105" s="417"/>
      <c r="HJ105" s="417"/>
      <c r="HK105" s="417"/>
      <c r="HL105" s="417"/>
      <c r="HM105" s="417"/>
      <c r="HN105" s="417"/>
      <c r="HO105" s="417"/>
      <c r="HP105" s="417"/>
      <c r="HQ105" s="417"/>
      <c r="HR105" s="418"/>
      <c r="HS105" s="418"/>
      <c r="HT105" s="418"/>
    </row>
    <row r="106" spans="1:228" s="387" customFormat="1" ht="12.95" customHeight="1" x14ac:dyDescent="0.2">
      <c r="A106" s="406" t="s">
        <v>55</v>
      </c>
      <c r="B106" s="407" t="s">
        <v>39</v>
      </c>
      <c r="C106" s="406" t="s">
        <v>56</v>
      </c>
      <c r="D106" s="407" t="s">
        <v>1094</v>
      </c>
      <c r="E106" s="407" t="s">
        <v>56</v>
      </c>
      <c r="F106" s="407" t="s">
        <v>1094</v>
      </c>
      <c r="G106" s="406" t="s">
        <v>54</v>
      </c>
      <c r="H106" s="408" t="s">
        <v>1100</v>
      </c>
      <c r="I106" s="408" t="s">
        <v>1241</v>
      </c>
      <c r="J106" s="406" t="s">
        <v>1099</v>
      </c>
      <c r="K106" s="406" t="s">
        <v>1099</v>
      </c>
      <c r="L106" s="406" t="s">
        <v>1099</v>
      </c>
      <c r="M106" s="406"/>
      <c r="N106" s="452">
        <v>0</v>
      </c>
      <c r="O106" s="452">
        <v>0</v>
      </c>
      <c r="P106" s="452">
        <v>1.7749999761581421</v>
      </c>
      <c r="Q106" s="452">
        <v>0</v>
      </c>
      <c r="R106" s="452">
        <v>0</v>
      </c>
      <c r="S106" s="452">
        <v>6.4369101524353027</v>
      </c>
      <c r="T106" s="452">
        <v>-15.126480102539063</v>
      </c>
      <c r="U106" s="409">
        <v>0</v>
      </c>
      <c r="V106" s="409"/>
      <c r="W106" s="409"/>
      <c r="X106" s="409"/>
      <c r="Y106" s="409">
        <v>6.9145699739456177</v>
      </c>
      <c r="Z106" s="453">
        <f t="shared" si="47"/>
        <v>0</v>
      </c>
      <c r="AA106" s="452"/>
      <c r="AB106" s="452"/>
      <c r="AC106" s="452"/>
      <c r="AD106" s="452"/>
      <c r="AE106" s="452"/>
      <c r="AF106" s="452"/>
      <c r="AG106" s="452"/>
      <c r="AH106" s="409"/>
      <c r="AI106" s="409"/>
      <c r="AJ106" s="409"/>
      <c r="AK106" s="409"/>
      <c r="AL106" s="409"/>
      <c r="AM106" s="453">
        <f t="shared" si="34"/>
        <v>0</v>
      </c>
      <c r="AN106" s="452"/>
      <c r="AO106" s="452"/>
      <c r="AP106" s="452"/>
      <c r="AQ106" s="452"/>
      <c r="AR106" s="452"/>
      <c r="AS106" s="452"/>
      <c r="AT106" s="452"/>
      <c r="AU106" s="409"/>
      <c r="AV106" s="409"/>
      <c r="AW106" s="409"/>
      <c r="AX106" s="409"/>
      <c r="AY106" s="409"/>
      <c r="AZ106" s="453">
        <f t="shared" si="35"/>
        <v>0</v>
      </c>
      <c r="BA106" s="452"/>
      <c r="BB106" s="452"/>
      <c r="BC106" s="452"/>
      <c r="BD106" s="452"/>
      <c r="BE106" s="452"/>
      <c r="BF106" s="452"/>
      <c r="BG106" s="452"/>
      <c r="BH106" s="409"/>
      <c r="BI106" s="409"/>
      <c r="BJ106" s="409"/>
      <c r="BK106" s="409"/>
      <c r="BL106" s="409"/>
      <c r="BM106" s="453">
        <f t="shared" si="36"/>
        <v>0</v>
      </c>
      <c r="BN106" s="452"/>
      <c r="BO106" s="452"/>
      <c r="BP106" s="452"/>
      <c r="BQ106" s="452"/>
      <c r="BR106" s="452"/>
      <c r="BS106" s="452"/>
      <c r="BT106" s="452"/>
      <c r="BU106" s="409"/>
      <c r="BV106" s="409"/>
      <c r="BW106" s="409"/>
      <c r="BX106" s="409"/>
      <c r="BY106" s="409"/>
      <c r="BZ106" s="453">
        <f t="shared" si="37"/>
        <v>0</v>
      </c>
      <c r="CA106" s="454">
        <f t="shared" si="38"/>
        <v>0</v>
      </c>
      <c r="CB106" s="419"/>
      <c r="CC106" s="419">
        <v>1</v>
      </c>
      <c r="CD106" s="419">
        <v>1</v>
      </c>
      <c r="CE106" s="419">
        <v>1</v>
      </c>
      <c r="CF106" s="419">
        <v>1</v>
      </c>
      <c r="CG106" s="420">
        <f>IFERROR((FE106/Z106%),0)</f>
        <v>0</v>
      </c>
      <c r="CH106" s="420">
        <f>IFERROR((FK106/Z106%),0)</f>
        <v>0</v>
      </c>
      <c r="CI106" s="414" t="s">
        <v>71</v>
      </c>
      <c r="CJ106" s="415"/>
      <c r="CK106" s="415"/>
      <c r="CL106" s="415">
        <v>7</v>
      </c>
      <c r="CM106" s="415"/>
      <c r="CN106" s="415"/>
      <c r="CO106" s="415"/>
      <c r="CP106" s="415"/>
      <c r="CQ106" s="415"/>
      <c r="CR106" s="415"/>
      <c r="CS106" s="415"/>
      <c r="CT106" s="415"/>
      <c r="CU106" s="415"/>
      <c r="CV106" s="410">
        <f t="shared" si="50"/>
        <v>7</v>
      </c>
      <c r="CW106" s="415"/>
      <c r="CX106" s="415"/>
      <c r="CY106" s="415"/>
      <c r="CZ106" s="415"/>
      <c r="DA106" s="415"/>
      <c r="DB106" s="415"/>
      <c r="DC106" s="415"/>
      <c r="DD106" s="415"/>
      <c r="DE106" s="415"/>
      <c r="DF106" s="415"/>
      <c r="DG106" s="415"/>
      <c r="DH106" s="415"/>
      <c r="DI106" s="410">
        <f t="shared" si="51"/>
        <v>0</v>
      </c>
      <c r="DJ106" s="415"/>
      <c r="DK106" s="415"/>
      <c r="DL106" s="415"/>
      <c r="DM106" s="415"/>
      <c r="DN106" s="415"/>
      <c r="DO106" s="415"/>
      <c r="DP106" s="415"/>
      <c r="DQ106" s="415"/>
      <c r="DR106" s="415"/>
      <c r="DS106" s="415"/>
      <c r="DT106" s="415"/>
      <c r="DU106" s="415"/>
      <c r="DV106" s="410">
        <f t="shared" si="52"/>
        <v>0</v>
      </c>
      <c r="DW106" s="415"/>
      <c r="DX106" s="415"/>
      <c r="DY106" s="415"/>
      <c r="DZ106" s="415"/>
      <c r="EA106" s="415"/>
      <c r="EB106" s="415"/>
      <c r="EC106" s="415"/>
      <c r="ED106" s="415"/>
      <c r="EE106" s="415"/>
      <c r="EF106" s="415"/>
      <c r="EG106" s="415"/>
      <c r="EH106" s="415"/>
      <c r="EI106" s="410">
        <f t="shared" si="53"/>
        <v>0</v>
      </c>
      <c r="EJ106" s="415"/>
      <c r="EK106" s="415"/>
      <c r="EL106" s="415"/>
      <c r="EM106" s="415"/>
      <c r="EN106" s="415"/>
      <c r="EO106" s="415"/>
      <c r="EP106" s="415"/>
      <c r="EQ106" s="415"/>
      <c r="ER106" s="415"/>
      <c r="ES106" s="415"/>
      <c r="ET106" s="415"/>
      <c r="EU106" s="415"/>
      <c r="EV106" s="410">
        <f t="shared" si="54"/>
        <v>0</v>
      </c>
      <c r="EW106" s="416">
        <f t="shared" si="55"/>
        <v>7</v>
      </c>
      <c r="EX106" s="417">
        <f>IFERROR(VLOOKUP(H106,CEI_012018!$A$1:$U$509,9,FALSE),0)</f>
        <v>0</v>
      </c>
      <c r="EY106" s="417">
        <f>IFERROR(VLOOKUP(H106,CEI_022018!$A$1:$U$509,9,FALSE),0)</f>
        <v>0</v>
      </c>
      <c r="EZ106" s="417">
        <f>IFERROR(VLOOKUP(H106,CEI_032018!$A$1:$U$509,9,FALSE),0)</f>
        <v>1.7749999761581421</v>
      </c>
      <c r="FA106" s="417">
        <f>IFERROR(VLOOKUP(H106,CEI_042018!$A$1:$U$491,9,FALSE),0)</f>
        <v>1.7749999761581421</v>
      </c>
      <c r="FB106" s="417">
        <f>IFERROR(VLOOKUP(H106,CEI_052018!$A$1:$U$489,9,FALSE),0)</f>
        <v>1.7749999761581421</v>
      </c>
      <c r="FC106" s="417">
        <f>IFERROR(VLOOKUP(H106,CEI_062018!$A$1:$U$489,9,FALSE),0)</f>
        <v>8.2119101285934448</v>
      </c>
      <c r="FD106" s="417">
        <f>IFERROR(VLOOKUP(H106,CEI_072018!$A$1:$U$489,9,FALSE),0)</f>
        <v>-6.9145699739456177</v>
      </c>
      <c r="FE106" s="417">
        <f>IFERROR(VLOOKUP(H106,CEI_082018!$A$1:$U$489,9,FALSE),0)</f>
        <v>-6.9145699739456177</v>
      </c>
      <c r="FF106" s="417">
        <f>IFERROR(VLOOKUP(H106,CEI_092018!$A$1:$U$489,9,FALSE),0)</f>
        <v>-6.9145699739456177</v>
      </c>
      <c r="FG106" s="417"/>
      <c r="FH106" s="417"/>
      <c r="FI106" s="417"/>
      <c r="FJ106" s="418">
        <f>IFERROR(VLOOKUP(H106,CEI_092018!$A$1:$U$489,12,FALSE),0)</f>
        <v>0</v>
      </c>
      <c r="FK106" s="418">
        <f t="shared" si="56"/>
        <v>-6.9145699739456177</v>
      </c>
      <c r="FL106" s="418">
        <f t="shared" si="57"/>
        <v>6.9145699739456177</v>
      </c>
      <c r="FM106" s="417"/>
      <c r="FN106" s="417"/>
      <c r="FO106" s="417"/>
      <c r="FP106" s="417"/>
      <c r="FQ106" s="417"/>
      <c r="FR106" s="417"/>
      <c r="FS106" s="417"/>
      <c r="FT106" s="417"/>
      <c r="FU106" s="417"/>
      <c r="FV106" s="417"/>
      <c r="FW106" s="417"/>
      <c r="FX106" s="417"/>
      <c r="FY106" s="418"/>
      <c r="FZ106" s="418"/>
      <c r="GA106" s="418"/>
      <c r="GB106" s="417"/>
      <c r="GC106" s="417"/>
      <c r="GD106" s="417"/>
      <c r="GE106" s="417"/>
      <c r="GF106" s="417"/>
      <c r="GG106" s="417"/>
      <c r="GH106" s="417"/>
      <c r="GI106" s="417"/>
      <c r="GJ106" s="417"/>
      <c r="GK106" s="417"/>
      <c r="GL106" s="417"/>
      <c r="GM106" s="417"/>
      <c r="GN106" s="418"/>
      <c r="GO106" s="418"/>
      <c r="GP106" s="418"/>
      <c r="GQ106" s="417"/>
      <c r="GR106" s="417"/>
      <c r="GS106" s="417"/>
      <c r="GT106" s="417"/>
      <c r="GU106" s="417"/>
      <c r="GV106" s="417"/>
      <c r="GW106" s="417"/>
      <c r="GX106" s="417"/>
      <c r="GY106" s="417"/>
      <c r="GZ106" s="417"/>
      <c r="HA106" s="417"/>
      <c r="HB106" s="417"/>
      <c r="HC106" s="418"/>
      <c r="HD106" s="418"/>
      <c r="HE106" s="418"/>
      <c r="HF106" s="417"/>
      <c r="HG106" s="417"/>
      <c r="HH106" s="417"/>
      <c r="HI106" s="417"/>
      <c r="HJ106" s="417"/>
      <c r="HK106" s="417"/>
      <c r="HL106" s="417"/>
      <c r="HM106" s="417"/>
      <c r="HN106" s="417"/>
      <c r="HO106" s="417"/>
      <c r="HP106" s="417"/>
      <c r="HQ106" s="417"/>
      <c r="HR106" s="418"/>
      <c r="HS106" s="418"/>
      <c r="HT106" s="418"/>
    </row>
    <row r="107" spans="1:228" s="387" customFormat="1" ht="12.95" customHeight="1" x14ac:dyDescent="0.2">
      <c r="A107" s="406" t="s">
        <v>55</v>
      </c>
      <c r="B107" s="407" t="s">
        <v>39</v>
      </c>
      <c r="C107" s="406" t="s">
        <v>56</v>
      </c>
      <c r="D107" s="407" t="s">
        <v>1550</v>
      </c>
      <c r="E107" s="407" t="s">
        <v>56</v>
      </c>
      <c r="F107" s="407" t="s">
        <v>1550</v>
      </c>
      <c r="G107" s="406" t="s">
        <v>54</v>
      </c>
      <c r="H107" s="408" t="s">
        <v>1096</v>
      </c>
      <c r="I107" s="408" t="s">
        <v>1097</v>
      </c>
      <c r="J107" s="406" t="s">
        <v>1098</v>
      </c>
      <c r="K107" s="406" t="s">
        <v>1098</v>
      </c>
      <c r="L107" s="406" t="s">
        <v>1098</v>
      </c>
      <c r="M107" s="406"/>
      <c r="N107" s="452">
        <v>0</v>
      </c>
      <c r="O107" s="452">
        <v>0</v>
      </c>
      <c r="P107" s="452">
        <v>54.296999216079712</v>
      </c>
      <c r="Q107" s="452">
        <v>0</v>
      </c>
      <c r="R107" s="452">
        <v>0</v>
      </c>
      <c r="S107" s="452">
        <v>0</v>
      </c>
      <c r="T107" s="452">
        <v>0</v>
      </c>
      <c r="U107" s="409">
        <v>0</v>
      </c>
      <c r="V107" s="409"/>
      <c r="W107" s="409"/>
      <c r="X107" s="409"/>
      <c r="Y107" s="409"/>
      <c r="Z107" s="453">
        <f t="shared" si="47"/>
        <v>54.296999216079712</v>
      </c>
      <c r="AA107" s="452"/>
      <c r="AB107" s="452"/>
      <c r="AC107" s="452"/>
      <c r="AD107" s="452"/>
      <c r="AE107" s="452"/>
      <c r="AF107" s="452"/>
      <c r="AG107" s="452"/>
      <c r="AH107" s="409"/>
      <c r="AI107" s="409"/>
      <c r="AJ107" s="409"/>
      <c r="AK107" s="409"/>
      <c r="AL107" s="409"/>
      <c r="AM107" s="453">
        <f t="shared" si="34"/>
        <v>0</v>
      </c>
      <c r="AN107" s="452"/>
      <c r="AO107" s="452"/>
      <c r="AP107" s="452"/>
      <c r="AQ107" s="452"/>
      <c r="AR107" s="452"/>
      <c r="AS107" s="452"/>
      <c r="AT107" s="452"/>
      <c r="AU107" s="409"/>
      <c r="AV107" s="409"/>
      <c r="AW107" s="409"/>
      <c r="AX107" s="409"/>
      <c r="AY107" s="409"/>
      <c r="AZ107" s="453">
        <f t="shared" si="35"/>
        <v>0</v>
      </c>
      <c r="BA107" s="452"/>
      <c r="BB107" s="452"/>
      <c r="BC107" s="452"/>
      <c r="BD107" s="452"/>
      <c r="BE107" s="452"/>
      <c r="BF107" s="452"/>
      <c r="BG107" s="452"/>
      <c r="BH107" s="409"/>
      <c r="BI107" s="409"/>
      <c r="BJ107" s="409"/>
      <c r="BK107" s="409"/>
      <c r="BL107" s="409"/>
      <c r="BM107" s="453">
        <f t="shared" si="36"/>
        <v>0</v>
      </c>
      <c r="BN107" s="452"/>
      <c r="BO107" s="452"/>
      <c r="BP107" s="452"/>
      <c r="BQ107" s="452"/>
      <c r="BR107" s="452"/>
      <c r="BS107" s="452"/>
      <c r="BT107" s="452"/>
      <c r="BU107" s="409"/>
      <c r="BV107" s="409"/>
      <c r="BW107" s="409"/>
      <c r="BX107" s="409"/>
      <c r="BY107" s="409"/>
      <c r="BZ107" s="453">
        <f t="shared" si="37"/>
        <v>0</v>
      </c>
      <c r="CA107" s="454">
        <f t="shared" si="38"/>
        <v>54.296999216079712</v>
      </c>
      <c r="CB107" s="419"/>
      <c r="CC107" s="419">
        <v>1</v>
      </c>
      <c r="CD107" s="419">
        <v>1</v>
      </c>
      <c r="CE107" s="419">
        <v>1</v>
      </c>
      <c r="CF107" s="419">
        <v>1</v>
      </c>
      <c r="CG107" s="420">
        <f>IFERROR((FE107/Z107%),0)</f>
        <v>100</v>
      </c>
      <c r="CH107" s="420">
        <f>IFERROR((FK107/Z107%),0)</f>
        <v>100</v>
      </c>
      <c r="CI107" s="414" t="s">
        <v>71</v>
      </c>
      <c r="CJ107" s="415"/>
      <c r="CK107" s="415"/>
      <c r="CL107" s="415">
        <v>27</v>
      </c>
      <c r="CM107" s="415"/>
      <c r="CN107" s="415"/>
      <c r="CO107" s="415"/>
      <c r="CP107" s="415"/>
      <c r="CQ107" s="415"/>
      <c r="CR107" s="415"/>
      <c r="CS107" s="415"/>
      <c r="CT107" s="415"/>
      <c r="CU107" s="415"/>
      <c r="CV107" s="410">
        <f t="shared" si="50"/>
        <v>27</v>
      </c>
      <c r="CW107" s="415"/>
      <c r="CX107" s="415"/>
      <c r="CY107" s="415"/>
      <c r="CZ107" s="415"/>
      <c r="DA107" s="415"/>
      <c r="DB107" s="415"/>
      <c r="DC107" s="415"/>
      <c r="DD107" s="415"/>
      <c r="DE107" s="415"/>
      <c r="DF107" s="415"/>
      <c r="DG107" s="415"/>
      <c r="DH107" s="415"/>
      <c r="DI107" s="410">
        <f t="shared" si="51"/>
        <v>0</v>
      </c>
      <c r="DJ107" s="415"/>
      <c r="DK107" s="415"/>
      <c r="DL107" s="415"/>
      <c r="DM107" s="415"/>
      <c r="DN107" s="415"/>
      <c r="DO107" s="415"/>
      <c r="DP107" s="415"/>
      <c r="DQ107" s="415"/>
      <c r="DR107" s="415"/>
      <c r="DS107" s="415"/>
      <c r="DT107" s="415"/>
      <c r="DU107" s="415"/>
      <c r="DV107" s="410">
        <f t="shared" si="52"/>
        <v>0</v>
      </c>
      <c r="DW107" s="415"/>
      <c r="DX107" s="415"/>
      <c r="DY107" s="415"/>
      <c r="DZ107" s="415"/>
      <c r="EA107" s="415"/>
      <c r="EB107" s="415"/>
      <c r="EC107" s="415"/>
      <c r="ED107" s="415"/>
      <c r="EE107" s="415"/>
      <c r="EF107" s="415"/>
      <c r="EG107" s="415"/>
      <c r="EH107" s="415"/>
      <c r="EI107" s="410">
        <f t="shared" si="53"/>
        <v>0</v>
      </c>
      <c r="EJ107" s="415"/>
      <c r="EK107" s="415"/>
      <c r="EL107" s="415"/>
      <c r="EM107" s="415"/>
      <c r="EN107" s="415"/>
      <c r="EO107" s="415"/>
      <c r="EP107" s="415"/>
      <c r="EQ107" s="415"/>
      <c r="ER107" s="415"/>
      <c r="ES107" s="415"/>
      <c r="ET107" s="415"/>
      <c r="EU107" s="415"/>
      <c r="EV107" s="410">
        <f t="shared" si="54"/>
        <v>0</v>
      </c>
      <c r="EW107" s="416">
        <f t="shared" si="55"/>
        <v>27</v>
      </c>
      <c r="EX107" s="417">
        <f>IFERROR(VLOOKUP(H107,CEI_012018!$A$1:$U$509,9,FALSE),0)</f>
        <v>0</v>
      </c>
      <c r="EY107" s="417">
        <f>IFERROR(VLOOKUP(H107,CEI_022018!$A$1:$U$509,9,FALSE),0)</f>
        <v>0</v>
      </c>
      <c r="EZ107" s="417">
        <f>IFERROR(VLOOKUP(H107,CEI_032018!$A$1:$U$509,9,FALSE),0)</f>
        <v>54.296999216079712</v>
      </c>
      <c r="FA107" s="417">
        <f>IFERROR(VLOOKUP(H107,CEI_042018!$A$1:$U$491,9,FALSE),0)</f>
        <v>54.296999216079712</v>
      </c>
      <c r="FB107" s="417">
        <f>IFERROR(VLOOKUP(H107,CEI_052018!$A$1:$U$489,9,FALSE),0)</f>
        <v>54.296999216079712</v>
      </c>
      <c r="FC107" s="417">
        <f>IFERROR(VLOOKUP(H107,CEI_062018!$A$1:$U$489,9,FALSE),0)</f>
        <v>54.296999216079712</v>
      </c>
      <c r="FD107" s="417">
        <f>IFERROR(VLOOKUP(H107,CEI_072018!$A$1:$U$489,9,FALSE),0)</f>
        <v>54.296999216079712</v>
      </c>
      <c r="FE107" s="417">
        <f>IFERROR(VLOOKUP(H107,CEI_082018!$A$1:$U$489,9,FALSE),0)</f>
        <v>54.296999216079712</v>
      </c>
      <c r="FF107" s="417">
        <f>IFERROR(VLOOKUP(H107,CEI_092018!$A$1:$U$489,9,FALSE),0)</f>
        <v>54.296999216079712</v>
      </c>
      <c r="FG107" s="417"/>
      <c r="FH107" s="417"/>
      <c r="FI107" s="417"/>
      <c r="FJ107" s="418">
        <f>IFERROR(VLOOKUP(H107,CEI_092018!$A$1:$U$489,12,FALSE),0)</f>
        <v>0</v>
      </c>
      <c r="FK107" s="418">
        <f t="shared" si="56"/>
        <v>54.296999216079712</v>
      </c>
      <c r="FL107" s="418">
        <f t="shared" si="57"/>
        <v>0</v>
      </c>
      <c r="FM107" s="417"/>
      <c r="FN107" s="417"/>
      <c r="FO107" s="417"/>
      <c r="FP107" s="417"/>
      <c r="FQ107" s="417"/>
      <c r="FR107" s="417"/>
      <c r="FS107" s="417"/>
      <c r="FT107" s="417"/>
      <c r="FU107" s="417"/>
      <c r="FV107" s="417"/>
      <c r="FW107" s="417"/>
      <c r="FX107" s="417"/>
      <c r="FY107" s="418"/>
      <c r="FZ107" s="418"/>
      <c r="GA107" s="418"/>
      <c r="GB107" s="417"/>
      <c r="GC107" s="417"/>
      <c r="GD107" s="417"/>
      <c r="GE107" s="417"/>
      <c r="GF107" s="417"/>
      <c r="GG107" s="417"/>
      <c r="GH107" s="417"/>
      <c r="GI107" s="417"/>
      <c r="GJ107" s="417"/>
      <c r="GK107" s="417"/>
      <c r="GL107" s="417"/>
      <c r="GM107" s="417"/>
      <c r="GN107" s="418"/>
      <c r="GO107" s="418"/>
      <c r="GP107" s="418"/>
      <c r="GQ107" s="417"/>
      <c r="GR107" s="417"/>
      <c r="GS107" s="417"/>
      <c r="GT107" s="417"/>
      <c r="GU107" s="417"/>
      <c r="GV107" s="417"/>
      <c r="GW107" s="417"/>
      <c r="GX107" s="417"/>
      <c r="GY107" s="417"/>
      <c r="GZ107" s="417"/>
      <c r="HA107" s="417"/>
      <c r="HB107" s="417"/>
      <c r="HC107" s="418"/>
      <c r="HD107" s="418"/>
      <c r="HE107" s="418"/>
      <c r="HF107" s="417"/>
      <c r="HG107" s="417"/>
      <c r="HH107" s="417"/>
      <c r="HI107" s="417"/>
      <c r="HJ107" s="417"/>
      <c r="HK107" s="417"/>
      <c r="HL107" s="417"/>
      <c r="HM107" s="417"/>
      <c r="HN107" s="417"/>
      <c r="HO107" s="417"/>
      <c r="HP107" s="417"/>
      <c r="HQ107" s="417"/>
      <c r="HR107" s="418"/>
      <c r="HS107" s="418"/>
      <c r="HT107" s="418"/>
    </row>
    <row r="108" spans="1:228" s="387" customFormat="1" ht="12.95" customHeight="1" x14ac:dyDescent="0.2">
      <c r="A108" s="406" t="s">
        <v>55</v>
      </c>
      <c r="B108" s="407" t="s">
        <v>39</v>
      </c>
      <c r="C108" s="406" t="s">
        <v>56</v>
      </c>
      <c r="D108" s="407" t="s">
        <v>271</v>
      </c>
      <c r="E108" s="407" t="s">
        <v>56</v>
      </c>
      <c r="F108" s="407" t="s">
        <v>271</v>
      </c>
      <c r="G108" s="406" t="s">
        <v>54</v>
      </c>
      <c r="H108" s="408" t="s">
        <v>520</v>
      </c>
      <c r="I108" s="408"/>
      <c r="J108" s="406" t="s">
        <v>280</v>
      </c>
      <c r="K108" s="406" t="s">
        <v>281</v>
      </c>
      <c r="L108" s="406" t="s">
        <v>282</v>
      </c>
      <c r="M108" s="406"/>
      <c r="N108" s="452">
        <v>0</v>
      </c>
      <c r="O108" s="452">
        <v>0</v>
      </c>
      <c r="P108" s="452">
        <v>0</v>
      </c>
      <c r="Q108" s="452">
        <v>0</v>
      </c>
      <c r="R108" s="452">
        <v>0</v>
      </c>
      <c r="S108" s="452">
        <v>0</v>
      </c>
      <c r="T108" s="452">
        <v>0</v>
      </c>
      <c r="U108" s="409">
        <v>0</v>
      </c>
      <c r="V108" s="409"/>
      <c r="W108" s="409"/>
      <c r="X108" s="409"/>
      <c r="Y108" s="409"/>
      <c r="Z108" s="453">
        <f t="shared" si="47"/>
        <v>0</v>
      </c>
      <c r="AA108" s="452"/>
      <c r="AB108" s="452"/>
      <c r="AC108" s="452"/>
      <c r="AD108" s="452"/>
      <c r="AE108" s="452"/>
      <c r="AF108" s="452"/>
      <c r="AG108" s="452"/>
      <c r="AH108" s="409"/>
      <c r="AI108" s="409"/>
      <c r="AJ108" s="409"/>
      <c r="AK108" s="409"/>
      <c r="AL108" s="409"/>
      <c r="AM108" s="453">
        <f t="shared" si="34"/>
        <v>0</v>
      </c>
      <c r="AN108" s="452"/>
      <c r="AO108" s="452"/>
      <c r="AP108" s="452"/>
      <c r="AQ108" s="452"/>
      <c r="AR108" s="452"/>
      <c r="AS108" s="452"/>
      <c r="AT108" s="452"/>
      <c r="AU108" s="409"/>
      <c r="AV108" s="409"/>
      <c r="AW108" s="409"/>
      <c r="AX108" s="409"/>
      <c r="AY108" s="409"/>
      <c r="AZ108" s="453">
        <f t="shared" si="35"/>
        <v>0</v>
      </c>
      <c r="BA108" s="452"/>
      <c r="BB108" s="452"/>
      <c r="BC108" s="452"/>
      <c r="BD108" s="452"/>
      <c r="BE108" s="452"/>
      <c r="BF108" s="452"/>
      <c r="BG108" s="452"/>
      <c r="BH108" s="409"/>
      <c r="BI108" s="409">
        <v>200</v>
      </c>
      <c r="BJ108" s="409"/>
      <c r="BK108" s="409"/>
      <c r="BL108" s="409"/>
      <c r="BM108" s="453">
        <f t="shared" si="36"/>
        <v>200</v>
      </c>
      <c r="BN108" s="452"/>
      <c r="BO108" s="452"/>
      <c r="BP108" s="452"/>
      <c r="BQ108" s="452"/>
      <c r="BR108" s="452"/>
      <c r="BS108" s="452"/>
      <c r="BT108" s="452"/>
      <c r="BU108" s="409"/>
      <c r="BV108" s="409">
        <v>600</v>
      </c>
      <c r="BW108" s="409"/>
      <c r="BX108" s="409"/>
      <c r="BY108" s="409"/>
      <c r="BZ108" s="453">
        <f t="shared" si="37"/>
        <v>600</v>
      </c>
      <c r="CA108" s="454">
        <f t="shared" si="38"/>
        <v>800</v>
      </c>
      <c r="CB108" s="411"/>
      <c r="CC108" s="411"/>
      <c r="CD108" s="411"/>
      <c r="CE108" s="411"/>
      <c r="CF108" s="411"/>
      <c r="CG108" s="412"/>
      <c r="CH108" s="413"/>
      <c r="CI108" s="414" t="s">
        <v>71</v>
      </c>
      <c r="CJ108" s="415"/>
      <c r="CK108" s="415"/>
      <c r="CL108" s="415"/>
      <c r="CM108" s="415"/>
      <c r="CN108" s="415"/>
      <c r="CO108" s="415"/>
      <c r="CP108" s="415"/>
      <c r="CQ108" s="415"/>
      <c r="CR108" s="415"/>
      <c r="CS108" s="415"/>
      <c r="CT108" s="415"/>
      <c r="CU108" s="415"/>
      <c r="CV108" s="410">
        <f t="shared" si="50"/>
        <v>0</v>
      </c>
      <c r="CW108" s="415"/>
      <c r="CX108" s="415"/>
      <c r="CY108" s="415"/>
      <c r="CZ108" s="415"/>
      <c r="DA108" s="415"/>
      <c r="DB108" s="415"/>
      <c r="DC108" s="415"/>
      <c r="DD108" s="415">
        <v>0</v>
      </c>
      <c r="DE108" s="415"/>
      <c r="DF108" s="415"/>
      <c r="DG108" s="415"/>
      <c r="DH108" s="415"/>
      <c r="DI108" s="410">
        <f t="shared" si="51"/>
        <v>0</v>
      </c>
      <c r="DJ108" s="415"/>
      <c r="DK108" s="415"/>
      <c r="DL108" s="415"/>
      <c r="DM108" s="415"/>
      <c r="DN108" s="415"/>
      <c r="DO108" s="415"/>
      <c r="DP108" s="415"/>
      <c r="DQ108" s="415">
        <v>0</v>
      </c>
      <c r="DR108" s="415"/>
      <c r="DS108" s="415"/>
      <c r="DT108" s="415"/>
      <c r="DU108" s="415"/>
      <c r="DV108" s="410">
        <f t="shared" si="52"/>
        <v>0</v>
      </c>
      <c r="DW108" s="415"/>
      <c r="DX108" s="415"/>
      <c r="DY108" s="415"/>
      <c r="DZ108" s="415"/>
      <c r="EA108" s="415"/>
      <c r="EB108" s="415"/>
      <c r="EC108" s="415"/>
      <c r="ED108" s="415">
        <v>75</v>
      </c>
      <c r="EE108" s="415"/>
      <c r="EF108" s="415"/>
      <c r="EG108" s="415"/>
      <c r="EH108" s="415"/>
      <c r="EI108" s="410">
        <f t="shared" si="53"/>
        <v>75</v>
      </c>
      <c r="EJ108" s="415"/>
      <c r="EK108" s="415"/>
      <c r="EL108" s="415"/>
      <c r="EM108" s="415"/>
      <c r="EN108" s="415"/>
      <c r="EO108" s="415"/>
      <c r="EP108" s="415"/>
      <c r="EQ108" s="415">
        <v>225</v>
      </c>
      <c r="ER108" s="415"/>
      <c r="ES108" s="415"/>
      <c r="ET108" s="415"/>
      <c r="EU108" s="415"/>
      <c r="EV108" s="410">
        <f t="shared" si="54"/>
        <v>225</v>
      </c>
      <c r="EW108" s="416">
        <f t="shared" si="55"/>
        <v>300</v>
      </c>
      <c r="EX108" s="417">
        <f>IFERROR(VLOOKUP(H108,CEI_012018!$A$1:$U$509,9,FALSE),0)</f>
        <v>0</v>
      </c>
      <c r="EY108" s="417">
        <f>IFERROR(VLOOKUP(H108,CEI_022018!$A$1:$U$509,9,FALSE),0)</f>
        <v>0</v>
      </c>
      <c r="EZ108" s="417">
        <f>IFERROR(VLOOKUP(H108,CEI_032018!$A$1:$U$509,9,FALSE),0)</f>
        <v>0</v>
      </c>
      <c r="FA108" s="417">
        <f>IFERROR(VLOOKUP(H108,CEI_042018!$A$1:$U$491,9,FALSE),0)</f>
        <v>0</v>
      </c>
      <c r="FB108" s="417">
        <f>IFERROR(VLOOKUP(H108,CEI_052018!$A$1:$U$489,9,FALSE),0)</f>
        <v>0</v>
      </c>
      <c r="FC108" s="417">
        <f>IFERROR(VLOOKUP(H108,CEI_062018!$A$1:$U$489,9,FALSE),0)</f>
        <v>0</v>
      </c>
      <c r="FD108" s="417">
        <f>IFERROR(VLOOKUP(H108,CEI_072018!$A$1:$U$489,9,FALSE),0)</f>
        <v>0</v>
      </c>
      <c r="FE108" s="417">
        <f>IFERROR(VLOOKUP(H108,CEI_082018!$A$1:$U$489,9,FALSE),0)</f>
        <v>0</v>
      </c>
      <c r="FF108" s="417">
        <f>IFERROR(VLOOKUP(H108,CEI_092018!$A$1:$U$489,9,FALSE),0)</f>
        <v>0</v>
      </c>
      <c r="FG108" s="417"/>
      <c r="FH108" s="417"/>
      <c r="FI108" s="417"/>
      <c r="FJ108" s="418">
        <f>IFERROR(VLOOKUP(H108,CEI_092018!$A$1:$U$489,12,FALSE),0)</f>
        <v>0</v>
      </c>
      <c r="FK108" s="418">
        <f t="shared" si="56"/>
        <v>0</v>
      </c>
      <c r="FL108" s="418">
        <f t="shared" si="57"/>
        <v>0</v>
      </c>
      <c r="FM108" s="417"/>
      <c r="FN108" s="417"/>
      <c r="FO108" s="417"/>
      <c r="FP108" s="417"/>
      <c r="FQ108" s="417"/>
      <c r="FR108" s="417"/>
      <c r="FS108" s="417"/>
      <c r="FT108" s="417"/>
      <c r="FU108" s="417"/>
      <c r="FV108" s="417"/>
      <c r="FW108" s="417"/>
      <c r="FX108" s="417"/>
      <c r="FY108" s="418"/>
      <c r="FZ108" s="418"/>
      <c r="GA108" s="418"/>
      <c r="GB108" s="417"/>
      <c r="GC108" s="417"/>
      <c r="GD108" s="417"/>
      <c r="GE108" s="417"/>
      <c r="GF108" s="417"/>
      <c r="GG108" s="417"/>
      <c r="GH108" s="417"/>
      <c r="GI108" s="417"/>
      <c r="GJ108" s="417"/>
      <c r="GK108" s="417"/>
      <c r="GL108" s="417"/>
      <c r="GM108" s="417"/>
      <c r="GN108" s="418"/>
      <c r="GO108" s="418"/>
      <c r="GP108" s="418"/>
      <c r="GQ108" s="417"/>
      <c r="GR108" s="417"/>
      <c r="GS108" s="417"/>
      <c r="GT108" s="417"/>
      <c r="GU108" s="417"/>
      <c r="GV108" s="417"/>
      <c r="GW108" s="417"/>
      <c r="GX108" s="417"/>
      <c r="GY108" s="417"/>
      <c r="GZ108" s="417"/>
      <c r="HA108" s="417"/>
      <c r="HB108" s="417"/>
      <c r="HC108" s="418"/>
      <c r="HD108" s="418"/>
      <c r="HE108" s="418"/>
      <c r="HF108" s="417"/>
      <c r="HG108" s="417"/>
      <c r="HH108" s="417"/>
      <c r="HI108" s="417"/>
      <c r="HJ108" s="417"/>
      <c r="HK108" s="417"/>
      <c r="HL108" s="417"/>
      <c r="HM108" s="417"/>
      <c r="HN108" s="417"/>
      <c r="HO108" s="417"/>
      <c r="HP108" s="417"/>
      <c r="HQ108" s="417"/>
      <c r="HR108" s="418"/>
      <c r="HS108" s="418"/>
      <c r="HT108" s="418"/>
    </row>
    <row r="109" spans="1:228" s="387" customFormat="1" ht="12.95" customHeight="1" x14ac:dyDescent="0.2">
      <c r="A109" s="406" t="s">
        <v>55</v>
      </c>
      <c r="B109" s="407" t="s">
        <v>39</v>
      </c>
      <c r="C109" s="406" t="s">
        <v>56</v>
      </c>
      <c r="D109" s="407" t="s">
        <v>271</v>
      </c>
      <c r="E109" s="407" t="s">
        <v>56</v>
      </c>
      <c r="F109" s="407" t="s">
        <v>271</v>
      </c>
      <c r="G109" s="406" t="s">
        <v>54</v>
      </c>
      <c r="H109" s="408" t="s">
        <v>520</v>
      </c>
      <c r="I109" s="408"/>
      <c r="J109" s="406" t="s">
        <v>1021</v>
      </c>
      <c r="K109" s="406" t="s">
        <v>272</v>
      </c>
      <c r="L109" s="406" t="s">
        <v>274</v>
      </c>
      <c r="M109" s="406"/>
      <c r="N109" s="452">
        <v>0</v>
      </c>
      <c r="O109" s="452">
        <v>0</v>
      </c>
      <c r="P109" s="452">
        <v>0</v>
      </c>
      <c r="Q109" s="452">
        <v>0</v>
      </c>
      <c r="R109" s="452">
        <v>0</v>
      </c>
      <c r="S109" s="452">
        <v>0</v>
      </c>
      <c r="T109" s="452">
        <v>0</v>
      </c>
      <c r="U109" s="409">
        <v>0</v>
      </c>
      <c r="V109" s="409"/>
      <c r="W109" s="409"/>
      <c r="X109" s="409"/>
      <c r="Y109" s="409"/>
      <c r="Z109" s="453">
        <f t="shared" si="47"/>
        <v>0</v>
      </c>
      <c r="AA109" s="452"/>
      <c r="AB109" s="452"/>
      <c r="AC109" s="452"/>
      <c r="AD109" s="452"/>
      <c r="AE109" s="452"/>
      <c r="AF109" s="452"/>
      <c r="AG109" s="452"/>
      <c r="AH109" s="409"/>
      <c r="AI109" s="409">
        <v>25</v>
      </c>
      <c r="AJ109" s="409"/>
      <c r="AK109" s="409"/>
      <c r="AL109" s="409"/>
      <c r="AM109" s="453">
        <f t="shared" si="34"/>
        <v>25</v>
      </c>
      <c r="AN109" s="452"/>
      <c r="AO109" s="452"/>
      <c r="AP109" s="452"/>
      <c r="AQ109" s="452"/>
      <c r="AR109" s="452"/>
      <c r="AS109" s="452"/>
      <c r="AT109" s="452"/>
      <c r="AU109" s="409"/>
      <c r="AV109" s="409">
        <v>25</v>
      </c>
      <c r="AW109" s="409"/>
      <c r="AX109" s="409"/>
      <c r="AY109" s="409"/>
      <c r="AZ109" s="453">
        <f t="shared" si="35"/>
        <v>25</v>
      </c>
      <c r="BA109" s="452"/>
      <c r="BB109" s="452"/>
      <c r="BC109" s="452"/>
      <c r="BD109" s="452"/>
      <c r="BE109" s="452"/>
      <c r="BF109" s="452"/>
      <c r="BG109" s="452"/>
      <c r="BH109" s="409"/>
      <c r="BI109" s="409">
        <v>25</v>
      </c>
      <c r="BJ109" s="409"/>
      <c r="BK109" s="409"/>
      <c r="BL109" s="409"/>
      <c r="BM109" s="453">
        <f t="shared" si="36"/>
        <v>25</v>
      </c>
      <c r="BN109" s="452"/>
      <c r="BO109" s="452"/>
      <c r="BP109" s="452"/>
      <c r="BQ109" s="452"/>
      <c r="BR109" s="452"/>
      <c r="BS109" s="452"/>
      <c r="BT109" s="452"/>
      <c r="BU109" s="409"/>
      <c r="BV109" s="409">
        <v>25</v>
      </c>
      <c r="BW109" s="409"/>
      <c r="BX109" s="409"/>
      <c r="BY109" s="409"/>
      <c r="BZ109" s="453">
        <f t="shared" si="37"/>
        <v>25</v>
      </c>
      <c r="CA109" s="454">
        <f t="shared" si="38"/>
        <v>100</v>
      </c>
      <c r="CB109" s="411"/>
      <c r="CC109" s="411"/>
      <c r="CD109" s="411"/>
      <c r="CE109" s="411"/>
      <c r="CF109" s="411"/>
      <c r="CG109" s="412"/>
      <c r="CH109" s="413"/>
      <c r="CI109" s="414" t="s">
        <v>71</v>
      </c>
      <c r="CJ109" s="415"/>
      <c r="CK109" s="415"/>
      <c r="CL109" s="415"/>
      <c r="CM109" s="415"/>
      <c r="CN109" s="415"/>
      <c r="CO109" s="415"/>
      <c r="CP109" s="415"/>
      <c r="CQ109" s="415"/>
      <c r="CR109" s="415"/>
      <c r="CS109" s="415"/>
      <c r="CT109" s="415"/>
      <c r="CU109" s="415"/>
      <c r="CV109" s="410">
        <f t="shared" si="50"/>
        <v>0</v>
      </c>
      <c r="CW109" s="415"/>
      <c r="CX109" s="415"/>
      <c r="CY109" s="415"/>
      <c r="CZ109" s="415"/>
      <c r="DA109" s="415"/>
      <c r="DB109" s="415"/>
      <c r="DC109" s="415"/>
      <c r="DD109" s="415">
        <v>15</v>
      </c>
      <c r="DE109" s="415"/>
      <c r="DF109" s="415"/>
      <c r="DG109" s="415"/>
      <c r="DH109" s="415"/>
      <c r="DI109" s="410">
        <f t="shared" si="51"/>
        <v>15</v>
      </c>
      <c r="DJ109" s="415"/>
      <c r="DK109" s="415"/>
      <c r="DL109" s="415"/>
      <c r="DM109" s="415"/>
      <c r="DN109" s="415"/>
      <c r="DO109" s="415"/>
      <c r="DP109" s="415"/>
      <c r="DQ109" s="415">
        <v>15</v>
      </c>
      <c r="DR109" s="415"/>
      <c r="DS109" s="415"/>
      <c r="DT109" s="415"/>
      <c r="DU109" s="415"/>
      <c r="DV109" s="410">
        <f t="shared" si="52"/>
        <v>15</v>
      </c>
      <c r="DW109" s="415"/>
      <c r="DX109" s="415"/>
      <c r="DY109" s="415"/>
      <c r="DZ109" s="415"/>
      <c r="EA109" s="415"/>
      <c r="EB109" s="415"/>
      <c r="EC109" s="415"/>
      <c r="ED109" s="415">
        <v>15</v>
      </c>
      <c r="EE109" s="415"/>
      <c r="EF109" s="415"/>
      <c r="EG109" s="415"/>
      <c r="EH109" s="415"/>
      <c r="EI109" s="410">
        <f t="shared" si="53"/>
        <v>15</v>
      </c>
      <c r="EJ109" s="415"/>
      <c r="EK109" s="415"/>
      <c r="EL109" s="415"/>
      <c r="EM109" s="415"/>
      <c r="EN109" s="415"/>
      <c r="EO109" s="415"/>
      <c r="EP109" s="415"/>
      <c r="EQ109" s="415">
        <v>0</v>
      </c>
      <c r="ER109" s="415">
        <v>15</v>
      </c>
      <c r="ES109" s="415"/>
      <c r="ET109" s="415"/>
      <c r="EU109" s="415"/>
      <c r="EV109" s="410">
        <f t="shared" si="54"/>
        <v>15</v>
      </c>
      <c r="EW109" s="416">
        <f t="shared" si="55"/>
        <v>60</v>
      </c>
      <c r="EX109" s="417">
        <f>IFERROR(VLOOKUP(H109,CEI_012018!$A$1:$U$509,9,FALSE),0)</f>
        <v>0</v>
      </c>
      <c r="EY109" s="417">
        <f>IFERROR(VLOOKUP(H109,CEI_022018!$A$1:$U$509,9,FALSE),0)</f>
        <v>0</v>
      </c>
      <c r="EZ109" s="417">
        <f>IFERROR(VLOOKUP(H109,CEI_032018!$A$1:$U$509,9,FALSE),0)</f>
        <v>0</v>
      </c>
      <c r="FA109" s="417">
        <f>IFERROR(VLOOKUP(H109,CEI_042018!$A$1:$U$491,9,FALSE),0)</f>
        <v>0</v>
      </c>
      <c r="FB109" s="417">
        <f>IFERROR(VLOOKUP(H109,CEI_052018!$A$1:$U$489,9,FALSE),0)</f>
        <v>0</v>
      </c>
      <c r="FC109" s="417">
        <f>IFERROR(VLOOKUP(H109,CEI_062018!$A$1:$U$489,9,FALSE),0)</f>
        <v>0</v>
      </c>
      <c r="FD109" s="417">
        <f>IFERROR(VLOOKUP(H109,CEI_072018!$A$1:$U$489,9,FALSE),0)</f>
        <v>0</v>
      </c>
      <c r="FE109" s="417">
        <f>IFERROR(VLOOKUP(H109,CEI_082018!$A$1:$U$489,9,FALSE),0)</f>
        <v>0</v>
      </c>
      <c r="FF109" s="417">
        <f>IFERROR(VLOOKUP(H109,CEI_092018!$A$1:$U$489,9,FALSE),0)</f>
        <v>0</v>
      </c>
      <c r="FG109" s="417"/>
      <c r="FH109" s="417"/>
      <c r="FI109" s="417"/>
      <c r="FJ109" s="418">
        <f>IFERROR(VLOOKUP(H109,CEI_092018!$A$1:$U$489,12,FALSE),0)</f>
        <v>0</v>
      </c>
      <c r="FK109" s="418">
        <f t="shared" si="56"/>
        <v>0</v>
      </c>
      <c r="FL109" s="418">
        <f t="shared" si="57"/>
        <v>0</v>
      </c>
      <c r="FM109" s="417"/>
      <c r="FN109" s="417"/>
      <c r="FO109" s="417"/>
      <c r="FP109" s="417"/>
      <c r="FQ109" s="417"/>
      <c r="FR109" s="417"/>
      <c r="FS109" s="417"/>
      <c r="FT109" s="417"/>
      <c r="FU109" s="417"/>
      <c r="FV109" s="417"/>
      <c r="FW109" s="417"/>
      <c r="FX109" s="417"/>
      <c r="FY109" s="418"/>
      <c r="FZ109" s="418"/>
      <c r="GA109" s="418"/>
      <c r="GB109" s="417"/>
      <c r="GC109" s="417"/>
      <c r="GD109" s="417"/>
      <c r="GE109" s="417"/>
      <c r="GF109" s="417"/>
      <c r="GG109" s="417"/>
      <c r="GH109" s="417"/>
      <c r="GI109" s="417"/>
      <c r="GJ109" s="417"/>
      <c r="GK109" s="417"/>
      <c r="GL109" s="417"/>
      <c r="GM109" s="417"/>
      <c r="GN109" s="418"/>
      <c r="GO109" s="418"/>
      <c r="GP109" s="418"/>
      <c r="GQ109" s="417"/>
      <c r="GR109" s="417"/>
      <c r="GS109" s="417"/>
      <c r="GT109" s="417"/>
      <c r="GU109" s="417"/>
      <c r="GV109" s="417"/>
      <c r="GW109" s="417"/>
      <c r="GX109" s="417"/>
      <c r="GY109" s="417"/>
      <c r="GZ109" s="417"/>
      <c r="HA109" s="417"/>
      <c r="HB109" s="417"/>
      <c r="HC109" s="418"/>
      <c r="HD109" s="418"/>
      <c r="HE109" s="418"/>
      <c r="HF109" s="417"/>
      <c r="HG109" s="417"/>
      <c r="HH109" s="417"/>
      <c r="HI109" s="417"/>
      <c r="HJ109" s="417"/>
      <c r="HK109" s="417"/>
      <c r="HL109" s="417"/>
      <c r="HM109" s="417"/>
      <c r="HN109" s="417"/>
      <c r="HO109" s="417"/>
      <c r="HP109" s="417"/>
      <c r="HQ109" s="417"/>
      <c r="HR109" s="418"/>
      <c r="HS109" s="418"/>
      <c r="HT109" s="418"/>
    </row>
    <row r="110" spans="1:228" s="387" customFormat="1" ht="12.95" customHeight="1" x14ac:dyDescent="0.2">
      <c r="A110" s="406" t="s">
        <v>55</v>
      </c>
      <c r="B110" s="407" t="s">
        <v>39</v>
      </c>
      <c r="C110" s="406" t="s">
        <v>56</v>
      </c>
      <c r="D110" s="407" t="s">
        <v>271</v>
      </c>
      <c r="E110" s="407" t="s">
        <v>56</v>
      </c>
      <c r="F110" s="407" t="s">
        <v>271</v>
      </c>
      <c r="G110" s="406" t="s">
        <v>54</v>
      </c>
      <c r="H110" s="408" t="s">
        <v>1830</v>
      </c>
      <c r="I110" s="408" t="s">
        <v>1831</v>
      </c>
      <c r="J110" s="406" t="s">
        <v>1832</v>
      </c>
      <c r="K110" s="406" t="s">
        <v>1833</v>
      </c>
      <c r="L110" s="406" t="s">
        <v>1834</v>
      </c>
      <c r="M110" s="406"/>
      <c r="N110" s="452">
        <v>0</v>
      </c>
      <c r="O110" s="452">
        <v>0</v>
      </c>
      <c r="P110" s="452">
        <v>0</v>
      </c>
      <c r="Q110" s="452">
        <v>0</v>
      </c>
      <c r="R110" s="452">
        <v>0</v>
      </c>
      <c r="S110" s="452">
        <v>0</v>
      </c>
      <c r="T110" s="452">
        <v>0</v>
      </c>
      <c r="U110" s="409">
        <v>2.8900001049041748</v>
      </c>
      <c r="V110" s="409"/>
      <c r="W110" s="409"/>
      <c r="X110" s="409"/>
      <c r="Y110" s="409">
        <v>3.6099998950958252</v>
      </c>
      <c r="Z110" s="453">
        <f t="shared" si="47"/>
        <v>6.5</v>
      </c>
      <c r="AA110" s="452"/>
      <c r="AB110" s="452"/>
      <c r="AC110" s="452"/>
      <c r="AD110" s="452"/>
      <c r="AE110" s="452"/>
      <c r="AF110" s="452"/>
      <c r="AG110" s="452"/>
      <c r="AH110" s="409"/>
      <c r="AI110" s="409"/>
      <c r="AJ110" s="409"/>
      <c r="AK110" s="409"/>
      <c r="AL110" s="409"/>
      <c r="AM110" s="453">
        <f t="shared" si="34"/>
        <v>0</v>
      </c>
      <c r="AN110" s="452"/>
      <c r="AO110" s="452"/>
      <c r="AP110" s="452"/>
      <c r="AQ110" s="452"/>
      <c r="AR110" s="452"/>
      <c r="AS110" s="452"/>
      <c r="AT110" s="452"/>
      <c r="AU110" s="409"/>
      <c r="AV110" s="409"/>
      <c r="AW110" s="409"/>
      <c r="AX110" s="409"/>
      <c r="AY110" s="409"/>
      <c r="AZ110" s="453">
        <f t="shared" si="35"/>
        <v>0</v>
      </c>
      <c r="BA110" s="452"/>
      <c r="BB110" s="452"/>
      <c r="BC110" s="452"/>
      <c r="BD110" s="452"/>
      <c r="BE110" s="452"/>
      <c r="BF110" s="452"/>
      <c r="BG110" s="452"/>
      <c r="BH110" s="409"/>
      <c r="BI110" s="409"/>
      <c r="BJ110" s="409"/>
      <c r="BK110" s="409"/>
      <c r="BL110" s="409"/>
      <c r="BM110" s="453">
        <f t="shared" si="36"/>
        <v>0</v>
      </c>
      <c r="BN110" s="452"/>
      <c r="BO110" s="452"/>
      <c r="BP110" s="452"/>
      <c r="BQ110" s="452"/>
      <c r="BR110" s="452"/>
      <c r="BS110" s="452"/>
      <c r="BT110" s="452"/>
      <c r="BU110" s="409"/>
      <c r="BV110" s="409"/>
      <c r="BW110" s="409"/>
      <c r="BX110" s="409"/>
      <c r="BY110" s="409"/>
      <c r="BZ110" s="453">
        <f t="shared" si="37"/>
        <v>0</v>
      </c>
      <c r="CA110" s="454">
        <f t="shared" si="38"/>
        <v>6.5</v>
      </c>
      <c r="CB110" s="419"/>
      <c r="CC110" s="419">
        <v>1</v>
      </c>
      <c r="CD110" s="419">
        <v>1</v>
      </c>
      <c r="CE110" s="419">
        <v>-1</v>
      </c>
      <c r="CF110" s="419">
        <v>-1</v>
      </c>
      <c r="CG110" s="420">
        <f>IFERROR((FE110/Z110%),0)</f>
        <v>44.461540075448845</v>
      </c>
      <c r="CH110" s="420">
        <f>IFERROR((FK110/Z110%),0)</f>
        <v>44.461540075448845</v>
      </c>
      <c r="CI110" s="414" t="s">
        <v>71</v>
      </c>
      <c r="CJ110" s="415"/>
      <c r="CK110" s="415"/>
      <c r="CL110" s="415"/>
      <c r="CM110" s="415"/>
      <c r="CN110" s="415"/>
      <c r="CO110" s="415"/>
      <c r="CP110" s="415"/>
      <c r="CQ110" s="415"/>
      <c r="CR110" s="415"/>
      <c r="CS110" s="415"/>
      <c r="CT110" s="415"/>
      <c r="CU110" s="415">
        <v>2</v>
      </c>
      <c r="CV110" s="410">
        <f t="shared" si="50"/>
        <v>2</v>
      </c>
      <c r="CW110" s="415"/>
      <c r="CX110" s="415"/>
      <c r="CY110" s="415"/>
      <c r="CZ110" s="415"/>
      <c r="DA110" s="415"/>
      <c r="DB110" s="415"/>
      <c r="DC110" s="415"/>
      <c r="DD110" s="415"/>
      <c r="DE110" s="415"/>
      <c r="DF110" s="415"/>
      <c r="DG110" s="415"/>
      <c r="DH110" s="415"/>
      <c r="DI110" s="410">
        <f t="shared" si="51"/>
        <v>0</v>
      </c>
      <c r="DJ110" s="415"/>
      <c r="DK110" s="415"/>
      <c r="DL110" s="415"/>
      <c r="DM110" s="415"/>
      <c r="DN110" s="415"/>
      <c r="DO110" s="415"/>
      <c r="DP110" s="415"/>
      <c r="DQ110" s="415"/>
      <c r="DR110" s="415"/>
      <c r="DS110" s="415"/>
      <c r="DT110" s="415"/>
      <c r="DU110" s="415"/>
      <c r="DV110" s="410">
        <f t="shared" si="52"/>
        <v>0</v>
      </c>
      <c r="DW110" s="415"/>
      <c r="DX110" s="415"/>
      <c r="DY110" s="415"/>
      <c r="DZ110" s="415"/>
      <c r="EA110" s="415"/>
      <c r="EB110" s="415"/>
      <c r="EC110" s="415"/>
      <c r="ED110" s="415"/>
      <c r="EE110" s="415"/>
      <c r="EF110" s="415"/>
      <c r="EG110" s="415"/>
      <c r="EH110" s="415"/>
      <c r="EI110" s="410">
        <f t="shared" si="53"/>
        <v>0</v>
      </c>
      <c r="EJ110" s="415"/>
      <c r="EK110" s="415"/>
      <c r="EL110" s="415"/>
      <c r="EM110" s="415"/>
      <c r="EN110" s="415"/>
      <c r="EO110" s="415"/>
      <c r="EP110" s="415"/>
      <c r="EQ110" s="415"/>
      <c r="ER110" s="415"/>
      <c r="ES110" s="415"/>
      <c r="ET110" s="415"/>
      <c r="EU110" s="415"/>
      <c r="EV110" s="410">
        <f t="shared" si="54"/>
        <v>0</v>
      </c>
      <c r="EW110" s="416">
        <f t="shared" si="55"/>
        <v>2</v>
      </c>
      <c r="EX110" s="417">
        <f>IFERROR(VLOOKUP(H110,CEI_012018!$A$1:$U$509,9,FALSE),0)</f>
        <v>0</v>
      </c>
      <c r="EY110" s="417">
        <f>IFERROR(VLOOKUP(H110,CEI_022018!$A$1:$U$509,9,FALSE),0)</f>
        <v>0</v>
      </c>
      <c r="EZ110" s="417">
        <f>IFERROR(VLOOKUP(H110,CEI_032018!$A$1:$U$509,9,FALSE),0)</f>
        <v>0</v>
      </c>
      <c r="FA110" s="417">
        <f>IFERROR(VLOOKUP(H110,CEI_042018!$A$1:$U$491,9,FALSE),0)</f>
        <v>0</v>
      </c>
      <c r="FB110" s="417">
        <f>IFERROR(VLOOKUP(H110,CEI_052018!$A$1:$U$489,9,FALSE),0)</f>
        <v>0</v>
      </c>
      <c r="FC110" s="417">
        <f>IFERROR(VLOOKUP(H110,CEI_062018!$A$1:$U$489,9,FALSE),0)</f>
        <v>0</v>
      </c>
      <c r="FD110" s="417">
        <f>IFERROR(VLOOKUP(H110,CEI_072018!$A$1:$U$489,9,FALSE),0)</f>
        <v>0</v>
      </c>
      <c r="FE110" s="417">
        <f>IFERROR(VLOOKUP(H110,CEI_082018!$A$1:$U$489,9,FALSE),0)</f>
        <v>2.8900001049041748</v>
      </c>
      <c r="FF110" s="417">
        <f>IFERROR(VLOOKUP(H110,CEI_092018!$A$1:$U$489,9,FALSE),0)</f>
        <v>2.8900001049041748</v>
      </c>
      <c r="FG110" s="417"/>
      <c r="FH110" s="417"/>
      <c r="FI110" s="417"/>
      <c r="FJ110" s="418">
        <f>IFERROR(VLOOKUP(H110,CEI_092018!$A$1:$U$489,12,FALSE),0)</f>
        <v>0</v>
      </c>
      <c r="FK110" s="418">
        <f t="shared" si="56"/>
        <v>2.8900001049041748</v>
      </c>
      <c r="FL110" s="418">
        <f t="shared" si="57"/>
        <v>3.6099998950958252</v>
      </c>
      <c r="FM110" s="417"/>
      <c r="FN110" s="417"/>
      <c r="FO110" s="417"/>
      <c r="FP110" s="417"/>
      <c r="FQ110" s="417"/>
      <c r="FR110" s="417"/>
      <c r="FS110" s="417"/>
      <c r="FT110" s="417"/>
      <c r="FU110" s="417"/>
      <c r="FV110" s="417"/>
      <c r="FW110" s="417"/>
      <c r="FX110" s="417"/>
      <c r="FY110" s="418"/>
      <c r="FZ110" s="418"/>
      <c r="GA110" s="418"/>
      <c r="GB110" s="417"/>
      <c r="GC110" s="417"/>
      <c r="GD110" s="417"/>
      <c r="GE110" s="417"/>
      <c r="GF110" s="417"/>
      <c r="GG110" s="417"/>
      <c r="GH110" s="417"/>
      <c r="GI110" s="417"/>
      <c r="GJ110" s="417"/>
      <c r="GK110" s="417"/>
      <c r="GL110" s="417"/>
      <c r="GM110" s="417"/>
      <c r="GN110" s="418"/>
      <c r="GO110" s="418"/>
      <c r="GP110" s="418"/>
      <c r="GQ110" s="417"/>
      <c r="GR110" s="417"/>
      <c r="GS110" s="417"/>
      <c r="GT110" s="417"/>
      <c r="GU110" s="417"/>
      <c r="GV110" s="417"/>
      <c r="GW110" s="417"/>
      <c r="GX110" s="417"/>
      <c r="GY110" s="417"/>
      <c r="GZ110" s="417"/>
      <c r="HA110" s="417"/>
      <c r="HB110" s="417"/>
      <c r="HC110" s="418"/>
      <c r="HD110" s="418"/>
      <c r="HE110" s="418"/>
      <c r="HF110" s="417"/>
      <c r="HG110" s="417"/>
      <c r="HH110" s="417"/>
      <c r="HI110" s="417"/>
      <c r="HJ110" s="417"/>
      <c r="HK110" s="417"/>
      <c r="HL110" s="417"/>
      <c r="HM110" s="417"/>
      <c r="HN110" s="417"/>
      <c r="HO110" s="417"/>
      <c r="HP110" s="417"/>
      <c r="HQ110" s="417"/>
      <c r="HR110" s="418"/>
      <c r="HS110" s="418"/>
      <c r="HT110" s="418"/>
    </row>
    <row r="111" spans="1:228" s="387" customFormat="1" ht="12.95" customHeight="1" x14ac:dyDescent="0.2">
      <c r="A111" s="406" t="s">
        <v>55</v>
      </c>
      <c r="B111" s="407" t="s">
        <v>39</v>
      </c>
      <c r="C111" s="406" t="s">
        <v>56</v>
      </c>
      <c r="D111" s="407" t="s">
        <v>405</v>
      </c>
      <c r="E111" s="407" t="s">
        <v>56</v>
      </c>
      <c r="F111" s="407" t="s">
        <v>405</v>
      </c>
      <c r="G111" s="406" t="s">
        <v>54</v>
      </c>
      <c r="H111" s="408" t="s">
        <v>520</v>
      </c>
      <c r="I111" s="408"/>
      <c r="J111" s="406" t="s">
        <v>413</v>
      </c>
      <c r="K111" s="406" t="s">
        <v>414</v>
      </c>
      <c r="L111" s="406" t="s">
        <v>415</v>
      </c>
      <c r="M111" s="406"/>
      <c r="N111" s="452">
        <v>0</v>
      </c>
      <c r="O111" s="452">
        <v>0</v>
      </c>
      <c r="P111" s="452">
        <v>0</v>
      </c>
      <c r="Q111" s="452">
        <v>0</v>
      </c>
      <c r="R111" s="452">
        <v>0</v>
      </c>
      <c r="S111" s="452">
        <v>0</v>
      </c>
      <c r="T111" s="452">
        <v>0</v>
      </c>
      <c r="U111" s="409">
        <v>0</v>
      </c>
      <c r="V111" s="409"/>
      <c r="W111" s="409"/>
      <c r="X111" s="409"/>
      <c r="Y111" s="409"/>
      <c r="Z111" s="453">
        <f t="shared" si="47"/>
        <v>0</v>
      </c>
      <c r="AA111" s="452"/>
      <c r="AB111" s="452"/>
      <c r="AC111" s="452"/>
      <c r="AD111" s="452"/>
      <c r="AE111" s="452"/>
      <c r="AF111" s="452"/>
      <c r="AG111" s="452"/>
      <c r="AH111" s="409"/>
      <c r="AI111" s="409"/>
      <c r="AJ111" s="409"/>
      <c r="AK111" s="409"/>
      <c r="AL111" s="409"/>
      <c r="AM111" s="453">
        <f t="shared" si="34"/>
        <v>0</v>
      </c>
      <c r="AN111" s="452"/>
      <c r="AO111" s="452"/>
      <c r="AP111" s="452"/>
      <c r="AQ111" s="452"/>
      <c r="AR111" s="452"/>
      <c r="AS111" s="452"/>
      <c r="AT111" s="452"/>
      <c r="AU111" s="409"/>
      <c r="AV111" s="409"/>
      <c r="AW111" s="409"/>
      <c r="AX111" s="409"/>
      <c r="AY111" s="409"/>
      <c r="AZ111" s="453">
        <f t="shared" si="35"/>
        <v>0</v>
      </c>
      <c r="BA111" s="452"/>
      <c r="BB111" s="452"/>
      <c r="BC111" s="452"/>
      <c r="BD111" s="452"/>
      <c r="BE111" s="452"/>
      <c r="BF111" s="452"/>
      <c r="BG111" s="452"/>
      <c r="BH111" s="409"/>
      <c r="BI111" s="409"/>
      <c r="BJ111" s="409"/>
      <c r="BK111" s="409"/>
      <c r="BL111" s="409">
        <v>20</v>
      </c>
      <c r="BM111" s="453">
        <f t="shared" si="36"/>
        <v>20</v>
      </c>
      <c r="BN111" s="452"/>
      <c r="BO111" s="452"/>
      <c r="BP111" s="452"/>
      <c r="BQ111" s="452"/>
      <c r="BR111" s="452"/>
      <c r="BS111" s="452">
        <v>20</v>
      </c>
      <c r="BT111" s="452"/>
      <c r="BU111" s="409"/>
      <c r="BV111" s="409"/>
      <c r="BW111" s="409"/>
      <c r="BX111" s="409"/>
      <c r="BY111" s="409"/>
      <c r="BZ111" s="453">
        <f t="shared" si="37"/>
        <v>20</v>
      </c>
      <c r="CA111" s="454">
        <f t="shared" si="38"/>
        <v>40</v>
      </c>
      <c r="CB111" s="411"/>
      <c r="CC111" s="411"/>
      <c r="CD111" s="411"/>
      <c r="CE111" s="411"/>
      <c r="CF111" s="411"/>
      <c r="CG111" s="412"/>
      <c r="CH111" s="413"/>
      <c r="CI111" s="414" t="s">
        <v>71</v>
      </c>
      <c r="CJ111" s="415"/>
      <c r="CK111" s="415"/>
      <c r="CL111" s="415"/>
      <c r="CM111" s="415"/>
      <c r="CN111" s="415"/>
      <c r="CO111" s="415"/>
      <c r="CP111" s="415"/>
      <c r="CQ111" s="415"/>
      <c r="CR111" s="415"/>
      <c r="CS111" s="415"/>
      <c r="CT111" s="415"/>
      <c r="CU111" s="415"/>
      <c r="CV111" s="410">
        <f t="shared" si="50"/>
        <v>0</v>
      </c>
      <c r="CW111" s="415"/>
      <c r="CX111" s="415"/>
      <c r="CY111" s="415"/>
      <c r="CZ111" s="415"/>
      <c r="DA111" s="415"/>
      <c r="DB111" s="415"/>
      <c r="DC111" s="415"/>
      <c r="DD111" s="415"/>
      <c r="DE111" s="415"/>
      <c r="DF111" s="415"/>
      <c r="DG111" s="415"/>
      <c r="DH111" s="415"/>
      <c r="DI111" s="410">
        <f t="shared" si="51"/>
        <v>0</v>
      </c>
      <c r="DJ111" s="415"/>
      <c r="DK111" s="415"/>
      <c r="DL111" s="415"/>
      <c r="DM111" s="415"/>
      <c r="DN111" s="415"/>
      <c r="DO111" s="415"/>
      <c r="DP111" s="415"/>
      <c r="DQ111" s="415"/>
      <c r="DR111" s="415"/>
      <c r="DS111" s="415"/>
      <c r="DT111" s="415"/>
      <c r="DU111" s="415"/>
      <c r="DV111" s="410">
        <f t="shared" si="52"/>
        <v>0</v>
      </c>
      <c r="DW111" s="415"/>
      <c r="DX111" s="415"/>
      <c r="DY111" s="415"/>
      <c r="DZ111" s="415"/>
      <c r="EA111" s="415"/>
      <c r="EB111" s="415"/>
      <c r="EC111" s="415"/>
      <c r="ED111" s="415"/>
      <c r="EE111" s="415"/>
      <c r="EF111" s="415"/>
      <c r="EG111" s="415"/>
      <c r="EH111" s="415">
        <v>9</v>
      </c>
      <c r="EI111" s="410">
        <f t="shared" si="53"/>
        <v>9</v>
      </c>
      <c r="EJ111" s="415"/>
      <c r="EK111" s="415"/>
      <c r="EL111" s="415"/>
      <c r="EM111" s="415"/>
      <c r="EN111" s="415"/>
      <c r="EO111" s="415">
        <v>9</v>
      </c>
      <c r="EP111" s="415"/>
      <c r="EQ111" s="415"/>
      <c r="ER111" s="415"/>
      <c r="ES111" s="415"/>
      <c r="ET111" s="415"/>
      <c r="EU111" s="415"/>
      <c r="EV111" s="410">
        <f t="shared" si="54"/>
        <v>9</v>
      </c>
      <c r="EW111" s="416">
        <f t="shared" si="55"/>
        <v>18</v>
      </c>
      <c r="EX111" s="417">
        <f>IFERROR(VLOOKUP(H111,CEI_012018!$A$1:$U$509,9,FALSE),0)</f>
        <v>0</v>
      </c>
      <c r="EY111" s="417">
        <f>IFERROR(VLOOKUP(H111,CEI_022018!$A$1:$U$509,9,FALSE),0)</f>
        <v>0</v>
      </c>
      <c r="EZ111" s="417">
        <f>IFERROR(VLOOKUP(H111,CEI_032018!$A$1:$U$509,9,FALSE),0)</f>
        <v>0</v>
      </c>
      <c r="FA111" s="417">
        <f>IFERROR(VLOOKUP(H111,CEI_042018!$A$1:$U$491,9,FALSE),0)</f>
        <v>0</v>
      </c>
      <c r="FB111" s="417">
        <f>IFERROR(VLOOKUP(H111,CEI_052018!$A$1:$U$489,9,FALSE),0)</f>
        <v>0</v>
      </c>
      <c r="FC111" s="417">
        <f>IFERROR(VLOOKUP(H111,CEI_062018!$A$1:$U$489,9,FALSE),0)</f>
        <v>0</v>
      </c>
      <c r="FD111" s="417">
        <f>IFERROR(VLOOKUP(H111,CEI_072018!$A$1:$U$489,9,FALSE),0)</f>
        <v>0</v>
      </c>
      <c r="FE111" s="417">
        <f>IFERROR(VLOOKUP(H111,CEI_082018!$A$1:$U$489,9,FALSE),0)</f>
        <v>0</v>
      </c>
      <c r="FF111" s="417">
        <f>IFERROR(VLOOKUP(H111,CEI_092018!$A$1:$U$489,9,FALSE),0)</f>
        <v>0</v>
      </c>
      <c r="FG111" s="417"/>
      <c r="FH111" s="417"/>
      <c r="FI111" s="417"/>
      <c r="FJ111" s="418">
        <f>IFERROR(VLOOKUP(H111,CEI_092018!$A$1:$U$489,12,FALSE),0)</f>
        <v>0</v>
      </c>
      <c r="FK111" s="418">
        <f t="shared" si="56"/>
        <v>0</v>
      </c>
      <c r="FL111" s="418">
        <f t="shared" si="57"/>
        <v>0</v>
      </c>
      <c r="FM111" s="417"/>
      <c r="FN111" s="417"/>
      <c r="FO111" s="417"/>
      <c r="FP111" s="417"/>
      <c r="FQ111" s="417"/>
      <c r="FR111" s="417"/>
      <c r="FS111" s="417"/>
      <c r="FT111" s="417"/>
      <c r="FU111" s="417"/>
      <c r="FV111" s="417"/>
      <c r="FW111" s="417"/>
      <c r="FX111" s="417"/>
      <c r="FY111" s="418"/>
      <c r="FZ111" s="418"/>
      <c r="GA111" s="418"/>
      <c r="GB111" s="417"/>
      <c r="GC111" s="417"/>
      <c r="GD111" s="417"/>
      <c r="GE111" s="417"/>
      <c r="GF111" s="417"/>
      <c r="GG111" s="417"/>
      <c r="GH111" s="417"/>
      <c r="GI111" s="417"/>
      <c r="GJ111" s="417"/>
      <c r="GK111" s="417"/>
      <c r="GL111" s="417"/>
      <c r="GM111" s="417"/>
      <c r="GN111" s="418"/>
      <c r="GO111" s="418"/>
      <c r="GP111" s="418"/>
      <c r="GQ111" s="417"/>
      <c r="GR111" s="417"/>
      <c r="GS111" s="417"/>
      <c r="GT111" s="417"/>
      <c r="GU111" s="417"/>
      <c r="GV111" s="417"/>
      <c r="GW111" s="417"/>
      <c r="GX111" s="417"/>
      <c r="GY111" s="417"/>
      <c r="GZ111" s="417"/>
      <c r="HA111" s="417"/>
      <c r="HB111" s="417"/>
      <c r="HC111" s="418"/>
      <c r="HD111" s="418"/>
      <c r="HE111" s="418"/>
      <c r="HF111" s="417"/>
      <c r="HG111" s="417"/>
      <c r="HH111" s="417"/>
      <c r="HI111" s="417"/>
      <c r="HJ111" s="417"/>
      <c r="HK111" s="417"/>
      <c r="HL111" s="417"/>
      <c r="HM111" s="417"/>
      <c r="HN111" s="417"/>
      <c r="HO111" s="417"/>
      <c r="HP111" s="417"/>
      <c r="HQ111" s="417"/>
      <c r="HR111" s="418"/>
      <c r="HS111" s="418"/>
      <c r="HT111" s="418"/>
    </row>
    <row r="112" spans="1:228" s="387" customFormat="1" ht="12.95" customHeight="1" x14ac:dyDescent="0.2">
      <c r="A112" s="406" t="s">
        <v>55</v>
      </c>
      <c r="B112" s="407" t="s">
        <v>39</v>
      </c>
      <c r="C112" s="406" t="s">
        <v>56</v>
      </c>
      <c r="D112" s="407" t="s">
        <v>1471</v>
      </c>
      <c r="E112" s="407" t="s">
        <v>56</v>
      </c>
      <c r="F112" s="407" t="s">
        <v>1471</v>
      </c>
      <c r="G112" s="406" t="s">
        <v>54</v>
      </c>
      <c r="H112" s="408" t="s">
        <v>520</v>
      </c>
      <c r="I112" s="408"/>
      <c r="J112" s="406" t="s">
        <v>1907</v>
      </c>
      <c r="K112" s="406" t="s">
        <v>1474</v>
      </c>
      <c r="L112" s="406" t="s">
        <v>1475</v>
      </c>
      <c r="M112" s="406" t="s">
        <v>1685</v>
      </c>
      <c r="N112" s="452">
        <v>0</v>
      </c>
      <c r="O112" s="452">
        <v>0</v>
      </c>
      <c r="P112" s="452">
        <v>0</v>
      </c>
      <c r="Q112" s="452">
        <v>0</v>
      </c>
      <c r="R112" s="452">
        <v>0</v>
      </c>
      <c r="S112" s="452">
        <v>0</v>
      </c>
      <c r="T112" s="452">
        <v>0</v>
      </c>
      <c r="U112" s="409">
        <v>0</v>
      </c>
      <c r="V112" s="409"/>
      <c r="W112" s="409"/>
      <c r="X112" s="409"/>
      <c r="Y112" s="409"/>
      <c r="Z112" s="453">
        <f t="shared" si="47"/>
        <v>0</v>
      </c>
      <c r="AA112" s="452"/>
      <c r="AB112" s="452"/>
      <c r="AC112" s="452"/>
      <c r="AD112" s="452"/>
      <c r="AE112" s="452"/>
      <c r="AF112" s="452"/>
      <c r="AG112" s="452"/>
      <c r="AH112" s="409">
        <v>200</v>
      </c>
      <c r="AI112" s="409"/>
      <c r="AJ112" s="409"/>
      <c r="AK112" s="409"/>
      <c r="AL112" s="409"/>
      <c r="AM112" s="453">
        <f t="shared" si="34"/>
        <v>200</v>
      </c>
      <c r="AN112" s="452"/>
      <c r="AO112" s="452"/>
      <c r="AP112" s="452"/>
      <c r="AQ112" s="452"/>
      <c r="AR112" s="452"/>
      <c r="AS112" s="452"/>
      <c r="AT112" s="452"/>
      <c r="AU112" s="409">
        <v>200</v>
      </c>
      <c r="AV112" s="409"/>
      <c r="AW112" s="409"/>
      <c r="AX112" s="409"/>
      <c r="AY112" s="409"/>
      <c r="AZ112" s="453">
        <f t="shared" si="35"/>
        <v>200</v>
      </c>
      <c r="BA112" s="452"/>
      <c r="BB112" s="452"/>
      <c r="BC112" s="452"/>
      <c r="BD112" s="452"/>
      <c r="BE112" s="452"/>
      <c r="BF112" s="452"/>
      <c r="BG112" s="452"/>
      <c r="BH112" s="409"/>
      <c r="BI112" s="409">
        <v>200</v>
      </c>
      <c r="BJ112" s="409"/>
      <c r="BK112" s="409"/>
      <c r="BL112" s="409">
        <v>0</v>
      </c>
      <c r="BM112" s="453">
        <f t="shared" si="36"/>
        <v>200</v>
      </c>
      <c r="BN112" s="452"/>
      <c r="BO112" s="452"/>
      <c r="BP112" s="452"/>
      <c r="BQ112" s="452"/>
      <c r="BR112" s="452"/>
      <c r="BS112" s="452"/>
      <c r="BT112" s="452"/>
      <c r="BU112" s="409">
        <v>402</v>
      </c>
      <c r="BV112" s="409"/>
      <c r="BW112" s="409"/>
      <c r="BX112" s="409"/>
      <c r="BY112" s="409"/>
      <c r="BZ112" s="453">
        <f t="shared" si="37"/>
        <v>402</v>
      </c>
      <c r="CA112" s="454">
        <f t="shared" si="38"/>
        <v>1002</v>
      </c>
      <c r="CB112" s="411"/>
      <c r="CC112" s="411"/>
      <c r="CD112" s="411"/>
      <c r="CE112" s="411"/>
      <c r="CF112" s="411"/>
      <c r="CG112" s="412"/>
      <c r="CH112" s="413"/>
      <c r="CI112" s="414" t="s">
        <v>71</v>
      </c>
      <c r="CJ112" s="415"/>
      <c r="CK112" s="415"/>
      <c r="CL112" s="415"/>
      <c r="CM112" s="415"/>
      <c r="CN112" s="415"/>
      <c r="CO112" s="415"/>
      <c r="CP112" s="415"/>
      <c r="CQ112" s="415"/>
      <c r="CR112" s="415"/>
      <c r="CS112" s="415"/>
      <c r="CT112" s="415"/>
      <c r="CU112" s="415"/>
      <c r="CV112" s="410">
        <f t="shared" si="50"/>
        <v>0</v>
      </c>
      <c r="CW112" s="415"/>
      <c r="CX112" s="415"/>
      <c r="CY112" s="415"/>
      <c r="CZ112" s="415"/>
      <c r="DA112" s="415"/>
      <c r="DB112" s="415"/>
      <c r="DC112" s="415"/>
      <c r="DD112" s="415"/>
      <c r="DE112" s="415"/>
      <c r="DF112" s="415"/>
      <c r="DG112" s="415"/>
      <c r="DH112" s="415">
        <v>79</v>
      </c>
      <c r="DI112" s="410">
        <f t="shared" si="51"/>
        <v>79</v>
      </c>
      <c r="DJ112" s="415"/>
      <c r="DK112" s="415"/>
      <c r="DL112" s="415"/>
      <c r="DM112" s="415"/>
      <c r="DN112" s="415"/>
      <c r="DO112" s="415"/>
      <c r="DP112" s="415"/>
      <c r="DQ112" s="415"/>
      <c r="DR112" s="415"/>
      <c r="DS112" s="415"/>
      <c r="DT112" s="415"/>
      <c r="DU112" s="415">
        <v>75</v>
      </c>
      <c r="DV112" s="410">
        <f t="shared" si="52"/>
        <v>75</v>
      </c>
      <c r="DW112" s="415"/>
      <c r="DX112" s="415"/>
      <c r="DY112" s="415"/>
      <c r="DZ112" s="415"/>
      <c r="EA112" s="415"/>
      <c r="EB112" s="415"/>
      <c r="EC112" s="415"/>
      <c r="ED112" s="415"/>
      <c r="EE112" s="415"/>
      <c r="EF112" s="415"/>
      <c r="EG112" s="415"/>
      <c r="EH112" s="415">
        <v>66</v>
      </c>
      <c r="EI112" s="410">
        <f t="shared" si="53"/>
        <v>66</v>
      </c>
      <c r="EJ112" s="415"/>
      <c r="EK112" s="415"/>
      <c r="EL112" s="415"/>
      <c r="EM112" s="415"/>
      <c r="EN112" s="415"/>
      <c r="EO112" s="415"/>
      <c r="EP112" s="415"/>
      <c r="EQ112" s="415"/>
      <c r="ER112" s="415"/>
      <c r="ES112" s="415"/>
      <c r="ET112" s="415"/>
      <c r="EU112" s="415">
        <v>47</v>
      </c>
      <c r="EV112" s="410">
        <f t="shared" si="54"/>
        <v>47</v>
      </c>
      <c r="EW112" s="416">
        <f t="shared" si="55"/>
        <v>267</v>
      </c>
      <c r="EX112" s="417">
        <f>IFERROR(VLOOKUP(H112,CEI_012018!$A$1:$U$509,9,FALSE),0)</f>
        <v>0</v>
      </c>
      <c r="EY112" s="417">
        <f>IFERROR(VLOOKUP(H112,CEI_022018!$A$1:$U$509,9,FALSE),0)</f>
        <v>0</v>
      </c>
      <c r="EZ112" s="417">
        <f>IFERROR(VLOOKUP(H112,CEI_032018!$A$1:$U$509,9,FALSE),0)</f>
        <v>0</v>
      </c>
      <c r="FA112" s="417">
        <f>IFERROR(VLOOKUP(H112,CEI_042018!$A$1:$U$491,9,FALSE),0)</f>
        <v>0</v>
      </c>
      <c r="FB112" s="417">
        <f>IFERROR(VLOOKUP(H112,CEI_052018!$A$1:$U$489,9,FALSE),0)</f>
        <v>0</v>
      </c>
      <c r="FC112" s="417">
        <f>IFERROR(VLOOKUP(H112,CEI_062018!$A$1:$U$489,9,FALSE),0)</f>
        <v>0</v>
      </c>
      <c r="FD112" s="417">
        <f>IFERROR(VLOOKUP(H112,CEI_072018!$A$1:$U$489,9,FALSE),0)</f>
        <v>0</v>
      </c>
      <c r="FE112" s="417">
        <f>IFERROR(VLOOKUP(H112,CEI_082018!$A$1:$U$489,9,FALSE),0)</f>
        <v>0</v>
      </c>
      <c r="FF112" s="417">
        <f>IFERROR(VLOOKUP(H112,CEI_092018!$A$1:$U$489,9,FALSE),0)</f>
        <v>0</v>
      </c>
      <c r="FG112" s="417"/>
      <c r="FH112" s="417"/>
      <c r="FI112" s="417"/>
      <c r="FJ112" s="418">
        <f>IFERROR(VLOOKUP(H112,CEI_092018!$A$1:$U$489,12,FALSE),0)</f>
        <v>0</v>
      </c>
      <c r="FK112" s="418">
        <f t="shared" si="56"/>
        <v>0</v>
      </c>
      <c r="FL112" s="418">
        <f t="shared" si="57"/>
        <v>0</v>
      </c>
      <c r="FM112" s="417"/>
      <c r="FN112" s="417"/>
      <c r="FO112" s="417"/>
      <c r="FP112" s="417"/>
      <c r="FQ112" s="417"/>
      <c r="FR112" s="417"/>
      <c r="FS112" s="417"/>
      <c r="FT112" s="417"/>
      <c r="FU112" s="417"/>
      <c r="FV112" s="417"/>
      <c r="FW112" s="417"/>
      <c r="FX112" s="417"/>
      <c r="FY112" s="418"/>
      <c r="FZ112" s="418"/>
      <c r="GA112" s="418"/>
      <c r="GB112" s="417"/>
      <c r="GC112" s="417"/>
      <c r="GD112" s="417"/>
      <c r="GE112" s="417"/>
      <c r="GF112" s="417"/>
      <c r="GG112" s="417"/>
      <c r="GH112" s="417"/>
      <c r="GI112" s="417"/>
      <c r="GJ112" s="417"/>
      <c r="GK112" s="417"/>
      <c r="GL112" s="417"/>
      <c r="GM112" s="417"/>
      <c r="GN112" s="418"/>
      <c r="GO112" s="418"/>
      <c r="GP112" s="418"/>
      <c r="GQ112" s="417"/>
      <c r="GR112" s="417"/>
      <c r="GS112" s="417"/>
      <c r="GT112" s="417"/>
      <c r="GU112" s="417"/>
      <c r="GV112" s="417"/>
      <c r="GW112" s="417"/>
      <c r="GX112" s="417"/>
      <c r="GY112" s="417"/>
      <c r="GZ112" s="417"/>
      <c r="HA112" s="417"/>
      <c r="HB112" s="417"/>
      <c r="HC112" s="418"/>
      <c r="HD112" s="418"/>
      <c r="HE112" s="418"/>
      <c r="HF112" s="417"/>
      <c r="HG112" s="417"/>
      <c r="HH112" s="417"/>
      <c r="HI112" s="417"/>
      <c r="HJ112" s="417"/>
      <c r="HK112" s="417"/>
      <c r="HL112" s="417"/>
      <c r="HM112" s="417"/>
      <c r="HN112" s="417"/>
      <c r="HO112" s="417"/>
      <c r="HP112" s="417"/>
      <c r="HQ112" s="417"/>
      <c r="HR112" s="418"/>
      <c r="HS112" s="418"/>
      <c r="HT112" s="418"/>
    </row>
    <row r="113" spans="1:228" s="387" customFormat="1" ht="12.95" customHeight="1" x14ac:dyDescent="0.2">
      <c r="A113" s="406" t="s">
        <v>55</v>
      </c>
      <c r="B113" s="407" t="s">
        <v>39</v>
      </c>
      <c r="C113" s="406" t="s">
        <v>56</v>
      </c>
      <c r="D113" s="407" t="s">
        <v>1471</v>
      </c>
      <c r="E113" s="407" t="s">
        <v>56</v>
      </c>
      <c r="F113" s="407" t="s">
        <v>1471</v>
      </c>
      <c r="G113" s="406" t="s">
        <v>54</v>
      </c>
      <c r="H113" s="408" t="s">
        <v>1472</v>
      </c>
      <c r="I113" s="408" t="s">
        <v>1473</v>
      </c>
      <c r="J113" s="406" t="s">
        <v>1479</v>
      </c>
      <c r="K113" s="406" t="s">
        <v>1474</v>
      </c>
      <c r="L113" s="406" t="s">
        <v>1475</v>
      </c>
      <c r="M113" s="406"/>
      <c r="N113" s="452">
        <v>0</v>
      </c>
      <c r="O113" s="452">
        <v>0</v>
      </c>
      <c r="P113" s="452">
        <v>0</v>
      </c>
      <c r="Q113" s="452">
        <v>0</v>
      </c>
      <c r="R113" s="452">
        <v>0</v>
      </c>
      <c r="S113" s="452">
        <v>12.800000190734863</v>
      </c>
      <c r="T113" s="452">
        <v>12.51200008392334</v>
      </c>
      <c r="U113" s="409">
        <v>53.306400299072266</v>
      </c>
      <c r="V113" s="409">
        <v>10</v>
      </c>
      <c r="W113" s="409"/>
      <c r="X113" s="409"/>
      <c r="Y113" s="409">
        <v>64.381599426269446</v>
      </c>
      <c r="Z113" s="453">
        <f t="shared" si="47"/>
        <v>152.99999999999991</v>
      </c>
      <c r="AA113" s="452"/>
      <c r="AB113" s="452"/>
      <c r="AC113" s="452"/>
      <c r="AD113" s="452"/>
      <c r="AE113" s="452"/>
      <c r="AF113" s="452"/>
      <c r="AG113" s="452"/>
      <c r="AH113" s="409"/>
      <c r="AI113" s="409"/>
      <c r="AJ113" s="409"/>
      <c r="AK113" s="409"/>
      <c r="AL113" s="409"/>
      <c r="AM113" s="453">
        <f t="shared" si="34"/>
        <v>0</v>
      </c>
      <c r="AN113" s="452"/>
      <c r="AO113" s="452"/>
      <c r="AP113" s="452"/>
      <c r="AQ113" s="452"/>
      <c r="AR113" s="452"/>
      <c r="AS113" s="452"/>
      <c r="AT113" s="452"/>
      <c r="AU113" s="409"/>
      <c r="AV113" s="409"/>
      <c r="AW113" s="409"/>
      <c r="AX113" s="409"/>
      <c r="AY113" s="409"/>
      <c r="AZ113" s="453">
        <f t="shared" si="35"/>
        <v>0</v>
      </c>
      <c r="BA113" s="452"/>
      <c r="BB113" s="452"/>
      <c r="BC113" s="452"/>
      <c r="BD113" s="452"/>
      <c r="BE113" s="452"/>
      <c r="BF113" s="452"/>
      <c r="BG113" s="452"/>
      <c r="BH113" s="409"/>
      <c r="BI113" s="409"/>
      <c r="BJ113" s="409"/>
      <c r="BK113" s="409"/>
      <c r="BL113" s="409"/>
      <c r="BM113" s="453">
        <f t="shared" si="36"/>
        <v>0</v>
      </c>
      <c r="BN113" s="452"/>
      <c r="BO113" s="452"/>
      <c r="BP113" s="452"/>
      <c r="BQ113" s="452"/>
      <c r="BR113" s="452"/>
      <c r="BS113" s="452"/>
      <c r="BT113" s="452"/>
      <c r="BU113" s="409"/>
      <c r="BV113" s="409"/>
      <c r="BW113" s="409"/>
      <c r="BX113" s="409"/>
      <c r="BY113" s="409"/>
      <c r="BZ113" s="453">
        <f t="shared" si="37"/>
        <v>0</v>
      </c>
      <c r="CA113" s="454">
        <f t="shared" si="38"/>
        <v>152.99999999999991</v>
      </c>
      <c r="CB113" s="419"/>
      <c r="CC113" s="419">
        <v>1</v>
      </c>
      <c r="CD113" s="419">
        <v>1</v>
      </c>
      <c r="CE113" s="419">
        <v>1</v>
      </c>
      <c r="CF113" s="419">
        <v>1</v>
      </c>
      <c r="CG113" s="420">
        <f>IFERROR((FE113/Z113%),0)</f>
        <v>51.38457553838596</v>
      </c>
      <c r="CH113" s="420">
        <f>IFERROR((FK113/Z113%),0)</f>
        <v>84.241601532580859</v>
      </c>
      <c r="CI113" s="414" t="s">
        <v>71</v>
      </c>
      <c r="CJ113" s="415"/>
      <c r="CK113" s="415"/>
      <c r="CL113" s="415"/>
      <c r="CM113" s="415"/>
      <c r="CN113" s="415"/>
      <c r="CO113" s="415"/>
      <c r="CP113" s="415"/>
      <c r="CQ113" s="415"/>
      <c r="CR113" s="415"/>
      <c r="CS113" s="415"/>
      <c r="CT113" s="415"/>
      <c r="CU113" s="415">
        <v>53</v>
      </c>
      <c r="CV113" s="410">
        <f t="shared" si="50"/>
        <v>53</v>
      </c>
      <c r="CW113" s="415"/>
      <c r="CX113" s="415"/>
      <c r="CY113" s="415"/>
      <c r="CZ113" s="415"/>
      <c r="DA113" s="415"/>
      <c r="DB113" s="415"/>
      <c r="DC113" s="415"/>
      <c r="DD113" s="415"/>
      <c r="DE113" s="415"/>
      <c r="DF113" s="415"/>
      <c r="DG113" s="415"/>
      <c r="DH113" s="415"/>
      <c r="DI113" s="410">
        <f t="shared" si="51"/>
        <v>0</v>
      </c>
      <c r="DJ113" s="415"/>
      <c r="DK113" s="415"/>
      <c r="DL113" s="415"/>
      <c r="DM113" s="415"/>
      <c r="DN113" s="415"/>
      <c r="DO113" s="415"/>
      <c r="DP113" s="415"/>
      <c r="DQ113" s="415"/>
      <c r="DR113" s="415"/>
      <c r="DS113" s="415"/>
      <c r="DT113" s="415"/>
      <c r="DU113" s="415"/>
      <c r="DV113" s="410">
        <f t="shared" si="52"/>
        <v>0</v>
      </c>
      <c r="DW113" s="415"/>
      <c r="DX113" s="415"/>
      <c r="DY113" s="415"/>
      <c r="DZ113" s="415"/>
      <c r="EA113" s="415"/>
      <c r="EB113" s="415"/>
      <c r="EC113" s="415"/>
      <c r="ED113" s="415"/>
      <c r="EE113" s="415"/>
      <c r="EF113" s="415"/>
      <c r="EG113" s="415"/>
      <c r="EH113" s="415"/>
      <c r="EI113" s="410">
        <f t="shared" si="53"/>
        <v>0</v>
      </c>
      <c r="EJ113" s="415"/>
      <c r="EK113" s="415"/>
      <c r="EL113" s="415"/>
      <c r="EM113" s="415"/>
      <c r="EN113" s="415"/>
      <c r="EO113" s="415"/>
      <c r="EP113" s="415"/>
      <c r="EQ113" s="415"/>
      <c r="ER113" s="415"/>
      <c r="ES113" s="415"/>
      <c r="ET113" s="415"/>
      <c r="EU113" s="415"/>
      <c r="EV113" s="410">
        <f t="shared" si="54"/>
        <v>0</v>
      </c>
      <c r="EW113" s="416">
        <f t="shared" si="55"/>
        <v>53</v>
      </c>
      <c r="EX113" s="417">
        <f>IFERROR(VLOOKUP(H113,CEI_012018!$A$1:$U$509,9,FALSE),0)</f>
        <v>0</v>
      </c>
      <c r="EY113" s="417">
        <f>IFERROR(VLOOKUP(H113,CEI_022018!$A$1:$U$509,9,FALSE),0)</f>
        <v>0</v>
      </c>
      <c r="EZ113" s="417">
        <f>IFERROR(VLOOKUP(H113,CEI_032018!$A$1:$U$509,9,FALSE),0)</f>
        <v>0</v>
      </c>
      <c r="FA113" s="417">
        <f>IFERROR(VLOOKUP(H113,CEI_042018!$A$1:$U$491,9,FALSE),0)</f>
        <v>0</v>
      </c>
      <c r="FB113" s="417">
        <f>IFERROR(VLOOKUP(H113,CEI_052018!$A$1:$U$489,9,FALSE),0)</f>
        <v>0</v>
      </c>
      <c r="FC113" s="417">
        <f>IFERROR(VLOOKUP(H113,CEI_062018!$A$1:$U$489,9,FALSE),0)</f>
        <v>12.800000190734863</v>
      </c>
      <c r="FD113" s="417">
        <f>IFERROR(VLOOKUP(H113,CEI_072018!$A$1:$U$489,9,FALSE),0)</f>
        <v>25.312000274658203</v>
      </c>
      <c r="FE113" s="417">
        <f>IFERROR(VLOOKUP(H113,CEI_082018!$A$1:$U$489,9,FALSE),0)</f>
        <v>78.618400573730469</v>
      </c>
      <c r="FF113" s="417">
        <f>IFERROR(VLOOKUP(H113,CEI_092018!$A$1:$U$489,9,FALSE),0)</f>
        <v>118.80965042114258</v>
      </c>
      <c r="FG113" s="417"/>
      <c r="FH113" s="417"/>
      <c r="FI113" s="417"/>
      <c r="FJ113" s="418">
        <f>IFERROR(VLOOKUP(H113,CEI_092018!$A$1:$U$489,12,FALSE),0)</f>
        <v>10.079999923706055</v>
      </c>
      <c r="FK113" s="418">
        <f t="shared" si="56"/>
        <v>128.88965034484863</v>
      </c>
      <c r="FL113" s="418">
        <f t="shared" si="57"/>
        <v>24.110349655151282</v>
      </c>
      <c r="FM113" s="417"/>
      <c r="FN113" s="417"/>
      <c r="FO113" s="417"/>
      <c r="FP113" s="417"/>
      <c r="FQ113" s="417"/>
      <c r="FR113" s="417"/>
      <c r="FS113" s="417"/>
      <c r="FT113" s="417"/>
      <c r="FU113" s="417"/>
      <c r="FV113" s="417"/>
      <c r="FW113" s="417"/>
      <c r="FX113" s="417"/>
      <c r="FY113" s="418"/>
      <c r="FZ113" s="418"/>
      <c r="GA113" s="418"/>
      <c r="GB113" s="417"/>
      <c r="GC113" s="417"/>
      <c r="GD113" s="417"/>
      <c r="GE113" s="417"/>
      <c r="GF113" s="417"/>
      <c r="GG113" s="417"/>
      <c r="GH113" s="417"/>
      <c r="GI113" s="417"/>
      <c r="GJ113" s="417"/>
      <c r="GK113" s="417"/>
      <c r="GL113" s="417"/>
      <c r="GM113" s="417"/>
      <c r="GN113" s="418"/>
      <c r="GO113" s="418"/>
      <c r="GP113" s="418"/>
      <c r="GQ113" s="417"/>
      <c r="GR113" s="417"/>
      <c r="GS113" s="417"/>
      <c r="GT113" s="417"/>
      <c r="GU113" s="417"/>
      <c r="GV113" s="417"/>
      <c r="GW113" s="417"/>
      <c r="GX113" s="417"/>
      <c r="GY113" s="417"/>
      <c r="GZ113" s="417"/>
      <c r="HA113" s="417"/>
      <c r="HB113" s="417"/>
      <c r="HC113" s="418"/>
      <c r="HD113" s="418"/>
      <c r="HE113" s="418"/>
      <c r="HF113" s="417"/>
      <c r="HG113" s="417"/>
      <c r="HH113" s="417"/>
      <c r="HI113" s="417"/>
      <c r="HJ113" s="417"/>
      <c r="HK113" s="417"/>
      <c r="HL113" s="417"/>
      <c r="HM113" s="417"/>
      <c r="HN113" s="417"/>
      <c r="HO113" s="417"/>
      <c r="HP113" s="417"/>
      <c r="HQ113" s="417"/>
      <c r="HR113" s="418"/>
      <c r="HS113" s="418"/>
      <c r="HT113" s="418"/>
    </row>
    <row r="114" spans="1:228" s="387" customFormat="1" ht="12.75" customHeight="1" x14ac:dyDescent="0.2">
      <c r="A114" s="406" t="s">
        <v>55</v>
      </c>
      <c r="B114" s="407" t="s">
        <v>39</v>
      </c>
      <c r="C114" s="406" t="s">
        <v>56</v>
      </c>
      <c r="D114" s="407" t="s">
        <v>975</v>
      </c>
      <c r="E114" s="407" t="s">
        <v>56</v>
      </c>
      <c r="F114" s="407" t="s">
        <v>975</v>
      </c>
      <c r="G114" s="406" t="s">
        <v>54</v>
      </c>
      <c r="H114" s="408" t="s">
        <v>520</v>
      </c>
      <c r="I114" s="408"/>
      <c r="J114" s="406" t="s">
        <v>829</v>
      </c>
      <c r="K114" s="406" t="s">
        <v>827</v>
      </c>
      <c r="L114" s="406" t="s">
        <v>828</v>
      </c>
      <c r="M114" s="406"/>
      <c r="N114" s="452">
        <v>0</v>
      </c>
      <c r="O114" s="452">
        <v>0</v>
      </c>
      <c r="P114" s="452">
        <v>0</v>
      </c>
      <c r="Q114" s="452">
        <v>0</v>
      </c>
      <c r="R114" s="452">
        <v>0</v>
      </c>
      <c r="S114" s="452">
        <v>0</v>
      </c>
      <c r="T114" s="452">
        <v>0</v>
      </c>
      <c r="U114" s="409">
        <v>0</v>
      </c>
      <c r="V114" s="409"/>
      <c r="W114" s="409"/>
      <c r="X114" s="409"/>
      <c r="Y114" s="409"/>
      <c r="Z114" s="453">
        <f t="shared" si="47"/>
        <v>0</v>
      </c>
      <c r="AA114" s="452"/>
      <c r="AB114" s="452"/>
      <c r="AC114" s="452"/>
      <c r="AD114" s="452"/>
      <c r="AE114" s="452"/>
      <c r="AF114" s="452"/>
      <c r="AG114" s="452"/>
      <c r="AH114" s="409"/>
      <c r="AI114" s="409"/>
      <c r="AJ114" s="409"/>
      <c r="AK114" s="409">
        <v>0</v>
      </c>
      <c r="AL114" s="409"/>
      <c r="AM114" s="453">
        <f t="shared" si="34"/>
        <v>0</v>
      </c>
      <c r="AN114" s="452"/>
      <c r="AO114" s="452"/>
      <c r="AP114" s="452"/>
      <c r="AQ114" s="452"/>
      <c r="AR114" s="452"/>
      <c r="AS114" s="452"/>
      <c r="AT114" s="452"/>
      <c r="AU114" s="409"/>
      <c r="AV114" s="409"/>
      <c r="AW114" s="409"/>
      <c r="AX114" s="409">
        <v>63</v>
      </c>
      <c r="AY114" s="409"/>
      <c r="AZ114" s="453">
        <f t="shared" si="35"/>
        <v>63</v>
      </c>
      <c r="BA114" s="452"/>
      <c r="BB114" s="452"/>
      <c r="BC114" s="452"/>
      <c r="BD114" s="452"/>
      <c r="BE114" s="452"/>
      <c r="BF114" s="452"/>
      <c r="BG114" s="452"/>
      <c r="BH114" s="409"/>
      <c r="BI114" s="409"/>
      <c r="BJ114" s="409"/>
      <c r="BK114" s="409">
        <v>74</v>
      </c>
      <c r="BL114" s="409"/>
      <c r="BM114" s="453">
        <f t="shared" si="36"/>
        <v>74</v>
      </c>
      <c r="BN114" s="452"/>
      <c r="BO114" s="452"/>
      <c r="BP114" s="452"/>
      <c r="BQ114" s="452"/>
      <c r="BR114" s="452"/>
      <c r="BS114" s="452"/>
      <c r="BT114" s="452"/>
      <c r="BU114" s="409"/>
      <c r="BV114" s="409"/>
      <c r="BW114" s="409"/>
      <c r="BX114" s="409"/>
      <c r="BY114" s="409">
        <v>100</v>
      </c>
      <c r="BZ114" s="453">
        <f t="shared" si="37"/>
        <v>100</v>
      </c>
      <c r="CA114" s="454">
        <f t="shared" si="38"/>
        <v>237</v>
      </c>
      <c r="CB114" s="411"/>
      <c r="CC114" s="411"/>
      <c r="CD114" s="411"/>
      <c r="CE114" s="411"/>
      <c r="CF114" s="411"/>
      <c r="CG114" s="412"/>
      <c r="CH114" s="413"/>
      <c r="CI114" s="414" t="s">
        <v>270</v>
      </c>
      <c r="CJ114" s="415"/>
      <c r="CK114" s="415"/>
      <c r="CL114" s="415"/>
      <c r="CM114" s="415"/>
      <c r="CN114" s="415"/>
      <c r="CO114" s="415"/>
      <c r="CP114" s="415"/>
      <c r="CQ114" s="415"/>
      <c r="CR114" s="415"/>
      <c r="CS114" s="415"/>
      <c r="CT114" s="415"/>
      <c r="CU114" s="415"/>
      <c r="CV114" s="410">
        <f t="shared" si="50"/>
        <v>0</v>
      </c>
      <c r="CW114" s="415"/>
      <c r="CX114" s="415"/>
      <c r="CY114" s="415"/>
      <c r="CZ114" s="415"/>
      <c r="DA114" s="415"/>
      <c r="DB114" s="415"/>
      <c r="DC114" s="415"/>
      <c r="DD114" s="415"/>
      <c r="DE114" s="415"/>
      <c r="DF114" s="415"/>
      <c r="DG114" s="415">
        <v>30</v>
      </c>
      <c r="DH114" s="415"/>
      <c r="DI114" s="410">
        <f t="shared" si="51"/>
        <v>30</v>
      </c>
      <c r="DJ114" s="415"/>
      <c r="DK114" s="415"/>
      <c r="DL114" s="415"/>
      <c r="DM114" s="415"/>
      <c r="DN114" s="415"/>
      <c r="DO114" s="415"/>
      <c r="DP114" s="415"/>
      <c r="DQ114" s="415"/>
      <c r="DR114" s="415"/>
      <c r="DS114" s="415"/>
      <c r="DT114" s="415">
        <v>38</v>
      </c>
      <c r="DU114" s="415"/>
      <c r="DV114" s="410">
        <f t="shared" si="52"/>
        <v>38</v>
      </c>
      <c r="DW114" s="415"/>
      <c r="DX114" s="415"/>
      <c r="DY114" s="415"/>
      <c r="DZ114" s="415"/>
      <c r="EA114" s="415"/>
      <c r="EB114" s="415"/>
      <c r="EC114" s="415"/>
      <c r="ED114" s="415"/>
      <c r="EE114" s="415"/>
      <c r="EF114" s="415"/>
      <c r="EG114" s="415"/>
      <c r="EH114" s="415">
        <v>52</v>
      </c>
      <c r="EI114" s="410">
        <f t="shared" si="53"/>
        <v>52</v>
      </c>
      <c r="EJ114" s="415"/>
      <c r="EK114" s="415"/>
      <c r="EL114" s="415"/>
      <c r="EM114" s="415"/>
      <c r="EN114" s="415"/>
      <c r="EO114" s="415"/>
      <c r="EP114" s="415"/>
      <c r="EQ114" s="415"/>
      <c r="ER114" s="415"/>
      <c r="ES114" s="415"/>
      <c r="ET114" s="415"/>
      <c r="EU114" s="415"/>
      <c r="EV114" s="410">
        <f t="shared" si="54"/>
        <v>0</v>
      </c>
      <c r="EW114" s="416">
        <f t="shared" si="55"/>
        <v>120</v>
      </c>
      <c r="EX114" s="417">
        <f>IFERROR(VLOOKUP(H114,CEI_012018!$A$1:$U$509,9,FALSE),0)</f>
        <v>0</v>
      </c>
      <c r="EY114" s="417">
        <f>IFERROR(VLOOKUP(H114,CEI_022018!$A$1:$U$509,9,FALSE),0)</f>
        <v>0</v>
      </c>
      <c r="EZ114" s="417">
        <f>IFERROR(VLOOKUP(H114,CEI_032018!$A$1:$U$509,9,FALSE),0)</f>
        <v>0</v>
      </c>
      <c r="FA114" s="417">
        <f>IFERROR(VLOOKUP(H114,CEI_042018!$A$1:$U$491,9,FALSE),0)</f>
        <v>0</v>
      </c>
      <c r="FB114" s="417">
        <f>IFERROR(VLOOKUP(H114,CEI_052018!$A$1:$U$489,9,FALSE),0)</f>
        <v>0</v>
      </c>
      <c r="FC114" s="417">
        <f>IFERROR(VLOOKUP(H114,CEI_062018!$A$1:$U$489,9,FALSE),0)</f>
        <v>0</v>
      </c>
      <c r="FD114" s="417">
        <f>IFERROR(VLOOKUP(H114,CEI_072018!$A$1:$U$489,9,FALSE),0)</f>
        <v>0</v>
      </c>
      <c r="FE114" s="417">
        <f>IFERROR(VLOOKUP(H114,CEI_082018!$A$1:$U$489,9,FALSE),0)</f>
        <v>0</v>
      </c>
      <c r="FF114" s="417">
        <f>IFERROR(VLOOKUP(H114,CEI_092018!$A$1:$U$489,9,FALSE),0)</f>
        <v>0</v>
      </c>
      <c r="FG114" s="417"/>
      <c r="FH114" s="417"/>
      <c r="FI114" s="417"/>
      <c r="FJ114" s="418">
        <f>IFERROR(VLOOKUP(H114,CEI_092018!$A$1:$U$489,12,FALSE),0)</f>
        <v>0</v>
      </c>
      <c r="FK114" s="418">
        <f t="shared" si="56"/>
        <v>0</v>
      </c>
      <c r="FL114" s="418">
        <f t="shared" si="57"/>
        <v>0</v>
      </c>
      <c r="FM114" s="417"/>
      <c r="FN114" s="417"/>
      <c r="FO114" s="417"/>
      <c r="FP114" s="417"/>
      <c r="FQ114" s="417"/>
      <c r="FR114" s="417"/>
      <c r="FS114" s="417"/>
      <c r="FT114" s="417"/>
      <c r="FU114" s="417"/>
      <c r="FV114" s="417"/>
      <c r="FW114" s="417"/>
      <c r="FX114" s="417"/>
      <c r="FY114" s="418"/>
      <c r="FZ114" s="418"/>
      <c r="GA114" s="418"/>
      <c r="GB114" s="417"/>
      <c r="GC114" s="417"/>
      <c r="GD114" s="417"/>
      <c r="GE114" s="417"/>
      <c r="GF114" s="417"/>
      <c r="GG114" s="417"/>
      <c r="GH114" s="417"/>
      <c r="GI114" s="417"/>
      <c r="GJ114" s="417"/>
      <c r="GK114" s="417"/>
      <c r="GL114" s="417"/>
      <c r="GM114" s="417"/>
      <c r="GN114" s="418"/>
      <c r="GO114" s="418"/>
      <c r="GP114" s="418"/>
      <c r="GQ114" s="417"/>
      <c r="GR114" s="417"/>
      <c r="GS114" s="417"/>
      <c r="GT114" s="417"/>
      <c r="GU114" s="417"/>
      <c r="GV114" s="417"/>
      <c r="GW114" s="417"/>
      <c r="GX114" s="417"/>
      <c r="GY114" s="417"/>
      <c r="GZ114" s="417"/>
      <c r="HA114" s="417"/>
      <c r="HB114" s="417"/>
      <c r="HC114" s="418"/>
      <c r="HD114" s="418"/>
      <c r="HE114" s="418"/>
      <c r="HF114" s="417"/>
      <c r="HG114" s="417"/>
      <c r="HH114" s="417"/>
      <c r="HI114" s="417"/>
      <c r="HJ114" s="417"/>
      <c r="HK114" s="417"/>
      <c r="HL114" s="417"/>
      <c r="HM114" s="417"/>
      <c r="HN114" s="417"/>
      <c r="HO114" s="417"/>
      <c r="HP114" s="417"/>
      <c r="HQ114" s="417"/>
      <c r="HR114" s="418"/>
      <c r="HS114" s="418"/>
      <c r="HT114" s="418"/>
    </row>
    <row r="115" spans="1:228" s="387" customFormat="1" ht="12.95" customHeight="1" x14ac:dyDescent="0.2">
      <c r="A115" s="406" t="s">
        <v>55</v>
      </c>
      <c r="B115" s="407" t="s">
        <v>39</v>
      </c>
      <c r="C115" s="406" t="s">
        <v>56</v>
      </c>
      <c r="D115" s="407" t="s">
        <v>975</v>
      </c>
      <c r="E115" s="407" t="s">
        <v>56</v>
      </c>
      <c r="F115" s="407" t="s">
        <v>975</v>
      </c>
      <c r="G115" s="406" t="s">
        <v>54</v>
      </c>
      <c r="H115" s="408" t="s">
        <v>520</v>
      </c>
      <c r="I115" s="408"/>
      <c r="J115" s="406" t="s">
        <v>1024</v>
      </c>
      <c r="K115" s="406" t="s">
        <v>826</v>
      </c>
      <c r="L115" s="406" t="s">
        <v>422</v>
      </c>
      <c r="M115" s="406"/>
      <c r="N115" s="452">
        <v>0</v>
      </c>
      <c r="O115" s="452">
        <v>0</v>
      </c>
      <c r="P115" s="452">
        <v>0</v>
      </c>
      <c r="Q115" s="452">
        <v>0</v>
      </c>
      <c r="R115" s="452">
        <v>0</v>
      </c>
      <c r="S115" s="452">
        <v>0</v>
      </c>
      <c r="T115" s="452">
        <v>0</v>
      </c>
      <c r="U115" s="409">
        <v>0</v>
      </c>
      <c r="V115" s="409"/>
      <c r="W115" s="409"/>
      <c r="X115" s="409"/>
      <c r="Y115" s="409"/>
      <c r="Z115" s="453">
        <f t="shared" si="47"/>
        <v>0</v>
      </c>
      <c r="AA115" s="452"/>
      <c r="AB115" s="452"/>
      <c r="AC115" s="452"/>
      <c r="AD115" s="452"/>
      <c r="AE115" s="452"/>
      <c r="AF115" s="452"/>
      <c r="AG115" s="452"/>
      <c r="AH115" s="409"/>
      <c r="AI115" s="409"/>
      <c r="AJ115" s="409"/>
      <c r="AK115" s="409">
        <v>50</v>
      </c>
      <c r="AL115" s="409"/>
      <c r="AM115" s="453">
        <f t="shared" si="34"/>
        <v>50</v>
      </c>
      <c r="AN115" s="452"/>
      <c r="AO115" s="452"/>
      <c r="AP115" s="452"/>
      <c r="AQ115" s="452"/>
      <c r="AR115" s="452"/>
      <c r="AS115" s="452"/>
      <c r="AT115" s="452"/>
      <c r="AU115" s="409"/>
      <c r="AV115" s="409"/>
      <c r="AW115" s="409"/>
      <c r="AX115" s="409">
        <v>50</v>
      </c>
      <c r="AY115" s="409"/>
      <c r="AZ115" s="453">
        <f t="shared" si="35"/>
        <v>50</v>
      </c>
      <c r="BA115" s="452"/>
      <c r="BB115" s="452"/>
      <c r="BC115" s="452"/>
      <c r="BD115" s="452"/>
      <c r="BE115" s="452"/>
      <c r="BF115" s="452"/>
      <c r="BG115" s="452"/>
      <c r="BH115" s="409"/>
      <c r="BI115" s="409"/>
      <c r="BJ115" s="409"/>
      <c r="BK115" s="409">
        <v>50</v>
      </c>
      <c r="BL115" s="409"/>
      <c r="BM115" s="453">
        <f t="shared" si="36"/>
        <v>50</v>
      </c>
      <c r="BN115" s="452"/>
      <c r="BO115" s="452"/>
      <c r="BP115" s="452"/>
      <c r="BQ115" s="452"/>
      <c r="BR115" s="452"/>
      <c r="BS115" s="452"/>
      <c r="BT115" s="452"/>
      <c r="BU115" s="409"/>
      <c r="BV115" s="409"/>
      <c r="BW115" s="409"/>
      <c r="BX115" s="409">
        <v>50</v>
      </c>
      <c r="BY115" s="409"/>
      <c r="BZ115" s="453">
        <f t="shared" si="37"/>
        <v>50</v>
      </c>
      <c r="CA115" s="454">
        <f t="shared" si="38"/>
        <v>200</v>
      </c>
      <c r="CB115" s="411"/>
      <c r="CC115" s="411"/>
      <c r="CD115" s="411"/>
      <c r="CE115" s="411"/>
      <c r="CF115" s="411"/>
      <c r="CG115" s="412"/>
      <c r="CH115" s="413"/>
      <c r="CI115" s="414" t="s">
        <v>270</v>
      </c>
      <c r="CJ115" s="415"/>
      <c r="CK115" s="415"/>
      <c r="CL115" s="415"/>
      <c r="CM115" s="415"/>
      <c r="CN115" s="415"/>
      <c r="CO115" s="415"/>
      <c r="CP115" s="415"/>
      <c r="CQ115" s="415"/>
      <c r="CR115" s="415"/>
      <c r="CS115" s="415"/>
      <c r="CT115" s="415"/>
      <c r="CU115" s="415"/>
      <c r="CV115" s="410">
        <f t="shared" si="50"/>
        <v>0</v>
      </c>
      <c r="CW115" s="415"/>
      <c r="CX115" s="415"/>
      <c r="CY115" s="415"/>
      <c r="CZ115" s="415"/>
      <c r="DA115" s="415"/>
      <c r="DB115" s="415"/>
      <c r="DC115" s="415"/>
      <c r="DD115" s="415"/>
      <c r="DE115" s="415"/>
      <c r="DF115" s="415"/>
      <c r="DG115" s="415">
        <v>25</v>
      </c>
      <c r="DH115" s="415"/>
      <c r="DI115" s="410">
        <f t="shared" si="51"/>
        <v>25</v>
      </c>
      <c r="DJ115" s="415"/>
      <c r="DK115" s="415"/>
      <c r="DL115" s="415"/>
      <c r="DM115" s="415"/>
      <c r="DN115" s="415"/>
      <c r="DO115" s="415"/>
      <c r="DP115" s="415"/>
      <c r="DQ115" s="415"/>
      <c r="DR115" s="415"/>
      <c r="DS115" s="415"/>
      <c r="DT115" s="415">
        <v>25</v>
      </c>
      <c r="DU115" s="415"/>
      <c r="DV115" s="410">
        <f t="shared" si="52"/>
        <v>25</v>
      </c>
      <c r="DW115" s="415"/>
      <c r="DX115" s="415"/>
      <c r="DY115" s="415"/>
      <c r="DZ115" s="415"/>
      <c r="EA115" s="415"/>
      <c r="EB115" s="415"/>
      <c r="EC115" s="415"/>
      <c r="ED115" s="415"/>
      <c r="EE115" s="415"/>
      <c r="EF115" s="415"/>
      <c r="EG115" s="415"/>
      <c r="EH115" s="415">
        <v>25</v>
      </c>
      <c r="EI115" s="410">
        <f t="shared" si="53"/>
        <v>25</v>
      </c>
      <c r="EJ115" s="415"/>
      <c r="EK115" s="415"/>
      <c r="EL115" s="415"/>
      <c r="EM115" s="415"/>
      <c r="EN115" s="415"/>
      <c r="EO115" s="415"/>
      <c r="EP115" s="415"/>
      <c r="EQ115" s="415"/>
      <c r="ER115" s="415"/>
      <c r="ES115" s="415"/>
      <c r="ET115" s="415">
        <v>25</v>
      </c>
      <c r="EU115" s="415"/>
      <c r="EV115" s="410">
        <f t="shared" si="54"/>
        <v>25</v>
      </c>
      <c r="EW115" s="416">
        <f t="shared" si="55"/>
        <v>100</v>
      </c>
      <c r="EX115" s="417">
        <f>IFERROR(VLOOKUP(H115,CEI_012018!$A$1:$U$509,9,FALSE),0)</f>
        <v>0</v>
      </c>
      <c r="EY115" s="417">
        <f>IFERROR(VLOOKUP(H115,CEI_022018!$A$1:$U$509,9,FALSE),0)</f>
        <v>0</v>
      </c>
      <c r="EZ115" s="417">
        <f>IFERROR(VLOOKUP(H115,CEI_032018!$A$1:$U$509,9,FALSE),0)</f>
        <v>0</v>
      </c>
      <c r="FA115" s="417">
        <f>IFERROR(VLOOKUP(H115,CEI_042018!$A$1:$U$491,9,FALSE),0)</f>
        <v>0</v>
      </c>
      <c r="FB115" s="417">
        <f>IFERROR(VLOOKUP(H115,CEI_052018!$A$1:$U$489,9,FALSE),0)</f>
        <v>0</v>
      </c>
      <c r="FC115" s="417">
        <f>IFERROR(VLOOKUP(H115,CEI_062018!$A$1:$U$489,9,FALSE),0)</f>
        <v>0</v>
      </c>
      <c r="FD115" s="417">
        <f>IFERROR(VLOOKUP(H115,CEI_072018!$A$1:$U$489,9,FALSE),0)</f>
        <v>0</v>
      </c>
      <c r="FE115" s="417">
        <f>IFERROR(VLOOKUP(H115,CEI_082018!$A$1:$U$489,9,FALSE),0)</f>
        <v>0</v>
      </c>
      <c r="FF115" s="417">
        <f>IFERROR(VLOOKUP(H115,CEI_092018!$A$1:$U$489,9,FALSE),0)</f>
        <v>0</v>
      </c>
      <c r="FG115" s="417"/>
      <c r="FH115" s="417"/>
      <c r="FI115" s="417"/>
      <c r="FJ115" s="418">
        <f>IFERROR(VLOOKUP(H115,CEI_092018!$A$1:$U$489,12,FALSE),0)</f>
        <v>0</v>
      </c>
      <c r="FK115" s="418">
        <f t="shared" si="56"/>
        <v>0</v>
      </c>
      <c r="FL115" s="418">
        <f t="shared" si="57"/>
        <v>0</v>
      </c>
      <c r="FM115" s="417"/>
      <c r="FN115" s="417"/>
      <c r="FO115" s="417"/>
      <c r="FP115" s="417"/>
      <c r="FQ115" s="417"/>
      <c r="FR115" s="417"/>
      <c r="FS115" s="417"/>
      <c r="FT115" s="417"/>
      <c r="FU115" s="417"/>
      <c r="FV115" s="417"/>
      <c r="FW115" s="417"/>
      <c r="FX115" s="417"/>
      <c r="FY115" s="418"/>
      <c r="FZ115" s="418"/>
      <c r="GA115" s="418"/>
      <c r="GB115" s="417"/>
      <c r="GC115" s="417"/>
      <c r="GD115" s="417"/>
      <c r="GE115" s="417"/>
      <c r="GF115" s="417"/>
      <c r="GG115" s="417"/>
      <c r="GH115" s="417"/>
      <c r="GI115" s="417"/>
      <c r="GJ115" s="417"/>
      <c r="GK115" s="417"/>
      <c r="GL115" s="417"/>
      <c r="GM115" s="417"/>
      <c r="GN115" s="418"/>
      <c r="GO115" s="418"/>
      <c r="GP115" s="418"/>
      <c r="GQ115" s="417"/>
      <c r="GR115" s="417"/>
      <c r="GS115" s="417"/>
      <c r="GT115" s="417"/>
      <c r="GU115" s="417"/>
      <c r="GV115" s="417"/>
      <c r="GW115" s="417"/>
      <c r="GX115" s="417"/>
      <c r="GY115" s="417"/>
      <c r="GZ115" s="417"/>
      <c r="HA115" s="417"/>
      <c r="HB115" s="417"/>
      <c r="HC115" s="418"/>
      <c r="HD115" s="418"/>
      <c r="HE115" s="418"/>
      <c r="HF115" s="417"/>
      <c r="HG115" s="417"/>
      <c r="HH115" s="417"/>
      <c r="HI115" s="417"/>
      <c r="HJ115" s="417"/>
      <c r="HK115" s="417"/>
      <c r="HL115" s="417"/>
      <c r="HM115" s="417"/>
      <c r="HN115" s="417"/>
      <c r="HO115" s="417"/>
      <c r="HP115" s="417"/>
      <c r="HQ115" s="417"/>
      <c r="HR115" s="418"/>
      <c r="HS115" s="418"/>
      <c r="HT115" s="418"/>
    </row>
    <row r="116" spans="1:228" s="387" customFormat="1" ht="12.95" customHeight="1" x14ac:dyDescent="0.2">
      <c r="A116" s="406" t="s">
        <v>55</v>
      </c>
      <c r="B116" s="407" t="s">
        <v>39</v>
      </c>
      <c r="C116" s="406" t="s">
        <v>56</v>
      </c>
      <c r="D116" s="407" t="s">
        <v>271</v>
      </c>
      <c r="E116" s="407" t="s">
        <v>56</v>
      </c>
      <c r="F116" s="407" t="s">
        <v>271</v>
      </c>
      <c r="G116" s="406" t="s">
        <v>54</v>
      </c>
      <c r="H116" s="408" t="s">
        <v>520</v>
      </c>
      <c r="I116" s="408"/>
      <c r="J116" s="406" t="s">
        <v>283</v>
      </c>
      <c r="K116" s="406" t="s">
        <v>284</v>
      </c>
      <c r="L116" s="406" t="s">
        <v>285</v>
      </c>
      <c r="M116" s="406"/>
      <c r="N116" s="452">
        <v>0</v>
      </c>
      <c r="O116" s="452">
        <v>0</v>
      </c>
      <c r="P116" s="452">
        <v>0</v>
      </c>
      <c r="Q116" s="452">
        <v>0</v>
      </c>
      <c r="R116" s="452">
        <v>0</v>
      </c>
      <c r="S116" s="452">
        <v>0</v>
      </c>
      <c r="T116" s="452">
        <v>0</v>
      </c>
      <c r="U116" s="409">
        <v>0</v>
      </c>
      <c r="V116" s="409"/>
      <c r="W116" s="409"/>
      <c r="X116" s="409"/>
      <c r="Y116" s="409"/>
      <c r="Z116" s="453">
        <f t="shared" si="47"/>
        <v>0</v>
      </c>
      <c r="AA116" s="452"/>
      <c r="AB116" s="452"/>
      <c r="AC116" s="452"/>
      <c r="AD116" s="452"/>
      <c r="AE116" s="452"/>
      <c r="AF116" s="452"/>
      <c r="AG116" s="452"/>
      <c r="AH116" s="409"/>
      <c r="AI116" s="409">
        <v>100</v>
      </c>
      <c r="AJ116" s="409"/>
      <c r="AK116" s="409"/>
      <c r="AL116" s="409"/>
      <c r="AM116" s="453">
        <f t="shared" si="34"/>
        <v>100</v>
      </c>
      <c r="AN116" s="452"/>
      <c r="AO116" s="452"/>
      <c r="AP116" s="452"/>
      <c r="AQ116" s="452"/>
      <c r="AR116" s="452"/>
      <c r="AS116" s="452"/>
      <c r="AT116" s="452"/>
      <c r="AU116" s="409"/>
      <c r="AV116" s="409">
        <v>100</v>
      </c>
      <c r="AW116" s="409"/>
      <c r="AX116" s="409"/>
      <c r="AY116" s="409"/>
      <c r="AZ116" s="453">
        <f t="shared" si="35"/>
        <v>100</v>
      </c>
      <c r="BA116" s="452"/>
      <c r="BB116" s="452"/>
      <c r="BC116" s="452"/>
      <c r="BD116" s="452"/>
      <c r="BE116" s="452"/>
      <c r="BF116" s="452"/>
      <c r="BG116" s="452"/>
      <c r="BH116" s="409"/>
      <c r="BI116" s="409">
        <v>100</v>
      </c>
      <c r="BJ116" s="409"/>
      <c r="BK116" s="409"/>
      <c r="BL116" s="409"/>
      <c r="BM116" s="453">
        <f t="shared" si="36"/>
        <v>100</v>
      </c>
      <c r="BN116" s="452"/>
      <c r="BO116" s="452"/>
      <c r="BP116" s="452"/>
      <c r="BQ116" s="452"/>
      <c r="BR116" s="452"/>
      <c r="BS116" s="452"/>
      <c r="BT116" s="452"/>
      <c r="BU116" s="409"/>
      <c r="BV116" s="409"/>
      <c r="BW116" s="409"/>
      <c r="BX116" s="409"/>
      <c r="BY116" s="409"/>
      <c r="BZ116" s="453">
        <f t="shared" si="37"/>
        <v>0</v>
      </c>
      <c r="CA116" s="454">
        <f t="shared" si="38"/>
        <v>300</v>
      </c>
      <c r="CB116" s="411"/>
      <c r="CC116" s="411"/>
      <c r="CD116" s="411"/>
      <c r="CE116" s="411"/>
      <c r="CF116" s="411"/>
      <c r="CG116" s="412"/>
      <c r="CH116" s="413"/>
      <c r="CI116" s="414" t="s">
        <v>292</v>
      </c>
      <c r="CJ116" s="415"/>
      <c r="CK116" s="415"/>
      <c r="CL116" s="415"/>
      <c r="CM116" s="415"/>
      <c r="CN116" s="415"/>
      <c r="CO116" s="415"/>
      <c r="CP116" s="415"/>
      <c r="CQ116" s="415"/>
      <c r="CR116" s="415"/>
      <c r="CS116" s="415"/>
      <c r="CT116" s="415"/>
      <c r="CU116" s="415"/>
      <c r="CV116" s="410">
        <f t="shared" si="50"/>
        <v>0</v>
      </c>
      <c r="CW116" s="415"/>
      <c r="CX116" s="415"/>
      <c r="CY116" s="415"/>
      <c r="CZ116" s="415"/>
      <c r="DA116" s="415"/>
      <c r="DB116" s="415"/>
      <c r="DC116" s="415"/>
      <c r="DD116" s="415">
        <v>2</v>
      </c>
      <c r="DE116" s="415"/>
      <c r="DF116" s="415"/>
      <c r="DG116" s="415"/>
      <c r="DH116" s="415"/>
      <c r="DI116" s="410">
        <f t="shared" si="51"/>
        <v>2</v>
      </c>
      <c r="DJ116" s="415"/>
      <c r="DK116" s="415"/>
      <c r="DL116" s="415"/>
      <c r="DM116" s="415"/>
      <c r="DN116" s="415"/>
      <c r="DO116" s="415"/>
      <c r="DP116" s="415"/>
      <c r="DQ116" s="415">
        <v>2</v>
      </c>
      <c r="DR116" s="415"/>
      <c r="DS116" s="415"/>
      <c r="DT116" s="415"/>
      <c r="DU116" s="415"/>
      <c r="DV116" s="410">
        <f t="shared" si="52"/>
        <v>2</v>
      </c>
      <c r="DW116" s="415"/>
      <c r="DX116" s="415"/>
      <c r="DY116" s="415"/>
      <c r="DZ116" s="415"/>
      <c r="EA116" s="415"/>
      <c r="EB116" s="415"/>
      <c r="EC116" s="415"/>
      <c r="ED116" s="415">
        <v>2</v>
      </c>
      <c r="EE116" s="415"/>
      <c r="EF116" s="415"/>
      <c r="EG116" s="415"/>
      <c r="EH116" s="415"/>
      <c r="EI116" s="410">
        <f t="shared" si="53"/>
        <v>2</v>
      </c>
      <c r="EJ116" s="415"/>
      <c r="EK116" s="415"/>
      <c r="EL116" s="415"/>
      <c r="EM116" s="415"/>
      <c r="EN116" s="415"/>
      <c r="EO116" s="415"/>
      <c r="EP116" s="415"/>
      <c r="EQ116" s="415">
        <v>0</v>
      </c>
      <c r="ER116" s="415"/>
      <c r="ES116" s="415"/>
      <c r="ET116" s="415"/>
      <c r="EU116" s="415"/>
      <c r="EV116" s="410">
        <f t="shared" si="54"/>
        <v>0</v>
      </c>
      <c r="EW116" s="416">
        <f t="shared" si="55"/>
        <v>6</v>
      </c>
      <c r="EX116" s="417">
        <f>IFERROR(VLOOKUP(H116,CEI_012018!$A$1:$U$509,9,FALSE),0)</f>
        <v>0</v>
      </c>
      <c r="EY116" s="417">
        <f>IFERROR(VLOOKUP(H116,CEI_022018!$A$1:$U$509,9,FALSE),0)</f>
        <v>0</v>
      </c>
      <c r="EZ116" s="417">
        <f>IFERROR(VLOOKUP(H116,CEI_032018!$A$1:$U$509,9,FALSE),0)</f>
        <v>0</v>
      </c>
      <c r="FA116" s="417">
        <f>IFERROR(VLOOKUP(H116,CEI_042018!$A$1:$U$491,9,FALSE),0)</f>
        <v>0</v>
      </c>
      <c r="FB116" s="417">
        <f>IFERROR(VLOOKUP(H116,CEI_052018!$A$1:$U$489,9,FALSE),0)</f>
        <v>0</v>
      </c>
      <c r="FC116" s="417">
        <f>IFERROR(VLOOKUP(H116,CEI_062018!$A$1:$U$489,9,FALSE),0)</f>
        <v>0</v>
      </c>
      <c r="FD116" s="417">
        <f>IFERROR(VLOOKUP(H116,CEI_072018!$A$1:$U$489,9,FALSE),0)</f>
        <v>0</v>
      </c>
      <c r="FE116" s="417">
        <f>IFERROR(VLOOKUP(H116,CEI_082018!$A$1:$U$489,9,FALSE),0)</f>
        <v>0</v>
      </c>
      <c r="FF116" s="417">
        <f>IFERROR(VLOOKUP(H116,CEI_092018!$A$1:$U$489,9,FALSE),0)</f>
        <v>0</v>
      </c>
      <c r="FG116" s="417"/>
      <c r="FH116" s="417"/>
      <c r="FI116" s="417"/>
      <c r="FJ116" s="418">
        <f>IFERROR(VLOOKUP(H116,CEI_092018!$A$1:$U$489,12,FALSE),0)</f>
        <v>0</v>
      </c>
      <c r="FK116" s="418">
        <f t="shared" si="56"/>
        <v>0</v>
      </c>
      <c r="FL116" s="418">
        <f t="shared" si="57"/>
        <v>0</v>
      </c>
      <c r="FM116" s="417"/>
      <c r="FN116" s="417"/>
      <c r="FO116" s="417"/>
      <c r="FP116" s="417"/>
      <c r="FQ116" s="417"/>
      <c r="FR116" s="417"/>
      <c r="FS116" s="417"/>
      <c r="FT116" s="417"/>
      <c r="FU116" s="417"/>
      <c r="FV116" s="417"/>
      <c r="FW116" s="417"/>
      <c r="FX116" s="417"/>
      <c r="FY116" s="418"/>
      <c r="FZ116" s="418"/>
      <c r="GA116" s="418"/>
      <c r="GB116" s="417"/>
      <c r="GC116" s="417"/>
      <c r="GD116" s="417"/>
      <c r="GE116" s="417"/>
      <c r="GF116" s="417"/>
      <c r="GG116" s="417"/>
      <c r="GH116" s="417"/>
      <c r="GI116" s="417"/>
      <c r="GJ116" s="417"/>
      <c r="GK116" s="417"/>
      <c r="GL116" s="417"/>
      <c r="GM116" s="417"/>
      <c r="GN116" s="418"/>
      <c r="GO116" s="418"/>
      <c r="GP116" s="418"/>
      <c r="GQ116" s="417"/>
      <c r="GR116" s="417"/>
      <c r="GS116" s="417"/>
      <c r="GT116" s="417"/>
      <c r="GU116" s="417"/>
      <c r="GV116" s="417"/>
      <c r="GW116" s="417"/>
      <c r="GX116" s="417"/>
      <c r="GY116" s="417"/>
      <c r="GZ116" s="417"/>
      <c r="HA116" s="417"/>
      <c r="HB116" s="417"/>
      <c r="HC116" s="418"/>
      <c r="HD116" s="418"/>
      <c r="HE116" s="418"/>
      <c r="HF116" s="417"/>
      <c r="HG116" s="417"/>
      <c r="HH116" s="417"/>
      <c r="HI116" s="417"/>
      <c r="HJ116" s="417"/>
      <c r="HK116" s="417"/>
      <c r="HL116" s="417"/>
      <c r="HM116" s="417"/>
      <c r="HN116" s="417"/>
      <c r="HO116" s="417"/>
      <c r="HP116" s="417"/>
      <c r="HQ116" s="417"/>
      <c r="HR116" s="418"/>
      <c r="HS116" s="418"/>
      <c r="HT116" s="418"/>
    </row>
    <row r="117" spans="1:228" s="387" customFormat="1" ht="12.95" customHeight="1" x14ac:dyDescent="0.2">
      <c r="A117" s="406" t="s">
        <v>55</v>
      </c>
      <c r="B117" s="407" t="s">
        <v>39</v>
      </c>
      <c r="C117" s="406" t="s">
        <v>56</v>
      </c>
      <c r="D117" s="407" t="s">
        <v>271</v>
      </c>
      <c r="E117" s="407" t="s">
        <v>56</v>
      </c>
      <c r="F117" s="407" t="s">
        <v>271</v>
      </c>
      <c r="G117" s="406" t="s">
        <v>54</v>
      </c>
      <c r="H117" s="408" t="s">
        <v>1580</v>
      </c>
      <c r="I117" s="408" t="s">
        <v>1581</v>
      </c>
      <c r="J117" s="406" t="s">
        <v>600</v>
      </c>
      <c r="K117" s="406" t="s">
        <v>601</v>
      </c>
      <c r="L117" s="406" t="s">
        <v>602</v>
      </c>
      <c r="M117" s="406" t="s">
        <v>1686</v>
      </c>
      <c r="N117" s="452">
        <v>0</v>
      </c>
      <c r="O117" s="452">
        <v>0</v>
      </c>
      <c r="P117" s="452">
        <v>0</v>
      </c>
      <c r="Q117" s="452">
        <v>0</v>
      </c>
      <c r="R117" s="452">
        <v>0</v>
      </c>
      <c r="S117" s="452">
        <v>0</v>
      </c>
      <c r="T117" s="452">
        <v>0</v>
      </c>
      <c r="U117" s="409">
        <v>0</v>
      </c>
      <c r="V117" s="409"/>
      <c r="W117" s="409"/>
      <c r="X117" s="409"/>
      <c r="Y117" s="409">
        <v>1209</v>
      </c>
      <c r="Z117" s="453">
        <f t="shared" si="47"/>
        <v>1209</v>
      </c>
      <c r="AA117" s="452"/>
      <c r="AB117" s="452"/>
      <c r="AC117" s="452"/>
      <c r="AD117" s="452"/>
      <c r="AE117" s="452"/>
      <c r="AF117" s="452"/>
      <c r="AG117" s="452"/>
      <c r="AH117" s="409"/>
      <c r="AI117" s="409"/>
      <c r="AJ117" s="409"/>
      <c r="AK117" s="409"/>
      <c r="AL117" s="409"/>
      <c r="AM117" s="453">
        <f t="shared" si="34"/>
        <v>0</v>
      </c>
      <c r="AN117" s="452"/>
      <c r="AO117" s="452"/>
      <c r="AP117" s="452"/>
      <c r="AQ117" s="452"/>
      <c r="AR117" s="452"/>
      <c r="AS117" s="452"/>
      <c r="AT117" s="452"/>
      <c r="AU117" s="409"/>
      <c r="AV117" s="409">
        <f>76+120</f>
        <v>196</v>
      </c>
      <c r="AW117" s="409"/>
      <c r="AX117" s="409"/>
      <c r="AY117" s="409"/>
      <c r="AZ117" s="453">
        <f t="shared" si="35"/>
        <v>196</v>
      </c>
      <c r="BA117" s="452"/>
      <c r="BB117" s="452"/>
      <c r="BC117" s="452"/>
      <c r="BD117" s="452"/>
      <c r="BE117" s="452"/>
      <c r="BF117" s="452"/>
      <c r="BG117" s="452"/>
      <c r="BH117" s="409"/>
      <c r="BI117" s="409">
        <v>0</v>
      </c>
      <c r="BJ117" s="409"/>
      <c r="BK117" s="409"/>
      <c r="BL117" s="409"/>
      <c r="BM117" s="453">
        <f t="shared" si="36"/>
        <v>0</v>
      </c>
      <c r="BN117" s="452"/>
      <c r="BO117" s="452"/>
      <c r="BP117" s="452"/>
      <c r="BQ117" s="452"/>
      <c r="BR117" s="452"/>
      <c r="BS117" s="452"/>
      <c r="BT117" s="452"/>
      <c r="BU117" s="409"/>
      <c r="BV117" s="409"/>
      <c r="BW117" s="409"/>
      <c r="BX117" s="409"/>
      <c r="BY117" s="409"/>
      <c r="BZ117" s="453">
        <f t="shared" si="37"/>
        <v>0</v>
      </c>
      <c r="CA117" s="454">
        <f t="shared" si="38"/>
        <v>1405</v>
      </c>
      <c r="CB117" s="419"/>
      <c r="CC117" s="419">
        <v>1</v>
      </c>
      <c r="CD117" s="419">
        <v>1</v>
      </c>
      <c r="CE117" s="419">
        <v>1</v>
      </c>
      <c r="CF117" s="419">
        <v>1</v>
      </c>
      <c r="CG117" s="420">
        <f>IFERROR((FE117/Z117%),0)</f>
        <v>0</v>
      </c>
      <c r="CH117" s="420">
        <f>IFERROR((FK117/Z117%),0)</f>
        <v>96.47310444695384</v>
      </c>
      <c r="CI117" s="414" t="s">
        <v>71</v>
      </c>
      <c r="CJ117" s="415"/>
      <c r="CK117" s="415"/>
      <c r="CL117" s="415"/>
      <c r="CM117" s="415"/>
      <c r="CN117" s="415"/>
      <c r="CO117" s="415"/>
      <c r="CP117" s="415"/>
      <c r="CQ117" s="415"/>
      <c r="CR117" s="415"/>
      <c r="CS117" s="415"/>
      <c r="CT117" s="415"/>
      <c r="CU117" s="415">
        <v>1</v>
      </c>
      <c r="CV117" s="410">
        <f t="shared" si="50"/>
        <v>1</v>
      </c>
      <c r="CW117" s="415"/>
      <c r="CX117" s="415"/>
      <c r="CY117" s="415"/>
      <c r="CZ117" s="415"/>
      <c r="DA117" s="415"/>
      <c r="DB117" s="415"/>
      <c r="DC117" s="415"/>
      <c r="DD117" s="415">
        <v>3</v>
      </c>
      <c r="DE117" s="415"/>
      <c r="DF117" s="415"/>
      <c r="DG117" s="415"/>
      <c r="DH117" s="415"/>
      <c r="DI117" s="410">
        <f t="shared" si="51"/>
        <v>3</v>
      </c>
      <c r="DJ117" s="415"/>
      <c r="DK117" s="415"/>
      <c r="DL117" s="415"/>
      <c r="DM117" s="415"/>
      <c r="DN117" s="415"/>
      <c r="DO117" s="415"/>
      <c r="DP117" s="415"/>
      <c r="DQ117" s="415">
        <v>3</v>
      </c>
      <c r="DR117" s="415"/>
      <c r="DS117" s="415"/>
      <c r="DT117" s="415"/>
      <c r="DU117" s="415"/>
      <c r="DV117" s="410">
        <f t="shared" si="52"/>
        <v>3</v>
      </c>
      <c r="DW117" s="415"/>
      <c r="DX117" s="415"/>
      <c r="DY117" s="415"/>
      <c r="DZ117" s="415"/>
      <c r="EA117" s="415"/>
      <c r="EB117" s="415"/>
      <c r="EC117" s="415"/>
      <c r="ED117" s="415">
        <v>3</v>
      </c>
      <c r="EE117" s="415"/>
      <c r="EF117" s="415"/>
      <c r="EG117" s="415"/>
      <c r="EH117" s="415"/>
      <c r="EI117" s="410">
        <f t="shared" si="53"/>
        <v>3</v>
      </c>
      <c r="EJ117" s="415"/>
      <c r="EK117" s="415"/>
      <c r="EL117" s="415"/>
      <c r="EM117" s="415"/>
      <c r="EN117" s="415"/>
      <c r="EO117" s="415"/>
      <c r="EP117" s="415"/>
      <c r="EQ117" s="415">
        <v>0</v>
      </c>
      <c r="ER117" s="415"/>
      <c r="ES117" s="415"/>
      <c r="ET117" s="415"/>
      <c r="EU117" s="415"/>
      <c r="EV117" s="410">
        <f t="shared" si="54"/>
        <v>0</v>
      </c>
      <c r="EW117" s="416">
        <f t="shared" si="55"/>
        <v>10</v>
      </c>
      <c r="EX117" s="417">
        <f>IFERROR(VLOOKUP(H117,CEI_012018!$A$1:$U$509,9,FALSE),0)</f>
        <v>0</v>
      </c>
      <c r="EY117" s="417">
        <f>IFERROR(VLOOKUP(H117,CEI_022018!$A$1:$U$509,9,FALSE),0)</f>
        <v>0</v>
      </c>
      <c r="EZ117" s="417">
        <f>IFERROR(VLOOKUP(H117,CEI_032018!$A$1:$U$509,9,FALSE),0)</f>
        <v>0</v>
      </c>
      <c r="FA117" s="417">
        <f>IFERROR(VLOOKUP(H117,CEI_042018!$A$1:$U$491,9,FALSE),0)</f>
        <v>0</v>
      </c>
      <c r="FB117" s="417">
        <f>IFERROR(VLOOKUP(H117,CEI_052018!$A$1:$U$489,9,FALSE),0)</f>
        <v>0</v>
      </c>
      <c r="FC117" s="417">
        <f>IFERROR(VLOOKUP(H117,CEI_062018!$A$1:$U$489,9,FALSE),0)</f>
        <v>0</v>
      </c>
      <c r="FD117" s="417">
        <f>IFERROR(VLOOKUP(H117,CEI_072018!$A$1:$U$489,9,FALSE),0)</f>
        <v>0</v>
      </c>
      <c r="FE117" s="417">
        <f>IFERROR(VLOOKUP(H117,CEI_082018!$A$1:$U$489,9,FALSE),0)</f>
        <v>0</v>
      </c>
      <c r="FF117" s="417">
        <f>IFERROR(VLOOKUP(H117,CEI_092018!$A$1:$U$489,9,FALSE),0)</f>
        <v>0</v>
      </c>
      <c r="FG117" s="417"/>
      <c r="FH117" s="417"/>
      <c r="FI117" s="417"/>
      <c r="FJ117" s="418">
        <f>IFERROR(VLOOKUP(H117,CEI_092018!$A$1:$U$489,12,FALSE),0)</f>
        <v>1166.3598327636719</v>
      </c>
      <c r="FK117" s="418">
        <f t="shared" si="56"/>
        <v>1166.3598327636719</v>
      </c>
      <c r="FL117" s="418">
        <f t="shared" si="57"/>
        <v>42.640167236328125</v>
      </c>
      <c r="FM117" s="417"/>
      <c r="FN117" s="417"/>
      <c r="FO117" s="417"/>
      <c r="FP117" s="417"/>
      <c r="FQ117" s="417"/>
      <c r="FR117" s="417"/>
      <c r="FS117" s="417"/>
      <c r="FT117" s="417"/>
      <c r="FU117" s="417"/>
      <c r="FV117" s="417"/>
      <c r="FW117" s="417"/>
      <c r="FX117" s="417"/>
      <c r="FY117" s="418"/>
      <c r="FZ117" s="418"/>
      <c r="GA117" s="418"/>
      <c r="GB117" s="417"/>
      <c r="GC117" s="417"/>
      <c r="GD117" s="417"/>
      <c r="GE117" s="417"/>
      <c r="GF117" s="417"/>
      <c r="GG117" s="417"/>
      <c r="GH117" s="417"/>
      <c r="GI117" s="417"/>
      <c r="GJ117" s="417"/>
      <c r="GK117" s="417"/>
      <c r="GL117" s="417"/>
      <c r="GM117" s="417"/>
      <c r="GN117" s="418"/>
      <c r="GO117" s="418"/>
      <c r="GP117" s="418"/>
      <c r="GQ117" s="417"/>
      <c r="GR117" s="417"/>
      <c r="GS117" s="417"/>
      <c r="GT117" s="417"/>
      <c r="GU117" s="417"/>
      <c r="GV117" s="417"/>
      <c r="GW117" s="417"/>
      <c r="GX117" s="417"/>
      <c r="GY117" s="417"/>
      <c r="GZ117" s="417"/>
      <c r="HA117" s="417"/>
      <c r="HB117" s="417"/>
      <c r="HC117" s="418"/>
      <c r="HD117" s="418"/>
      <c r="HE117" s="418"/>
      <c r="HF117" s="417"/>
      <c r="HG117" s="417"/>
      <c r="HH117" s="417"/>
      <c r="HI117" s="417"/>
      <c r="HJ117" s="417"/>
      <c r="HK117" s="417"/>
      <c r="HL117" s="417"/>
      <c r="HM117" s="417"/>
      <c r="HN117" s="417"/>
      <c r="HO117" s="417"/>
      <c r="HP117" s="417"/>
      <c r="HQ117" s="417"/>
      <c r="HR117" s="418"/>
      <c r="HS117" s="418"/>
      <c r="HT117" s="418"/>
    </row>
    <row r="118" spans="1:228" s="387" customFormat="1" ht="12.95" customHeight="1" x14ac:dyDescent="0.2">
      <c r="A118" s="406" t="s">
        <v>55</v>
      </c>
      <c r="B118" s="407" t="s">
        <v>39</v>
      </c>
      <c r="C118" s="406" t="s">
        <v>56</v>
      </c>
      <c r="D118" s="407" t="s">
        <v>271</v>
      </c>
      <c r="E118" s="407" t="s">
        <v>56</v>
      </c>
      <c r="F118" s="407" t="s">
        <v>271</v>
      </c>
      <c r="G118" s="406" t="s">
        <v>54</v>
      </c>
      <c r="H118" s="408" t="s">
        <v>520</v>
      </c>
      <c r="I118" s="408"/>
      <c r="J118" s="406" t="s">
        <v>286</v>
      </c>
      <c r="K118" s="406" t="s">
        <v>287</v>
      </c>
      <c r="L118" s="406" t="s">
        <v>288</v>
      </c>
      <c r="M118" s="406"/>
      <c r="N118" s="452">
        <v>0</v>
      </c>
      <c r="O118" s="452">
        <v>0</v>
      </c>
      <c r="P118" s="452">
        <v>0</v>
      </c>
      <c r="Q118" s="452">
        <v>0</v>
      </c>
      <c r="R118" s="452">
        <v>0</v>
      </c>
      <c r="S118" s="452">
        <v>0</v>
      </c>
      <c r="T118" s="452">
        <v>0</v>
      </c>
      <c r="U118" s="409">
        <v>0</v>
      </c>
      <c r="V118" s="409"/>
      <c r="W118" s="409"/>
      <c r="X118" s="409"/>
      <c r="Y118" s="409"/>
      <c r="Z118" s="453">
        <f t="shared" si="47"/>
        <v>0</v>
      </c>
      <c r="AA118" s="452"/>
      <c r="AB118" s="452"/>
      <c r="AC118" s="452"/>
      <c r="AD118" s="452"/>
      <c r="AE118" s="452"/>
      <c r="AF118" s="452"/>
      <c r="AG118" s="452"/>
      <c r="AH118" s="409"/>
      <c r="AI118" s="409">
        <v>100</v>
      </c>
      <c r="AJ118" s="409"/>
      <c r="AK118" s="409"/>
      <c r="AL118" s="409"/>
      <c r="AM118" s="453">
        <f t="shared" si="34"/>
        <v>100</v>
      </c>
      <c r="AN118" s="452"/>
      <c r="AO118" s="452"/>
      <c r="AP118" s="452"/>
      <c r="AQ118" s="452"/>
      <c r="AR118" s="452"/>
      <c r="AS118" s="452"/>
      <c r="AT118" s="452"/>
      <c r="AU118" s="409"/>
      <c r="AV118" s="409">
        <v>100</v>
      </c>
      <c r="AW118" s="409">
        <v>100</v>
      </c>
      <c r="AX118" s="409"/>
      <c r="AY118" s="409"/>
      <c r="AZ118" s="453">
        <f t="shared" si="35"/>
        <v>200</v>
      </c>
      <c r="BA118" s="452"/>
      <c r="BB118" s="452"/>
      <c r="BC118" s="452"/>
      <c r="BD118" s="452"/>
      <c r="BE118" s="452"/>
      <c r="BF118" s="452"/>
      <c r="BG118" s="452"/>
      <c r="BH118" s="409"/>
      <c r="BI118" s="409">
        <v>100</v>
      </c>
      <c r="BJ118" s="409"/>
      <c r="BK118" s="409"/>
      <c r="BL118" s="409"/>
      <c r="BM118" s="453">
        <f t="shared" si="36"/>
        <v>100</v>
      </c>
      <c r="BN118" s="452"/>
      <c r="BO118" s="452"/>
      <c r="BP118" s="452"/>
      <c r="BQ118" s="452"/>
      <c r="BR118" s="452"/>
      <c r="BS118" s="452"/>
      <c r="BT118" s="452"/>
      <c r="BU118" s="409"/>
      <c r="BV118" s="409"/>
      <c r="BW118" s="409"/>
      <c r="BX118" s="409"/>
      <c r="BY118" s="409"/>
      <c r="BZ118" s="453">
        <f t="shared" si="37"/>
        <v>0</v>
      </c>
      <c r="CA118" s="454">
        <f t="shared" si="38"/>
        <v>400</v>
      </c>
      <c r="CB118" s="411"/>
      <c r="CC118" s="411"/>
      <c r="CD118" s="411"/>
      <c r="CE118" s="411"/>
      <c r="CF118" s="411"/>
      <c r="CG118" s="412"/>
      <c r="CH118" s="413"/>
      <c r="CI118" s="414" t="s">
        <v>70</v>
      </c>
      <c r="CJ118" s="422">
        <v>0</v>
      </c>
      <c r="CK118" s="422">
        <v>0</v>
      </c>
      <c r="CL118" s="422">
        <v>0</v>
      </c>
      <c r="CM118" s="422">
        <v>0</v>
      </c>
      <c r="CN118" s="423">
        <v>0</v>
      </c>
      <c r="CO118" s="423">
        <v>0</v>
      </c>
      <c r="CP118" s="423">
        <v>0</v>
      </c>
      <c r="CQ118" s="423">
        <v>0</v>
      </c>
      <c r="CR118" s="423">
        <v>0</v>
      </c>
      <c r="CS118" s="423">
        <v>0</v>
      </c>
      <c r="CT118" s="423">
        <v>0</v>
      </c>
      <c r="CU118" s="423">
        <v>0</v>
      </c>
      <c r="CV118" s="410">
        <f t="shared" si="50"/>
        <v>0</v>
      </c>
      <c r="CW118" s="422">
        <v>0</v>
      </c>
      <c r="CX118" s="422">
        <v>0</v>
      </c>
      <c r="CY118" s="422">
        <v>0</v>
      </c>
      <c r="CZ118" s="422">
        <v>0</v>
      </c>
      <c r="DA118" s="423">
        <v>0</v>
      </c>
      <c r="DB118" s="423">
        <v>0</v>
      </c>
      <c r="DC118" s="423">
        <v>0</v>
      </c>
      <c r="DD118" s="423">
        <v>0</v>
      </c>
      <c r="DE118" s="423">
        <v>1.4119140382170759E-2</v>
      </c>
      <c r="DF118" s="423">
        <v>0</v>
      </c>
      <c r="DG118" s="423">
        <v>0</v>
      </c>
      <c r="DH118" s="423">
        <v>0</v>
      </c>
      <c r="DI118" s="410">
        <f t="shared" si="51"/>
        <v>1.4119140382170759E-2</v>
      </c>
      <c r="DJ118" s="422">
        <v>0</v>
      </c>
      <c r="DK118" s="422">
        <v>0</v>
      </c>
      <c r="DL118" s="422">
        <v>0</v>
      </c>
      <c r="DM118" s="422">
        <v>0</v>
      </c>
      <c r="DN118" s="423">
        <v>0</v>
      </c>
      <c r="DO118" s="423">
        <v>0</v>
      </c>
      <c r="DP118" s="423">
        <v>0</v>
      </c>
      <c r="DQ118" s="423">
        <v>0</v>
      </c>
      <c r="DR118" s="423">
        <v>1.1396979208444053E-2</v>
      </c>
      <c r="DS118" s="423">
        <v>1.1396979208444053E-2</v>
      </c>
      <c r="DT118" s="423">
        <v>0</v>
      </c>
      <c r="DU118" s="423">
        <v>0</v>
      </c>
      <c r="DV118" s="410">
        <f t="shared" si="52"/>
        <v>2.2793958416888107E-2</v>
      </c>
      <c r="DW118" s="422">
        <v>0</v>
      </c>
      <c r="DX118" s="422">
        <v>0</v>
      </c>
      <c r="DY118" s="422">
        <v>0</v>
      </c>
      <c r="DZ118" s="422">
        <v>0</v>
      </c>
      <c r="EA118" s="423">
        <v>0</v>
      </c>
      <c r="EB118" s="423">
        <v>0</v>
      </c>
      <c r="EC118" s="423">
        <v>0</v>
      </c>
      <c r="ED118" s="423">
        <v>0</v>
      </c>
      <c r="EE118" s="423">
        <v>1.1902899951126693E-2</v>
      </c>
      <c r="EF118" s="423">
        <v>0</v>
      </c>
      <c r="EG118" s="423">
        <v>0</v>
      </c>
      <c r="EH118" s="423">
        <v>0</v>
      </c>
      <c r="EI118" s="410">
        <f t="shared" si="53"/>
        <v>1.1902899951126693E-2</v>
      </c>
      <c r="EJ118" s="422">
        <v>0</v>
      </c>
      <c r="EK118" s="422">
        <v>0</v>
      </c>
      <c r="EL118" s="422">
        <v>0</v>
      </c>
      <c r="EM118" s="422">
        <v>0</v>
      </c>
      <c r="EN118" s="423">
        <v>0</v>
      </c>
      <c r="EO118" s="423">
        <v>0</v>
      </c>
      <c r="EP118" s="423">
        <v>0</v>
      </c>
      <c r="EQ118" s="423">
        <v>0</v>
      </c>
      <c r="ER118" s="423">
        <v>0</v>
      </c>
      <c r="ES118" s="423">
        <v>0</v>
      </c>
      <c r="ET118" s="423">
        <v>0</v>
      </c>
      <c r="EU118" s="423">
        <v>0</v>
      </c>
      <c r="EV118" s="410">
        <f t="shared" si="54"/>
        <v>0</v>
      </c>
      <c r="EW118" s="416">
        <f t="shared" si="55"/>
        <v>4.8815998750185552E-2</v>
      </c>
      <c r="EX118" s="417">
        <f>IFERROR(VLOOKUP(H118,CEI_012018!$A$1:$U$509,9,FALSE),0)</f>
        <v>0</v>
      </c>
      <c r="EY118" s="417">
        <f>IFERROR(VLOOKUP(H118,CEI_022018!$A$1:$U$509,9,FALSE),0)</f>
        <v>0</v>
      </c>
      <c r="EZ118" s="417">
        <f>IFERROR(VLOOKUP(H118,CEI_032018!$A$1:$U$509,9,FALSE),0)</f>
        <v>0</v>
      </c>
      <c r="FA118" s="417">
        <f>IFERROR(VLOOKUP(H118,CEI_042018!$A$1:$U$491,9,FALSE),0)</f>
        <v>0</v>
      </c>
      <c r="FB118" s="417">
        <f>IFERROR(VLOOKUP(H118,CEI_052018!$A$1:$U$489,9,FALSE),0)</f>
        <v>0</v>
      </c>
      <c r="FC118" s="417">
        <f>IFERROR(VLOOKUP(H118,CEI_062018!$A$1:$U$489,9,FALSE),0)</f>
        <v>0</v>
      </c>
      <c r="FD118" s="417">
        <f>IFERROR(VLOOKUP(H118,CEI_072018!$A$1:$U$489,9,FALSE),0)</f>
        <v>0</v>
      </c>
      <c r="FE118" s="417">
        <f>IFERROR(VLOOKUP(H118,CEI_082018!$A$1:$U$489,9,FALSE),0)</f>
        <v>0</v>
      </c>
      <c r="FF118" s="417">
        <f>IFERROR(VLOOKUP(H118,CEI_092018!$A$1:$U$489,9,FALSE),0)</f>
        <v>0</v>
      </c>
      <c r="FG118" s="417"/>
      <c r="FH118" s="417"/>
      <c r="FI118" s="417"/>
      <c r="FJ118" s="418">
        <f>IFERROR(VLOOKUP(H118,CEI_092018!$A$1:$U$489,12,FALSE),0)</f>
        <v>0</v>
      </c>
      <c r="FK118" s="418">
        <f t="shared" si="56"/>
        <v>0</v>
      </c>
      <c r="FL118" s="418">
        <f t="shared" si="57"/>
        <v>0</v>
      </c>
      <c r="FM118" s="417"/>
      <c r="FN118" s="417"/>
      <c r="FO118" s="417"/>
      <c r="FP118" s="417"/>
      <c r="FQ118" s="417"/>
      <c r="FR118" s="417"/>
      <c r="FS118" s="417"/>
      <c r="FT118" s="417"/>
      <c r="FU118" s="417"/>
      <c r="FV118" s="417"/>
      <c r="FW118" s="417"/>
      <c r="FX118" s="417"/>
      <c r="FY118" s="418"/>
      <c r="FZ118" s="418"/>
      <c r="GA118" s="418"/>
      <c r="GB118" s="417"/>
      <c r="GC118" s="417"/>
      <c r="GD118" s="417"/>
      <c r="GE118" s="417"/>
      <c r="GF118" s="417"/>
      <c r="GG118" s="417"/>
      <c r="GH118" s="417"/>
      <c r="GI118" s="417"/>
      <c r="GJ118" s="417"/>
      <c r="GK118" s="417"/>
      <c r="GL118" s="417"/>
      <c r="GM118" s="417"/>
      <c r="GN118" s="418"/>
      <c r="GO118" s="418"/>
      <c r="GP118" s="418"/>
      <c r="GQ118" s="417"/>
      <c r="GR118" s="417"/>
      <c r="GS118" s="417"/>
      <c r="GT118" s="417"/>
      <c r="GU118" s="417"/>
      <c r="GV118" s="417"/>
      <c r="GW118" s="417"/>
      <c r="GX118" s="417"/>
      <c r="GY118" s="417"/>
      <c r="GZ118" s="417"/>
      <c r="HA118" s="417"/>
      <c r="HB118" s="417"/>
      <c r="HC118" s="418"/>
      <c r="HD118" s="418"/>
      <c r="HE118" s="418"/>
      <c r="HF118" s="417"/>
      <c r="HG118" s="417"/>
      <c r="HH118" s="417"/>
      <c r="HI118" s="417"/>
      <c r="HJ118" s="417"/>
      <c r="HK118" s="417"/>
      <c r="HL118" s="417"/>
      <c r="HM118" s="417"/>
      <c r="HN118" s="417"/>
      <c r="HO118" s="417"/>
      <c r="HP118" s="417"/>
      <c r="HQ118" s="417"/>
      <c r="HR118" s="418"/>
      <c r="HS118" s="418"/>
      <c r="HT118" s="418"/>
    </row>
    <row r="119" spans="1:228" s="387" customFormat="1" ht="12.95" customHeight="1" x14ac:dyDescent="0.2">
      <c r="A119" s="406" t="s">
        <v>55</v>
      </c>
      <c r="B119" s="407" t="s">
        <v>39</v>
      </c>
      <c r="C119" s="406" t="s">
        <v>56</v>
      </c>
      <c r="D119" s="407" t="s">
        <v>1550</v>
      </c>
      <c r="E119" s="407" t="s">
        <v>56</v>
      </c>
      <c r="F119" s="407" t="s">
        <v>1550</v>
      </c>
      <c r="G119" s="406" t="s">
        <v>54</v>
      </c>
      <c r="H119" s="408" t="s">
        <v>1551</v>
      </c>
      <c r="I119" s="408" t="s">
        <v>1552</v>
      </c>
      <c r="J119" s="406" t="s">
        <v>1553</v>
      </c>
      <c r="K119" s="406"/>
      <c r="L119" s="406"/>
      <c r="M119" s="406"/>
      <c r="N119" s="452">
        <v>0</v>
      </c>
      <c r="O119" s="452">
        <v>0</v>
      </c>
      <c r="P119" s="452">
        <v>0</v>
      </c>
      <c r="Q119" s="452">
        <v>0</v>
      </c>
      <c r="R119" s="452">
        <v>0</v>
      </c>
      <c r="S119" s="452">
        <v>0</v>
      </c>
      <c r="T119" s="452">
        <v>0</v>
      </c>
      <c r="U119" s="409">
        <v>0</v>
      </c>
      <c r="V119" s="409"/>
      <c r="W119" s="409">
        <v>23.331</v>
      </c>
      <c r="X119" s="409"/>
      <c r="Y119" s="409"/>
      <c r="Z119" s="453">
        <f t="shared" si="47"/>
        <v>23.331</v>
      </c>
      <c r="AA119" s="452"/>
      <c r="AB119" s="452"/>
      <c r="AC119" s="452"/>
      <c r="AD119" s="452"/>
      <c r="AE119" s="452"/>
      <c r="AF119" s="452"/>
      <c r="AG119" s="452"/>
      <c r="AH119" s="409"/>
      <c r="AI119" s="409"/>
      <c r="AJ119" s="409"/>
      <c r="AK119" s="409"/>
      <c r="AL119" s="409"/>
      <c r="AM119" s="453">
        <f t="shared" si="34"/>
        <v>0</v>
      </c>
      <c r="AN119" s="452"/>
      <c r="AO119" s="452"/>
      <c r="AP119" s="452"/>
      <c r="AQ119" s="452"/>
      <c r="AR119" s="452"/>
      <c r="AS119" s="452"/>
      <c r="AT119" s="452"/>
      <c r="AU119" s="409"/>
      <c r="AV119" s="409"/>
      <c r="AW119" s="409"/>
      <c r="AX119" s="409"/>
      <c r="AY119" s="409"/>
      <c r="AZ119" s="453">
        <f t="shared" si="35"/>
        <v>0</v>
      </c>
      <c r="BA119" s="452"/>
      <c r="BB119" s="452"/>
      <c r="BC119" s="452"/>
      <c r="BD119" s="452"/>
      <c r="BE119" s="452"/>
      <c r="BF119" s="452"/>
      <c r="BG119" s="452"/>
      <c r="BH119" s="409"/>
      <c r="BI119" s="409"/>
      <c r="BJ119" s="409"/>
      <c r="BK119" s="409"/>
      <c r="BL119" s="409"/>
      <c r="BM119" s="453">
        <f t="shared" si="36"/>
        <v>0</v>
      </c>
      <c r="BN119" s="452"/>
      <c r="BO119" s="452"/>
      <c r="BP119" s="452"/>
      <c r="BQ119" s="452"/>
      <c r="BR119" s="452"/>
      <c r="BS119" s="452"/>
      <c r="BT119" s="452"/>
      <c r="BU119" s="409"/>
      <c r="BV119" s="409"/>
      <c r="BW119" s="409"/>
      <c r="BX119" s="409"/>
      <c r="BY119" s="409"/>
      <c r="BZ119" s="453">
        <f t="shared" si="37"/>
        <v>0</v>
      </c>
      <c r="CA119" s="454">
        <f t="shared" si="38"/>
        <v>23.331</v>
      </c>
      <c r="CB119" s="419"/>
      <c r="CC119" s="419">
        <v>1</v>
      </c>
      <c r="CD119" s="419">
        <v>1</v>
      </c>
      <c r="CE119" s="419">
        <v>1</v>
      </c>
      <c r="CF119" s="419">
        <v>1</v>
      </c>
      <c r="CG119" s="420">
        <f>IFERROR((FE119/Z119%),0)</f>
        <v>0</v>
      </c>
      <c r="CH119" s="420">
        <f>IFERROR((FK119/Z119%),0)</f>
        <v>93.352193261361919</v>
      </c>
      <c r="CI119" s="414" t="s">
        <v>71</v>
      </c>
      <c r="CJ119" s="415"/>
      <c r="CK119" s="415"/>
      <c r="CL119" s="415"/>
      <c r="CM119" s="415"/>
      <c r="CN119" s="415"/>
      <c r="CO119" s="415"/>
      <c r="CP119" s="415"/>
      <c r="CQ119" s="415">
        <v>11</v>
      </c>
      <c r="CR119" s="415"/>
      <c r="CS119" s="415"/>
      <c r="CT119" s="415"/>
      <c r="CU119" s="415"/>
      <c r="CV119" s="410">
        <f t="shared" si="50"/>
        <v>11</v>
      </c>
      <c r="CW119" s="415"/>
      <c r="CX119" s="415"/>
      <c r="CY119" s="415"/>
      <c r="CZ119" s="415"/>
      <c r="DA119" s="415"/>
      <c r="DB119" s="415"/>
      <c r="DC119" s="415"/>
      <c r="DD119" s="415"/>
      <c r="DE119" s="415"/>
      <c r="DF119" s="415"/>
      <c r="DG119" s="415"/>
      <c r="DH119" s="415"/>
      <c r="DI119" s="410">
        <f t="shared" si="51"/>
        <v>0</v>
      </c>
      <c r="DJ119" s="415"/>
      <c r="DK119" s="415"/>
      <c r="DL119" s="415"/>
      <c r="DM119" s="415"/>
      <c r="DN119" s="415"/>
      <c r="DO119" s="415"/>
      <c r="DP119" s="415"/>
      <c r="DQ119" s="415"/>
      <c r="DR119" s="415"/>
      <c r="DS119" s="415"/>
      <c r="DT119" s="415"/>
      <c r="DU119" s="415"/>
      <c r="DV119" s="410">
        <f t="shared" si="52"/>
        <v>0</v>
      </c>
      <c r="DW119" s="415"/>
      <c r="DX119" s="415"/>
      <c r="DY119" s="415"/>
      <c r="DZ119" s="415"/>
      <c r="EA119" s="415"/>
      <c r="EB119" s="415"/>
      <c r="EC119" s="415"/>
      <c r="ED119" s="415"/>
      <c r="EE119" s="415"/>
      <c r="EF119" s="415"/>
      <c r="EG119" s="415"/>
      <c r="EH119" s="415"/>
      <c r="EI119" s="410">
        <f t="shared" si="53"/>
        <v>0</v>
      </c>
      <c r="EJ119" s="415"/>
      <c r="EK119" s="415"/>
      <c r="EL119" s="415"/>
      <c r="EM119" s="415"/>
      <c r="EN119" s="415"/>
      <c r="EO119" s="415"/>
      <c r="EP119" s="415"/>
      <c r="EQ119" s="415"/>
      <c r="ER119" s="415"/>
      <c r="ES119" s="415"/>
      <c r="ET119" s="415"/>
      <c r="EU119" s="415"/>
      <c r="EV119" s="410">
        <f t="shared" si="54"/>
        <v>0</v>
      </c>
      <c r="EW119" s="416">
        <f t="shared" si="55"/>
        <v>11</v>
      </c>
      <c r="EX119" s="417">
        <f>IFERROR(VLOOKUP(H119,CEI_012018!$A$1:$U$509,9,FALSE),0)</f>
        <v>0</v>
      </c>
      <c r="EY119" s="417">
        <f>IFERROR(VLOOKUP(H119,CEI_022018!$A$1:$U$509,9,FALSE),0)</f>
        <v>0</v>
      </c>
      <c r="EZ119" s="417">
        <f>IFERROR(VLOOKUP(H119,CEI_032018!$A$1:$U$509,9,FALSE),0)</f>
        <v>0</v>
      </c>
      <c r="FA119" s="417">
        <f>IFERROR(VLOOKUP(H119,CEI_042018!$A$1:$U$491,9,FALSE),0)</f>
        <v>0</v>
      </c>
      <c r="FB119" s="417">
        <f>IFERROR(VLOOKUP(H119,CEI_052018!$A$1:$U$489,9,FALSE),0)</f>
        <v>0</v>
      </c>
      <c r="FC119" s="417">
        <f>IFERROR(VLOOKUP(H119,CEI_062018!$A$1:$U$489,9,FALSE),0)</f>
        <v>0</v>
      </c>
      <c r="FD119" s="417">
        <f>IFERROR(VLOOKUP(H119,CEI_072018!$A$1:$U$489,9,FALSE),0)</f>
        <v>0</v>
      </c>
      <c r="FE119" s="417">
        <f>IFERROR(VLOOKUP(H119,CEI_082018!$A$1:$U$489,9,FALSE),0)</f>
        <v>0</v>
      </c>
      <c r="FF119" s="417">
        <f>IFERROR(VLOOKUP(H119,CEI_092018!$A$1:$U$489,9,FALSE),0)</f>
        <v>0</v>
      </c>
      <c r="FG119" s="417"/>
      <c r="FH119" s="417"/>
      <c r="FI119" s="417"/>
      <c r="FJ119" s="418">
        <f>IFERROR(VLOOKUP(H119,CEI_092018!$A$1:$U$489,12,FALSE),0)</f>
        <v>21.78000020980835</v>
      </c>
      <c r="FK119" s="418">
        <f t="shared" si="56"/>
        <v>21.78000020980835</v>
      </c>
      <c r="FL119" s="418">
        <f t="shared" si="57"/>
        <v>1.5509997901916499</v>
      </c>
      <c r="FM119" s="417"/>
      <c r="FN119" s="417"/>
      <c r="FO119" s="417"/>
      <c r="FP119" s="417"/>
      <c r="FQ119" s="417"/>
      <c r="FR119" s="417"/>
      <c r="FS119" s="417"/>
      <c r="FT119" s="417"/>
      <c r="FU119" s="417"/>
      <c r="FV119" s="417"/>
      <c r="FW119" s="417"/>
      <c r="FX119" s="417"/>
      <c r="FY119" s="418"/>
      <c r="FZ119" s="418"/>
      <c r="GA119" s="418"/>
      <c r="GB119" s="417"/>
      <c r="GC119" s="417"/>
      <c r="GD119" s="417"/>
      <c r="GE119" s="417"/>
      <c r="GF119" s="417"/>
      <c r="GG119" s="417"/>
      <c r="GH119" s="417"/>
      <c r="GI119" s="417"/>
      <c r="GJ119" s="417"/>
      <c r="GK119" s="417"/>
      <c r="GL119" s="417"/>
      <c r="GM119" s="417"/>
      <c r="GN119" s="418"/>
      <c r="GO119" s="418"/>
      <c r="GP119" s="418"/>
      <c r="GQ119" s="417"/>
      <c r="GR119" s="417"/>
      <c r="GS119" s="417"/>
      <c r="GT119" s="417"/>
      <c r="GU119" s="417"/>
      <c r="GV119" s="417"/>
      <c r="GW119" s="417"/>
      <c r="GX119" s="417"/>
      <c r="GY119" s="417"/>
      <c r="GZ119" s="417"/>
      <c r="HA119" s="417"/>
      <c r="HB119" s="417"/>
      <c r="HC119" s="418"/>
      <c r="HD119" s="418"/>
      <c r="HE119" s="418"/>
      <c r="HF119" s="417"/>
      <c r="HG119" s="417"/>
      <c r="HH119" s="417"/>
      <c r="HI119" s="417"/>
      <c r="HJ119" s="417"/>
      <c r="HK119" s="417"/>
      <c r="HL119" s="417"/>
      <c r="HM119" s="417"/>
      <c r="HN119" s="417"/>
      <c r="HO119" s="417"/>
      <c r="HP119" s="417"/>
      <c r="HQ119" s="417"/>
      <c r="HR119" s="418"/>
      <c r="HS119" s="418"/>
      <c r="HT119" s="418"/>
    </row>
    <row r="120" spans="1:228" s="387" customFormat="1" ht="12.95" customHeight="1" x14ac:dyDescent="0.2">
      <c r="A120" s="406" t="s">
        <v>55</v>
      </c>
      <c r="B120" s="407" t="s">
        <v>39</v>
      </c>
      <c r="C120" s="406" t="s">
        <v>56</v>
      </c>
      <c r="D120" s="407" t="s">
        <v>271</v>
      </c>
      <c r="E120" s="407" t="s">
        <v>56</v>
      </c>
      <c r="F120" s="407" t="s">
        <v>271</v>
      </c>
      <c r="G120" s="406" t="s">
        <v>54</v>
      </c>
      <c r="H120" s="408" t="s">
        <v>1092</v>
      </c>
      <c r="I120" s="408" t="s">
        <v>1425</v>
      </c>
      <c r="J120" s="406" t="s">
        <v>446</v>
      </c>
      <c r="K120" s="406" t="s">
        <v>447</v>
      </c>
      <c r="L120" s="406" t="s">
        <v>448</v>
      </c>
      <c r="M120" s="406" t="s">
        <v>1693</v>
      </c>
      <c r="N120" s="452">
        <v>0</v>
      </c>
      <c r="O120" s="452">
        <v>0</v>
      </c>
      <c r="P120" s="452">
        <v>0</v>
      </c>
      <c r="Q120" s="452">
        <v>0</v>
      </c>
      <c r="R120" s="452">
        <v>0</v>
      </c>
      <c r="S120" s="452">
        <v>0</v>
      </c>
      <c r="T120" s="452">
        <v>0</v>
      </c>
      <c r="U120" s="409">
        <v>0</v>
      </c>
      <c r="V120" s="409"/>
      <c r="W120" s="409">
        <v>7</v>
      </c>
      <c r="X120" s="409">
        <v>3</v>
      </c>
      <c r="Y120" s="409">
        <v>20</v>
      </c>
      <c r="Z120" s="453">
        <f t="shared" si="47"/>
        <v>30</v>
      </c>
      <c r="AA120" s="452"/>
      <c r="AB120" s="452"/>
      <c r="AC120" s="452"/>
      <c r="AD120" s="452"/>
      <c r="AE120" s="452"/>
      <c r="AF120" s="452"/>
      <c r="AG120" s="452"/>
      <c r="AH120" s="409"/>
      <c r="AI120" s="409">
        <v>55</v>
      </c>
      <c r="AJ120" s="409">
        <v>100</v>
      </c>
      <c r="AK120" s="409">
        <v>55</v>
      </c>
      <c r="AL120" s="409"/>
      <c r="AM120" s="453">
        <f t="shared" si="34"/>
        <v>210</v>
      </c>
      <c r="AN120" s="452"/>
      <c r="AO120" s="452"/>
      <c r="AP120" s="452"/>
      <c r="AQ120" s="452"/>
      <c r="AR120" s="452"/>
      <c r="AS120" s="452"/>
      <c r="AT120" s="452"/>
      <c r="AU120" s="409"/>
      <c r="AV120" s="409"/>
      <c r="AW120" s="409"/>
      <c r="AX120" s="409"/>
      <c r="AY120" s="409"/>
      <c r="AZ120" s="453">
        <f t="shared" si="35"/>
        <v>0</v>
      </c>
      <c r="BA120" s="452"/>
      <c r="BB120" s="452"/>
      <c r="BC120" s="452"/>
      <c r="BD120" s="452"/>
      <c r="BE120" s="452"/>
      <c r="BF120" s="452"/>
      <c r="BG120" s="452"/>
      <c r="BH120" s="409"/>
      <c r="BI120" s="409"/>
      <c r="BJ120" s="409"/>
      <c r="BK120" s="409"/>
      <c r="BL120" s="409"/>
      <c r="BM120" s="453">
        <f t="shared" si="36"/>
        <v>0</v>
      </c>
      <c r="BN120" s="452"/>
      <c r="BO120" s="452"/>
      <c r="BP120" s="452"/>
      <c r="BQ120" s="452"/>
      <c r="BR120" s="452"/>
      <c r="BS120" s="452"/>
      <c r="BT120" s="452"/>
      <c r="BU120" s="409"/>
      <c r="BV120" s="409"/>
      <c r="BW120" s="409"/>
      <c r="BX120" s="409"/>
      <c r="BY120" s="409"/>
      <c r="BZ120" s="453">
        <f t="shared" si="37"/>
        <v>0</v>
      </c>
      <c r="CA120" s="454">
        <f t="shared" si="38"/>
        <v>240</v>
      </c>
      <c r="CB120" s="419"/>
      <c r="CC120" s="419">
        <v>1</v>
      </c>
      <c r="CD120" s="419">
        <v>1</v>
      </c>
      <c r="CE120" s="419">
        <v>-1</v>
      </c>
      <c r="CF120" s="419">
        <v>-1</v>
      </c>
      <c r="CG120" s="420">
        <f>IFERROR((FE120/Z120%),0)</f>
        <v>0</v>
      </c>
      <c r="CH120" s="420">
        <f>IFERROR((FK120/Z120%),0)</f>
        <v>0</v>
      </c>
      <c r="CI120" s="414" t="s">
        <v>70</v>
      </c>
      <c r="CJ120" s="422">
        <v>0</v>
      </c>
      <c r="CK120" s="422">
        <v>0</v>
      </c>
      <c r="CL120" s="422">
        <v>0</v>
      </c>
      <c r="CM120" s="422">
        <v>0</v>
      </c>
      <c r="CN120" s="423">
        <v>0</v>
      </c>
      <c r="CO120" s="423">
        <v>0</v>
      </c>
      <c r="CP120" s="423">
        <v>0</v>
      </c>
      <c r="CQ120" s="423">
        <v>0</v>
      </c>
      <c r="CR120" s="423">
        <v>0</v>
      </c>
      <c r="CS120" s="423">
        <v>1.8039182134406337E-3</v>
      </c>
      <c r="CT120" s="423">
        <v>7.7310780576027164E-4</v>
      </c>
      <c r="CU120" s="423">
        <v>5.1540520384018105E-3</v>
      </c>
      <c r="CV120" s="410">
        <f t="shared" si="50"/>
        <v>7.7310780576027157E-3</v>
      </c>
      <c r="CW120" s="422">
        <v>0</v>
      </c>
      <c r="CX120" s="422">
        <v>0</v>
      </c>
      <c r="CY120" s="422">
        <v>0</v>
      </c>
      <c r="CZ120" s="422">
        <v>0</v>
      </c>
      <c r="DA120" s="423">
        <v>0</v>
      </c>
      <c r="DB120" s="423">
        <v>0</v>
      </c>
      <c r="DC120" s="423">
        <v>0</v>
      </c>
      <c r="DD120" s="423">
        <v>0</v>
      </c>
      <c r="DE120" s="423">
        <v>7.7655272101939173E-3</v>
      </c>
      <c r="DF120" s="423">
        <v>1.4119140382170759E-2</v>
      </c>
      <c r="DG120" s="423">
        <v>7.7655272101939173E-3</v>
      </c>
      <c r="DH120" s="423">
        <v>0</v>
      </c>
      <c r="DI120" s="410">
        <f t="shared" si="51"/>
        <v>2.9650194802558594E-2</v>
      </c>
      <c r="DJ120" s="422">
        <v>0</v>
      </c>
      <c r="DK120" s="422">
        <v>0</v>
      </c>
      <c r="DL120" s="422">
        <v>0</v>
      </c>
      <c r="DM120" s="422">
        <v>0</v>
      </c>
      <c r="DN120" s="423">
        <v>0</v>
      </c>
      <c r="DO120" s="423">
        <v>0</v>
      </c>
      <c r="DP120" s="423">
        <v>0</v>
      </c>
      <c r="DQ120" s="423">
        <v>0</v>
      </c>
      <c r="DR120" s="423">
        <v>0</v>
      </c>
      <c r="DS120" s="423">
        <v>0</v>
      </c>
      <c r="DT120" s="423">
        <v>0</v>
      </c>
      <c r="DU120" s="423">
        <v>0</v>
      </c>
      <c r="DV120" s="410">
        <f t="shared" si="52"/>
        <v>0</v>
      </c>
      <c r="DW120" s="422">
        <v>0</v>
      </c>
      <c r="DX120" s="422">
        <v>0</v>
      </c>
      <c r="DY120" s="422">
        <v>0</v>
      </c>
      <c r="DZ120" s="422">
        <v>0</v>
      </c>
      <c r="EA120" s="423">
        <v>0</v>
      </c>
      <c r="EB120" s="423">
        <v>0</v>
      </c>
      <c r="EC120" s="423">
        <v>0</v>
      </c>
      <c r="ED120" s="423">
        <v>0</v>
      </c>
      <c r="EE120" s="423">
        <v>0</v>
      </c>
      <c r="EF120" s="423">
        <v>0</v>
      </c>
      <c r="EG120" s="423">
        <v>0</v>
      </c>
      <c r="EH120" s="423">
        <v>0</v>
      </c>
      <c r="EI120" s="410">
        <f t="shared" si="53"/>
        <v>0</v>
      </c>
      <c r="EJ120" s="422">
        <v>0</v>
      </c>
      <c r="EK120" s="422">
        <v>0</v>
      </c>
      <c r="EL120" s="422">
        <v>0</v>
      </c>
      <c r="EM120" s="422">
        <v>0</v>
      </c>
      <c r="EN120" s="423">
        <v>0</v>
      </c>
      <c r="EO120" s="423">
        <v>0</v>
      </c>
      <c r="EP120" s="423">
        <v>0</v>
      </c>
      <c r="EQ120" s="423">
        <v>0</v>
      </c>
      <c r="ER120" s="423">
        <v>0</v>
      </c>
      <c r="ES120" s="423">
        <v>0</v>
      </c>
      <c r="ET120" s="423">
        <v>0</v>
      </c>
      <c r="EU120" s="423">
        <v>0</v>
      </c>
      <c r="EV120" s="410">
        <f t="shared" si="54"/>
        <v>0</v>
      </c>
      <c r="EW120" s="416">
        <f t="shared" si="55"/>
        <v>3.738127286016131E-2</v>
      </c>
      <c r="EX120" s="417">
        <f>IFERROR(VLOOKUP(H120,CEI_012018!$A$1:$U$509,9,FALSE),0)</f>
        <v>0</v>
      </c>
      <c r="EY120" s="417">
        <f>IFERROR(VLOOKUP(H120,CEI_022018!$A$1:$U$509,9,FALSE),0)</f>
        <v>0</v>
      </c>
      <c r="EZ120" s="417">
        <f>IFERROR(VLOOKUP(H120,CEI_032018!$A$1:$U$509,9,FALSE),0)</f>
        <v>0</v>
      </c>
      <c r="FA120" s="417">
        <f>IFERROR(VLOOKUP(H120,CEI_042018!$A$1:$U$491,9,FALSE),0)</f>
        <v>0</v>
      </c>
      <c r="FB120" s="417">
        <f>IFERROR(VLOOKUP(H120,CEI_052018!$A$1:$U$489,9,FALSE),0)</f>
        <v>0</v>
      </c>
      <c r="FC120" s="417">
        <f>IFERROR(VLOOKUP(H120,CEI_062018!$A$1:$U$489,9,FALSE),0)</f>
        <v>0</v>
      </c>
      <c r="FD120" s="417">
        <f>IFERROR(VLOOKUP(H120,CEI_072018!$A$1:$U$489,9,FALSE),0)</f>
        <v>0</v>
      </c>
      <c r="FE120" s="417">
        <f>IFERROR(VLOOKUP(H120,CEI_082018!$A$1:$U$489,9,FALSE),0)</f>
        <v>0</v>
      </c>
      <c r="FF120" s="417">
        <f>IFERROR(VLOOKUP(H120,CEI_092018!$A$1:$U$489,9,FALSE),0)</f>
        <v>0</v>
      </c>
      <c r="FG120" s="417"/>
      <c r="FH120" s="417"/>
      <c r="FI120" s="417"/>
      <c r="FJ120" s="418">
        <f>IFERROR(VLOOKUP(H120,CEI_092018!$A$1:$U$489,12,FALSE),0)</f>
        <v>0</v>
      </c>
      <c r="FK120" s="418">
        <f t="shared" si="56"/>
        <v>0</v>
      </c>
      <c r="FL120" s="418">
        <f t="shared" si="57"/>
        <v>30</v>
      </c>
      <c r="FM120" s="417"/>
      <c r="FN120" s="417"/>
      <c r="FO120" s="417"/>
      <c r="FP120" s="417"/>
      <c r="FQ120" s="417"/>
      <c r="FR120" s="417"/>
      <c r="FS120" s="417"/>
      <c r="FT120" s="417"/>
      <c r="FU120" s="417"/>
      <c r="FV120" s="417"/>
      <c r="FW120" s="417"/>
      <c r="FX120" s="417"/>
      <c r="FY120" s="418"/>
      <c r="FZ120" s="418"/>
      <c r="GA120" s="418"/>
      <c r="GB120" s="417"/>
      <c r="GC120" s="417"/>
      <c r="GD120" s="417"/>
      <c r="GE120" s="417"/>
      <c r="GF120" s="417"/>
      <c r="GG120" s="417"/>
      <c r="GH120" s="417"/>
      <c r="GI120" s="417"/>
      <c r="GJ120" s="417"/>
      <c r="GK120" s="417"/>
      <c r="GL120" s="417"/>
      <c r="GM120" s="417"/>
      <c r="GN120" s="418"/>
      <c r="GO120" s="418"/>
      <c r="GP120" s="418"/>
      <c r="GQ120" s="417"/>
      <c r="GR120" s="417"/>
      <c r="GS120" s="417"/>
      <c r="GT120" s="417"/>
      <c r="GU120" s="417"/>
      <c r="GV120" s="417"/>
      <c r="GW120" s="417"/>
      <c r="GX120" s="417"/>
      <c r="GY120" s="417"/>
      <c r="GZ120" s="417"/>
      <c r="HA120" s="417"/>
      <c r="HB120" s="417"/>
      <c r="HC120" s="418"/>
      <c r="HD120" s="418"/>
      <c r="HE120" s="418"/>
      <c r="HF120" s="417"/>
      <c r="HG120" s="417"/>
      <c r="HH120" s="417"/>
      <c r="HI120" s="417"/>
      <c r="HJ120" s="417"/>
      <c r="HK120" s="417"/>
      <c r="HL120" s="417"/>
      <c r="HM120" s="417"/>
      <c r="HN120" s="417"/>
      <c r="HO120" s="417"/>
      <c r="HP120" s="417"/>
      <c r="HQ120" s="417"/>
      <c r="HR120" s="418"/>
      <c r="HS120" s="418"/>
      <c r="HT120" s="418"/>
    </row>
    <row r="121" spans="1:228" s="387" customFormat="1" ht="12.95" customHeight="1" x14ac:dyDescent="0.2">
      <c r="A121" s="406" t="s">
        <v>55</v>
      </c>
      <c r="B121" s="407" t="s">
        <v>39</v>
      </c>
      <c r="C121" s="406" t="s">
        <v>56</v>
      </c>
      <c r="D121" s="407" t="s">
        <v>271</v>
      </c>
      <c r="E121" s="407" t="s">
        <v>56</v>
      </c>
      <c r="F121" s="407" t="s">
        <v>271</v>
      </c>
      <c r="G121" s="406" t="s">
        <v>54</v>
      </c>
      <c r="H121" s="408" t="s">
        <v>1093</v>
      </c>
      <c r="I121" s="408" t="s">
        <v>1245</v>
      </c>
      <c r="J121" s="406" t="s">
        <v>443</v>
      </c>
      <c r="K121" s="406" t="s">
        <v>444</v>
      </c>
      <c r="L121" s="406" t="s">
        <v>445</v>
      </c>
      <c r="M121" s="406" t="s">
        <v>1688</v>
      </c>
      <c r="N121" s="452">
        <v>0</v>
      </c>
      <c r="O121" s="452">
        <v>0</v>
      </c>
      <c r="P121" s="452">
        <v>0</v>
      </c>
      <c r="Q121" s="452">
        <v>0</v>
      </c>
      <c r="R121" s="452">
        <v>0</v>
      </c>
      <c r="S121" s="452">
        <v>0</v>
      </c>
      <c r="T121" s="452">
        <v>0</v>
      </c>
      <c r="U121" s="409">
        <v>0</v>
      </c>
      <c r="V121" s="409"/>
      <c r="W121" s="409"/>
      <c r="X121" s="409">
        <v>52</v>
      </c>
      <c r="Y121" s="409"/>
      <c r="Z121" s="453">
        <f t="shared" si="47"/>
        <v>52</v>
      </c>
      <c r="AA121" s="452"/>
      <c r="AB121" s="452"/>
      <c r="AC121" s="452"/>
      <c r="AD121" s="452"/>
      <c r="AE121" s="452"/>
      <c r="AF121" s="452"/>
      <c r="AG121" s="452"/>
      <c r="AH121" s="409"/>
      <c r="AI121" s="409">
        <v>50</v>
      </c>
      <c r="AJ121" s="409">
        <v>100</v>
      </c>
      <c r="AK121" s="409">
        <v>48</v>
      </c>
      <c r="AL121" s="409"/>
      <c r="AM121" s="453">
        <f t="shared" si="34"/>
        <v>198</v>
      </c>
      <c r="AN121" s="452"/>
      <c r="AO121" s="452"/>
      <c r="AP121" s="452"/>
      <c r="AQ121" s="452"/>
      <c r="AR121" s="452"/>
      <c r="AS121" s="452"/>
      <c r="AT121" s="452"/>
      <c r="AU121" s="409"/>
      <c r="AV121" s="409"/>
      <c r="AW121" s="409"/>
      <c r="AX121" s="409"/>
      <c r="AY121" s="409"/>
      <c r="AZ121" s="453">
        <f t="shared" si="35"/>
        <v>0</v>
      </c>
      <c r="BA121" s="452"/>
      <c r="BB121" s="452"/>
      <c r="BC121" s="452"/>
      <c r="BD121" s="452"/>
      <c r="BE121" s="452"/>
      <c r="BF121" s="452"/>
      <c r="BG121" s="452"/>
      <c r="BH121" s="409"/>
      <c r="BI121" s="409"/>
      <c r="BJ121" s="409"/>
      <c r="BK121" s="409"/>
      <c r="BL121" s="409"/>
      <c r="BM121" s="453">
        <f t="shared" si="36"/>
        <v>0</v>
      </c>
      <c r="BN121" s="452"/>
      <c r="BO121" s="452"/>
      <c r="BP121" s="452"/>
      <c r="BQ121" s="452"/>
      <c r="BR121" s="452"/>
      <c r="BS121" s="452"/>
      <c r="BT121" s="452"/>
      <c r="BU121" s="409"/>
      <c r="BV121" s="409"/>
      <c r="BW121" s="409"/>
      <c r="BX121" s="409"/>
      <c r="BY121" s="409"/>
      <c r="BZ121" s="453">
        <f t="shared" si="37"/>
        <v>0</v>
      </c>
      <c r="CA121" s="454">
        <f t="shared" si="38"/>
        <v>250</v>
      </c>
      <c r="CB121" s="419"/>
      <c r="CC121" s="419">
        <v>1</v>
      </c>
      <c r="CD121" s="419">
        <v>1</v>
      </c>
      <c r="CE121" s="419">
        <v>1</v>
      </c>
      <c r="CF121" s="419">
        <v>1</v>
      </c>
      <c r="CG121" s="420">
        <f>IFERROR((FE121/Z121%),0)</f>
        <v>0</v>
      </c>
      <c r="CH121" s="420">
        <f>IFERROR((FK121/Z121%),0)</f>
        <v>98.07692307692308</v>
      </c>
      <c r="CI121" s="414" t="s">
        <v>70</v>
      </c>
      <c r="CJ121" s="422">
        <v>0</v>
      </c>
      <c r="CK121" s="422">
        <v>0</v>
      </c>
      <c r="CL121" s="422">
        <v>0</v>
      </c>
      <c r="CM121" s="422">
        <v>0</v>
      </c>
      <c r="CN121" s="423">
        <v>0</v>
      </c>
      <c r="CO121" s="423">
        <v>0</v>
      </c>
      <c r="CP121" s="423">
        <v>0</v>
      </c>
      <c r="CQ121" s="423">
        <v>0</v>
      </c>
      <c r="CR121" s="423">
        <v>0</v>
      </c>
      <c r="CS121" s="423">
        <v>4.1232416307214487E-3</v>
      </c>
      <c r="CT121" s="423">
        <v>7.4733754556826262E-3</v>
      </c>
      <c r="CU121" s="423">
        <v>1.8039182134406337E-3</v>
      </c>
      <c r="CV121" s="410">
        <f t="shared" si="50"/>
        <v>1.3400535299844708E-2</v>
      </c>
      <c r="CW121" s="422">
        <v>0</v>
      </c>
      <c r="CX121" s="422">
        <v>0</v>
      </c>
      <c r="CY121" s="422">
        <v>0</v>
      </c>
      <c r="CZ121" s="422">
        <v>0</v>
      </c>
      <c r="DA121" s="423">
        <v>0</v>
      </c>
      <c r="DB121" s="423">
        <v>0</v>
      </c>
      <c r="DC121" s="423">
        <v>0</v>
      </c>
      <c r="DD121" s="423">
        <v>0</v>
      </c>
      <c r="DE121" s="423">
        <v>7.0595701910853795E-3</v>
      </c>
      <c r="DF121" s="423">
        <v>1.4119140382170759E-2</v>
      </c>
      <c r="DG121" s="423">
        <v>6.7771873834419644E-3</v>
      </c>
      <c r="DH121" s="423">
        <v>0</v>
      </c>
      <c r="DI121" s="410">
        <f t="shared" si="51"/>
        <v>2.7955897956698103E-2</v>
      </c>
      <c r="DJ121" s="422">
        <v>0</v>
      </c>
      <c r="DK121" s="422">
        <v>0</v>
      </c>
      <c r="DL121" s="422">
        <v>0</v>
      </c>
      <c r="DM121" s="422">
        <v>0</v>
      </c>
      <c r="DN121" s="423">
        <v>0</v>
      </c>
      <c r="DO121" s="423">
        <v>0</v>
      </c>
      <c r="DP121" s="423">
        <v>0</v>
      </c>
      <c r="DQ121" s="423">
        <v>0</v>
      </c>
      <c r="DR121" s="423">
        <v>0</v>
      </c>
      <c r="DS121" s="423">
        <v>0</v>
      </c>
      <c r="DT121" s="423">
        <v>0</v>
      </c>
      <c r="DU121" s="423">
        <v>0</v>
      </c>
      <c r="DV121" s="410">
        <f t="shared" si="52"/>
        <v>0</v>
      </c>
      <c r="DW121" s="422">
        <v>0</v>
      </c>
      <c r="DX121" s="422">
        <v>0</v>
      </c>
      <c r="DY121" s="422">
        <v>0</v>
      </c>
      <c r="DZ121" s="422">
        <v>0</v>
      </c>
      <c r="EA121" s="423">
        <v>0</v>
      </c>
      <c r="EB121" s="423">
        <v>0</v>
      </c>
      <c r="EC121" s="423">
        <v>0</v>
      </c>
      <c r="ED121" s="423">
        <v>0</v>
      </c>
      <c r="EE121" s="423">
        <v>0</v>
      </c>
      <c r="EF121" s="423">
        <v>0</v>
      </c>
      <c r="EG121" s="423">
        <v>0</v>
      </c>
      <c r="EH121" s="423">
        <v>0</v>
      </c>
      <c r="EI121" s="410">
        <f t="shared" si="53"/>
        <v>0</v>
      </c>
      <c r="EJ121" s="422">
        <v>0</v>
      </c>
      <c r="EK121" s="422">
        <v>0</v>
      </c>
      <c r="EL121" s="422">
        <v>0</v>
      </c>
      <c r="EM121" s="422">
        <v>0</v>
      </c>
      <c r="EN121" s="423">
        <v>0</v>
      </c>
      <c r="EO121" s="423">
        <v>0</v>
      </c>
      <c r="EP121" s="423">
        <v>0</v>
      </c>
      <c r="EQ121" s="423">
        <v>0</v>
      </c>
      <c r="ER121" s="423">
        <v>0</v>
      </c>
      <c r="ES121" s="423">
        <v>0</v>
      </c>
      <c r="ET121" s="423">
        <v>0</v>
      </c>
      <c r="EU121" s="423">
        <v>0</v>
      </c>
      <c r="EV121" s="410">
        <f t="shared" si="54"/>
        <v>0</v>
      </c>
      <c r="EW121" s="416">
        <f t="shared" si="55"/>
        <v>4.1356433256542813E-2</v>
      </c>
      <c r="EX121" s="417">
        <f>IFERROR(VLOOKUP(H121,CEI_012018!$A$1:$U$509,9,FALSE),0)</f>
        <v>0</v>
      </c>
      <c r="EY121" s="417">
        <f>IFERROR(VLOOKUP(H121,CEI_022018!$A$1:$U$509,9,FALSE),0)</f>
        <v>0</v>
      </c>
      <c r="EZ121" s="417">
        <f>IFERROR(VLOOKUP(H121,CEI_032018!$A$1:$U$509,9,FALSE),0)</f>
        <v>0</v>
      </c>
      <c r="FA121" s="417">
        <f>IFERROR(VLOOKUP(H121,CEI_042018!$A$1:$U$491,9,FALSE),0)</f>
        <v>0</v>
      </c>
      <c r="FB121" s="417">
        <f>IFERROR(VLOOKUP(H121,CEI_052018!$A$1:$U$489,9,FALSE),0)</f>
        <v>0</v>
      </c>
      <c r="FC121" s="417">
        <f>IFERROR(VLOOKUP(H121,CEI_062018!$A$1:$U$489,9,FALSE),0)</f>
        <v>0</v>
      </c>
      <c r="FD121" s="417">
        <f>IFERROR(VLOOKUP(H121,CEI_072018!$A$1:$U$489,9,FALSE),0)</f>
        <v>0</v>
      </c>
      <c r="FE121" s="417">
        <f>IFERROR(VLOOKUP(H121,CEI_082018!$A$1:$U$489,9,FALSE),0)</f>
        <v>0</v>
      </c>
      <c r="FF121" s="417">
        <f>IFERROR(VLOOKUP(H121,CEI_092018!$A$1:$U$489,9,FALSE),0)</f>
        <v>0</v>
      </c>
      <c r="FG121" s="417"/>
      <c r="FH121" s="417"/>
      <c r="FI121" s="417"/>
      <c r="FJ121" s="418">
        <f>IFERROR(VLOOKUP(H121,CEI_092018!$A$1:$U$489,12,FALSE),0)</f>
        <v>51</v>
      </c>
      <c r="FK121" s="418">
        <f t="shared" si="56"/>
        <v>51</v>
      </c>
      <c r="FL121" s="418">
        <f t="shared" si="57"/>
        <v>1</v>
      </c>
      <c r="FM121" s="417"/>
      <c r="FN121" s="417"/>
      <c r="FO121" s="417"/>
      <c r="FP121" s="417"/>
      <c r="FQ121" s="417"/>
      <c r="FR121" s="417"/>
      <c r="FS121" s="417"/>
      <c r="FT121" s="417"/>
      <c r="FU121" s="417"/>
      <c r="FV121" s="417"/>
      <c r="FW121" s="417"/>
      <c r="FX121" s="417"/>
      <c r="FY121" s="418"/>
      <c r="FZ121" s="418"/>
      <c r="GA121" s="418"/>
      <c r="GB121" s="417"/>
      <c r="GC121" s="417"/>
      <c r="GD121" s="417"/>
      <c r="GE121" s="417"/>
      <c r="GF121" s="417"/>
      <c r="GG121" s="417"/>
      <c r="GH121" s="417"/>
      <c r="GI121" s="417"/>
      <c r="GJ121" s="417"/>
      <c r="GK121" s="417"/>
      <c r="GL121" s="417"/>
      <c r="GM121" s="417"/>
      <c r="GN121" s="418"/>
      <c r="GO121" s="418"/>
      <c r="GP121" s="418"/>
      <c r="GQ121" s="417"/>
      <c r="GR121" s="417"/>
      <c r="GS121" s="417"/>
      <c r="GT121" s="417"/>
      <c r="GU121" s="417"/>
      <c r="GV121" s="417"/>
      <c r="GW121" s="417"/>
      <c r="GX121" s="417"/>
      <c r="GY121" s="417"/>
      <c r="GZ121" s="417"/>
      <c r="HA121" s="417"/>
      <c r="HB121" s="417"/>
      <c r="HC121" s="418"/>
      <c r="HD121" s="418"/>
      <c r="HE121" s="418"/>
      <c r="HF121" s="417"/>
      <c r="HG121" s="417"/>
      <c r="HH121" s="417"/>
      <c r="HI121" s="417"/>
      <c r="HJ121" s="417"/>
      <c r="HK121" s="417"/>
      <c r="HL121" s="417"/>
      <c r="HM121" s="417"/>
      <c r="HN121" s="417"/>
      <c r="HO121" s="417"/>
      <c r="HP121" s="417"/>
      <c r="HQ121" s="417"/>
      <c r="HR121" s="418"/>
      <c r="HS121" s="418"/>
      <c r="HT121" s="418"/>
    </row>
    <row r="122" spans="1:228" s="387" customFormat="1" ht="12" customHeight="1" x14ac:dyDescent="0.2">
      <c r="A122" s="406" t="s">
        <v>55</v>
      </c>
      <c r="B122" s="407" t="s">
        <v>39</v>
      </c>
      <c r="C122" s="406" t="s">
        <v>56</v>
      </c>
      <c r="D122" s="407" t="s">
        <v>981</v>
      </c>
      <c r="E122" s="407" t="s">
        <v>56</v>
      </c>
      <c r="F122" s="407" t="s">
        <v>981</v>
      </c>
      <c r="G122" s="406" t="s">
        <v>54</v>
      </c>
      <c r="H122" s="408" t="s">
        <v>520</v>
      </c>
      <c r="I122" s="408"/>
      <c r="J122" s="406" t="s">
        <v>293</v>
      </c>
      <c r="K122" s="406" t="s">
        <v>573</v>
      </c>
      <c r="L122" s="406" t="s">
        <v>574</v>
      </c>
      <c r="M122" s="406" t="s">
        <v>1689</v>
      </c>
      <c r="N122" s="452">
        <v>0</v>
      </c>
      <c r="O122" s="452">
        <v>0</v>
      </c>
      <c r="P122" s="452">
        <v>0</v>
      </c>
      <c r="Q122" s="452">
        <v>0</v>
      </c>
      <c r="R122" s="452">
        <v>0</v>
      </c>
      <c r="S122" s="452">
        <v>0</v>
      </c>
      <c r="T122" s="452">
        <v>0</v>
      </c>
      <c r="U122" s="409">
        <v>0</v>
      </c>
      <c r="V122" s="409"/>
      <c r="W122" s="409"/>
      <c r="X122" s="409"/>
      <c r="Y122" s="409"/>
      <c r="Z122" s="453">
        <f t="shared" si="47"/>
        <v>0</v>
      </c>
      <c r="AA122" s="452"/>
      <c r="AB122" s="452"/>
      <c r="AC122" s="452"/>
      <c r="AD122" s="452"/>
      <c r="AE122" s="452"/>
      <c r="AF122" s="452"/>
      <c r="AG122" s="452"/>
      <c r="AH122" s="409"/>
      <c r="AI122" s="409"/>
      <c r="AJ122" s="409"/>
      <c r="AK122" s="409"/>
      <c r="AL122" s="409"/>
      <c r="AM122" s="453">
        <f t="shared" si="34"/>
        <v>0</v>
      </c>
      <c r="AN122" s="452"/>
      <c r="AO122" s="452"/>
      <c r="AP122" s="452"/>
      <c r="AQ122" s="452"/>
      <c r="AR122" s="452"/>
      <c r="AS122" s="452"/>
      <c r="AT122" s="452"/>
      <c r="AU122" s="409">
        <v>60</v>
      </c>
      <c r="AV122" s="409">
        <v>60</v>
      </c>
      <c r="AW122" s="409">
        <v>60</v>
      </c>
      <c r="AX122" s="409"/>
      <c r="AY122" s="409"/>
      <c r="AZ122" s="453">
        <f t="shared" si="35"/>
        <v>180</v>
      </c>
      <c r="BA122" s="452"/>
      <c r="BB122" s="452"/>
      <c r="BC122" s="452"/>
      <c r="BD122" s="452"/>
      <c r="BE122" s="452"/>
      <c r="BF122" s="452"/>
      <c r="BG122" s="452"/>
      <c r="BH122" s="409">
        <v>60</v>
      </c>
      <c r="BI122" s="409">
        <v>60</v>
      </c>
      <c r="BJ122" s="409">
        <v>60</v>
      </c>
      <c r="BK122" s="409"/>
      <c r="BL122" s="409"/>
      <c r="BM122" s="453">
        <f t="shared" si="36"/>
        <v>180</v>
      </c>
      <c r="BN122" s="452"/>
      <c r="BO122" s="452"/>
      <c r="BP122" s="452"/>
      <c r="BQ122" s="452"/>
      <c r="BR122" s="452"/>
      <c r="BS122" s="452"/>
      <c r="BT122" s="452"/>
      <c r="BU122" s="409">
        <v>60</v>
      </c>
      <c r="BV122" s="409">
        <v>60</v>
      </c>
      <c r="BW122" s="409">
        <v>60</v>
      </c>
      <c r="BX122" s="409"/>
      <c r="BY122" s="409"/>
      <c r="BZ122" s="453">
        <f t="shared" si="37"/>
        <v>180</v>
      </c>
      <c r="CA122" s="454">
        <f t="shared" si="38"/>
        <v>540</v>
      </c>
      <c r="CB122" s="411"/>
      <c r="CC122" s="411"/>
      <c r="CD122" s="411"/>
      <c r="CE122" s="411"/>
      <c r="CF122" s="411"/>
      <c r="CG122" s="412"/>
      <c r="CH122" s="413"/>
      <c r="CI122" s="414" t="s">
        <v>70</v>
      </c>
      <c r="CJ122" s="422">
        <v>0</v>
      </c>
      <c r="CK122" s="422">
        <v>0</v>
      </c>
      <c r="CL122" s="422">
        <v>0</v>
      </c>
      <c r="CM122" s="422">
        <v>0</v>
      </c>
      <c r="CN122" s="423">
        <v>0</v>
      </c>
      <c r="CO122" s="423">
        <v>0</v>
      </c>
      <c r="CP122" s="423">
        <v>0</v>
      </c>
      <c r="CQ122" s="423">
        <v>0</v>
      </c>
      <c r="CR122" s="423">
        <v>0</v>
      </c>
      <c r="CS122" s="423">
        <v>0</v>
      </c>
      <c r="CT122" s="423">
        <v>0</v>
      </c>
      <c r="CU122" s="423">
        <v>0</v>
      </c>
      <c r="CV122" s="410">
        <f t="shared" si="50"/>
        <v>0</v>
      </c>
      <c r="CW122" s="422">
        <v>0</v>
      </c>
      <c r="CX122" s="422">
        <v>0</v>
      </c>
      <c r="CY122" s="422">
        <v>0</v>
      </c>
      <c r="CZ122" s="422">
        <v>0</v>
      </c>
      <c r="DA122" s="423">
        <v>0</v>
      </c>
      <c r="DB122" s="423">
        <v>0</v>
      </c>
      <c r="DC122" s="423">
        <v>0</v>
      </c>
      <c r="DD122" s="423">
        <v>0</v>
      </c>
      <c r="DE122" s="423">
        <v>0</v>
      </c>
      <c r="DF122" s="423">
        <v>0</v>
      </c>
      <c r="DG122" s="423">
        <v>0</v>
      </c>
      <c r="DH122" s="423">
        <v>0</v>
      </c>
      <c r="DI122" s="410">
        <f t="shared" si="51"/>
        <v>0</v>
      </c>
      <c r="DJ122" s="422">
        <v>0</v>
      </c>
      <c r="DK122" s="422">
        <v>0</v>
      </c>
      <c r="DL122" s="422">
        <v>0</v>
      </c>
      <c r="DM122" s="422">
        <v>0</v>
      </c>
      <c r="DN122" s="423">
        <v>0</v>
      </c>
      <c r="DO122" s="423">
        <v>0</v>
      </c>
      <c r="DP122" s="423">
        <v>0</v>
      </c>
      <c r="DQ122" s="423">
        <v>6.8381875250664321E-3</v>
      </c>
      <c r="DR122" s="423">
        <v>6.8381875250664321E-3</v>
      </c>
      <c r="DS122" s="423">
        <v>6.8381875250664321E-3</v>
      </c>
      <c r="DT122" s="423">
        <v>0</v>
      </c>
      <c r="DU122" s="423">
        <v>0</v>
      </c>
      <c r="DV122" s="410">
        <f t="shared" si="52"/>
        <v>2.0514562575199298E-2</v>
      </c>
      <c r="DW122" s="422">
        <v>0</v>
      </c>
      <c r="DX122" s="422">
        <v>0</v>
      </c>
      <c r="DY122" s="422">
        <v>0</v>
      </c>
      <c r="DZ122" s="422">
        <v>0</v>
      </c>
      <c r="EA122" s="423">
        <v>0</v>
      </c>
      <c r="EB122" s="423">
        <v>0</v>
      </c>
      <c r="EC122" s="423">
        <v>0</v>
      </c>
      <c r="ED122" s="423">
        <v>7.1417399706760155E-3</v>
      </c>
      <c r="EE122" s="423">
        <v>7.1417399706760155E-3</v>
      </c>
      <c r="EF122" s="423">
        <v>7.1417399706760155E-3</v>
      </c>
      <c r="EG122" s="423">
        <v>0</v>
      </c>
      <c r="EH122" s="423">
        <v>0</v>
      </c>
      <c r="EI122" s="410">
        <f t="shared" si="53"/>
        <v>2.1425219912028046E-2</v>
      </c>
      <c r="EJ122" s="422">
        <v>0</v>
      </c>
      <c r="EK122" s="422">
        <v>0</v>
      </c>
      <c r="EL122" s="422">
        <v>0</v>
      </c>
      <c r="EM122" s="422">
        <v>0</v>
      </c>
      <c r="EN122" s="423">
        <v>0</v>
      </c>
      <c r="EO122" s="423">
        <v>0</v>
      </c>
      <c r="EP122" s="423">
        <v>0</v>
      </c>
      <c r="EQ122" s="423">
        <v>1.2481797378822551E-2</v>
      </c>
      <c r="ER122" s="423">
        <v>1.2481797378822551E-2</v>
      </c>
      <c r="ES122" s="423">
        <v>1.2481797378822551E-2</v>
      </c>
      <c r="ET122" s="423">
        <v>0</v>
      </c>
      <c r="EU122" s="423">
        <v>0</v>
      </c>
      <c r="EV122" s="410">
        <f t="shared" si="54"/>
        <v>3.7445392136467651E-2</v>
      </c>
      <c r="EW122" s="416">
        <f t="shared" si="55"/>
        <v>7.9385174623694987E-2</v>
      </c>
      <c r="EX122" s="417">
        <f>IFERROR(VLOOKUP(H122,CEI_012018!$A$1:$U$509,9,FALSE),0)</f>
        <v>0</v>
      </c>
      <c r="EY122" s="417">
        <f>IFERROR(VLOOKUP(H122,CEI_022018!$A$1:$U$509,9,FALSE),0)</f>
        <v>0</v>
      </c>
      <c r="EZ122" s="417">
        <f>IFERROR(VLOOKUP(H122,CEI_032018!$A$1:$U$509,9,FALSE),0)</f>
        <v>0</v>
      </c>
      <c r="FA122" s="417">
        <f>IFERROR(VLOOKUP(H122,CEI_042018!$A$1:$U$491,9,FALSE),0)</f>
        <v>0</v>
      </c>
      <c r="FB122" s="417">
        <f>IFERROR(VLOOKUP(H122,CEI_052018!$A$1:$U$489,9,FALSE),0)</f>
        <v>0</v>
      </c>
      <c r="FC122" s="417">
        <f>IFERROR(VLOOKUP(H122,CEI_062018!$A$1:$U$489,9,FALSE),0)</f>
        <v>0</v>
      </c>
      <c r="FD122" s="417">
        <f>IFERROR(VLOOKUP(H122,CEI_072018!$A$1:$U$489,9,FALSE),0)</f>
        <v>0</v>
      </c>
      <c r="FE122" s="417">
        <f>IFERROR(VLOOKUP(H122,CEI_082018!$A$1:$U$489,9,FALSE),0)</f>
        <v>0</v>
      </c>
      <c r="FF122" s="417">
        <f>IFERROR(VLOOKUP(H122,CEI_092018!$A$1:$U$489,9,FALSE),0)</f>
        <v>0</v>
      </c>
      <c r="FG122" s="417"/>
      <c r="FH122" s="417"/>
      <c r="FI122" s="417"/>
      <c r="FJ122" s="418">
        <f>IFERROR(VLOOKUP(H122,CEI_092018!$A$1:$U$489,12,FALSE),0)</f>
        <v>0</v>
      </c>
      <c r="FK122" s="418">
        <f t="shared" si="56"/>
        <v>0</v>
      </c>
      <c r="FL122" s="418">
        <f t="shared" si="57"/>
        <v>0</v>
      </c>
      <c r="FM122" s="417"/>
      <c r="FN122" s="417"/>
      <c r="FO122" s="417"/>
      <c r="FP122" s="417"/>
      <c r="FQ122" s="417"/>
      <c r="FR122" s="417"/>
      <c r="FS122" s="417"/>
      <c r="FT122" s="417"/>
      <c r="FU122" s="417"/>
      <c r="FV122" s="417"/>
      <c r="FW122" s="417"/>
      <c r="FX122" s="417"/>
      <c r="FY122" s="418"/>
      <c r="FZ122" s="418"/>
      <c r="GA122" s="418"/>
      <c r="GB122" s="417"/>
      <c r="GC122" s="417"/>
      <c r="GD122" s="417"/>
      <c r="GE122" s="417"/>
      <c r="GF122" s="417"/>
      <c r="GG122" s="417"/>
      <c r="GH122" s="417"/>
      <c r="GI122" s="417"/>
      <c r="GJ122" s="417"/>
      <c r="GK122" s="417"/>
      <c r="GL122" s="417"/>
      <c r="GM122" s="417"/>
      <c r="GN122" s="418"/>
      <c r="GO122" s="418"/>
      <c r="GP122" s="418"/>
      <c r="GQ122" s="417"/>
      <c r="GR122" s="417"/>
      <c r="GS122" s="417"/>
      <c r="GT122" s="417"/>
      <c r="GU122" s="417"/>
      <c r="GV122" s="417"/>
      <c r="GW122" s="417"/>
      <c r="GX122" s="417"/>
      <c r="GY122" s="417"/>
      <c r="GZ122" s="417"/>
      <c r="HA122" s="417"/>
      <c r="HB122" s="417"/>
      <c r="HC122" s="418"/>
      <c r="HD122" s="418"/>
      <c r="HE122" s="418"/>
      <c r="HF122" s="417"/>
      <c r="HG122" s="417"/>
      <c r="HH122" s="417"/>
      <c r="HI122" s="417"/>
      <c r="HJ122" s="417"/>
      <c r="HK122" s="417"/>
      <c r="HL122" s="417"/>
      <c r="HM122" s="417"/>
      <c r="HN122" s="417"/>
      <c r="HO122" s="417"/>
      <c r="HP122" s="417"/>
      <c r="HQ122" s="417"/>
      <c r="HR122" s="418"/>
      <c r="HS122" s="418"/>
      <c r="HT122" s="418"/>
    </row>
    <row r="123" spans="1:228" s="387" customFormat="1" ht="12.95" customHeight="1" x14ac:dyDescent="0.2">
      <c r="A123" s="406" t="s">
        <v>55</v>
      </c>
      <c r="B123" s="407" t="s">
        <v>39</v>
      </c>
      <c r="C123" s="406" t="s">
        <v>56</v>
      </c>
      <c r="D123" s="407" t="s">
        <v>981</v>
      </c>
      <c r="E123" s="407" t="s">
        <v>56</v>
      </c>
      <c r="F123" s="407" t="s">
        <v>981</v>
      </c>
      <c r="G123" s="406" t="s">
        <v>54</v>
      </c>
      <c r="H123" s="408" t="s">
        <v>520</v>
      </c>
      <c r="I123" s="408"/>
      <c r="J123" s="406" t="s">
        <v>790</v>
      </c>
      <c r="K123" s="406" t="s">
        <v>791</v>
      </c>
      <c r="L123" s="406" t="s">
        <v>792</v>
      </c>
      <c r="M123" s="406" t="s">
        <v>1692</v>
      </c>
      <c r="N123" s="452">
        <v>0</v>
      </c>
      <c r="O123" s="452">
        <v>0</v>
      </c>
      <c r="P123" s="452">
        <v>0</v>
      </c>
      <c r="Q123" s="452">
        <v>0</v>
      </c>
      <c r="R123" s="452">
        <v>0</v>
      </c>
      <c r="S123" s="452">
        <v>0</v>
      </c>
      <c r="T123" s="452">
        <v>0</v>
      </c>
      <c r="U123" s="409">
        <v>0</v>
      </c>
      <c r="V123" s="409"/>
      <c r="W123" s="409">
        <v>0</v>
      </c>
      <c r="X123" s="409">
        <v>0</v>
      </c>
      <c r="Y123" s="409"/>
      <c r="Z123" s="453">
        <f t="shared" si="47"/>
        <v>0</v>
      </c>
      <c r="AA123" s="452"/>
      <c r="AB123" s="452"/>
      <c r="AC123" s="452"/>
      <c r="AD123" s="452"/>
      <c r="AE123" s="452"/>
      <c r="AF123" s="452">
        <v>60</v>
      </c>
      <c r="AG123" s="452"/>
      <c r="AH123" s="409"/>
      <c r="AI123" s="409"/>
      <c r="AJ123" s="409"/>
      <c r="AK123" s="409"/>
      <c r="AL123" s="409"/>
      <c r="AM123" s="453">
        <f t="shared" si="34"/>
        <v>60</v>
      </c>
      <c r="AN123" s="452"/>
      <c r="AO123" s="452"/>
      <c r="AP123" s="452"/>
      <c r="AQ123" s="452"/>
      <c r="AR123" s="452"/>
      <c r="AS123" s="452"/>
      <c r="AT123" s="452">
        <v>60</v>
      </c>
      <c r="AU123" s="409"/>
      <c r="AV123" s="409"/>
      <c r="AW123" s="409"/>
      <c r="AX123" s="409"/>
      <c r="AY123" s="409"/>
      <c r="AZ123" s="453">
        <f t="shared" si="35"/>
        <v>60</v>
      </c>
      <c r="BA123" s="452"/>
      <c r="BB123" s="452"/>
      <c r="BC123" s="452"/>
      <c r="BD123" s="452"/>
      <c r="BE123" s="452"/>
      <c r="BF123" s="452">
        <v>60</v>
      </c>
      <c r="BG123" s="452"/>
      <c r="BH123" s="409"/>
      <c r="BI123" s="409"/>
      <c r="BJ123" s="409"/>
      <c r="BK123" s="409"/>
      <c r="BL123" s="409"/>
      <c r="BM123" s="453">
        <f t="shared" si="36"/>
        <v>60</v>
      </c>
      <c r="BN123" s="452"/>
      <c r="BO123" s="452"/>
      <c r="BP123" s="452"/>
      <c r="BQ123" s="452"/>
      <c r="BR123" s="452"/>
      <c r="BS123" s="452"/>
      <c r="BT123" s="452"/>
      <c r="BU123" s="409"/>
      <c r="BV123" s="409"/>
      <c r="BW123" s="409"/>
      <c r="BX123" s="409"/>
      <c r="BY123" s="409">
        <v>15</v>
      </c>
      <c r="BZ123" s="453">
        <f t="shared" si="37"/>
        <v>15</v>
      </c>
      <c r="CA123" s="454">
        <f t="shared" si="38"/>
        <v>195</v>
      </c>
      <c r="CB123" s="411"/>
      <c r="CC123" s="411"/>
      <c r="CD123" s="411"/>
      <c r="CE123" s="411"/>
      <c r="CF123" s="411"/>
      <c r="CG123" s="412"/>
      <c r="CH123" s="413"/>
      <c r="CI123" s="414" t="s">
        <v>793</v>
      </c>
      <c r="CJ123" s="423"/>
      <c r="CK123" s="423"/>
      <c r="CL123" s="423"/>
      <c r="CM123" s="423"/>
      <c r="CN123" s="423"/>
      <c r="CO123" s="423"/>
      <c r="CP123" s="423"/>
      <c r="CQ123" s="423"/>
      <c r="CR123" s="423"/>
      <c r="CS123" s="423"/>
      <c r="CT123" s="423">
        <v>1</v>
      </c>
      <c r="CU123" s="423"/>
      <c r="CV123" s="410">
        <f t="shared" si="50"/>
        <v>1</v>
      </c>
      <c r="CW123" s="423"/>
      <c r="CX123" s="423"/>
      <c r="CY123" s="423"/>
      <c r="CZ123" s="423"/>
      <c r="DA123" s="423"/>
      <c r="DB123" s="423"/>
      <c r="DC123" s="423">
        <v>1</v>
      </c>
      <c r="DD123" s="423"/>
      <c r="DE123" s="423"/>
      <c r="DF123" s="423"/>
      <c r="DG123" s="423"/>
      <c r="DH123" s="423"/>
      <c r="DI123" s="410">
        <f t="shared" si="51"/>
        <v>1</v>
      </c>
      <c r="DJ123" s="423"/>
      <c r="DK123" s="423"/>
      <c r="DL123" s="423"/>
      <c r="DM123" s="423"/>
      <c r="DN123" s="423"/>
      <c r="DO123" s="423"/>
      <c r="DP123" s="423">
        <v>1</v>
      </c>
      <c r="DQ123" s="423"/>
      <c r="DR123" s="423"/>
      <c r="DS123" s="423"/>
      <c r="DT123" s="423"/>
      <c r="DU123" s="423"/>
      <c r="DV123" s="410">
        <f t="shared" si="52"/>
        <v>1</v>
      </c>
      <c r="DW123" s="423"/>
      <c r="DX123" s="423"/>
      <c r="DY123" s="423"/>
      <c r="DZ123" s="423"/>
      <c r="EA123" s="423"/>
      <c r="EB123" s="423">
        <v>1</v>
      </c>
      <c r="EC123" s="423"/>
      <c r="ED123" s="423"/>
      <c r="EE123" s="423"/>
      <c r="EF123" s="423"/>
      <c r="EG123" s="423"/>
      <c r="EH123" s="423"/>
      <c r="EI123" s="410">
        <f t="shared" si="53"/>
        <v>1</v>
      </c>
      <c r="EJ123" s="423"/>
      <c r="EK123" s="423"/>
      <c r="EL123" s="423"/>
      <c r="EM123" s="423"/>
      <c r="EN123" s="423"/>
      <c r="EO123" s="423"/>
      <c r="EP123" s="423"/>
      <c r="EQ123" s="423"/>
      <c r="ER123" s="423"/>
      <c r="ES123" s="423"/>
      <c r="ET123" s="423"/>
      <c r="EU123" s="423"/>
      <c r="EV123" s="410">
        <f t="shared" si="54"/>
        <v>0</v>
      </c>
      <c r="EW123" s="416">
        <f t="shared" si="55"/>
        <v>4</v>
      </c>
      <c r="EX123" s="417">
        <f>IFERROR(VLOOKUP(H123,CEI_012018!$A$1:$U$509,9,FALSE),0)</f>
        <v>0</v>
      </c>
      <c r="EY123" s="417">
        <f>IFERROR(VLOOKUP(H123,CEI_022018!$A$1:$U$509,9,FALSE),0)</f>
        <v>0</v>
      </c>
      <c r="EZ123" s="417">
        <f>IFERROR(VLOOKUP(H123,CEI_032018!$A$1:$U$509,9,FALSE),0)</f>
        <v>0</v>
      </c>
      <c r="FA123" s="417">
        <f>IFERROR(VLOOKUP(H123,CEI_042018!$A$1:$U$491,9,FALSE),0)</f>
        <v>0</v>
      </c>
      <c r="FB123" s="417">
        <f>IFERROR(VLOOKUP(H123,CEI_052018!$A$1:$U$489,9,FALSE),0)</f>
        <v>0</v>
      </c>
      <c r="FC123" s="417">
        <f>IFERROR(VLOOKUP(H123,CEI_062018!$A$1:$U$489,9,FALSE),0)</f>
        <v>0</v>
      </c>
      <c r="FD123" s="417">
        <f>IFERROR(VLOOKUP(H123,CEI_072018!$A$1:$U$489,9,FALSE),0)</f>
        <v>0</v>
      </c>
      <c r="FE123" s="417">
        <f>IFERROR(VLOOKUP(H123,CEI_082018!$A$1:$U$489,9,FALSE),0)</f>
        <v>0</v>
      </c>
      <c r="FF123" s="417">
        <f>IFERROR(VLOOKUP(H123,CEI_092018!$A$1:$U$489,9,FALSE),0)</f>
        <v>0</v>
      </c>
      <c r="FG123" s="417"/>
      <c r="FH123" s="417"/>
      <c r="FI123" s="417"/>
      <c r="FJ123" s="418">
        <f>IFERROR(VLOOKUP(H123,CEI_092018!$A$1:$U$489,12,FALSE),0)</f>
        <v>0</v>
      </c>
      <c r="FK123" s="418">
        <f t="shared" si="56"/>
        <v>0</v>
      </c>
      <c r="FL123" s="418">
        <f t="shared" si="57"/>
        <v>0</v>
      </c>
      <c r="FM123" s="417"/>
      <c r="FN123" s="417"/>
      <c r="FO123" s="417"/>
      <c r="FP123" s="417"/>
      <c r="FQ123" s="417"/>
      <c r="FR123" s="417"/>
      <c r="FS123" s="417"/>
      <c r="FT123" s="417"/>
      <c r="FU123" s="417"/>
      <c r="FV123" s="417"/>
      <c r="FW123" s="417"/>
      <c r="FX123" s="417"/>
      <c r="FY123" s="418"/>
      <c r="FZ123" s="418"/>
      <c r="GA123" s="418"/>
      <c r="GB123" s="417"/>
      <c r="GC123" s="417"/>
      <c r="GD123" s="417"/>
      <c r="GE123" s="417"/>
      <c r="GF123" s="417"/>
      <c r="GG123" s="417"/>
      <c r="GH123" s="417"/>
      <c r="GI123" s="417"/>
      <c r="GJ123" s="417"/>
      <c r="GK123" s="417"/>
      <c r="GL123" s="417"/>
      <c r="GM123" s="417"/>
      <c r="GN123" s="418"/>
      <c r="GO123" s="418"/>
      <c r="GP123" s="418"/>
      <c r="GQ123" s="417"/>
      <c r="GR123" s="417"/>
      <c r="GS123" s="417"/>
      <c r="GT123" s="417"/>
      <c r="GU123" s="417"/>
      <c r="GV123" s="417"/>
      <c r="GW123" s="417"/>
      <c r="GX123" s="417"/>
      <c r="GY123" s="417"/>
      <c r="GZ123" s="417"/>
      <c r="HA123" s="417"/>
      <c r="HB123" s="417"/>
      <c r="HC123" s="418"/>
      <c r="HD123" s="418"/>
      <c r="HE123" s="418"/>
      <c r="HF123" s="417"/>
      <c r="HG123" s="417"/>
      <c r="HH123" s="417"/>
      <c r="HI123" s="417"/>
      <c r="HJ123" s="417"/>
      <c r="HK123" s="417"/>
      <c r="HL123" s="417"/>
      <c r="HM123" s="417"/>
      <c r="HN123" s="417"/>
      <c r="HO123" s="417"/>
      <c r="HP123" s="417"/>
      <c r="HQ123" s="417"/>
      <c r="HR123" s="418"/>
      <c r="HS123" s="418"/>
      <c r="HT123" s="418"/>
    </row>
    <row r="124" spans="1:228" s="387" customFormat="1" ht="12.75" customHeight="1" x14ac:dyDescent="0.2">
      <c r="A124" s="406" t="s">
        <v>55</v>
      </c>
      <c r="B124" s="407" t="s">
        <v>39</v>
      </c>
      <c r="C124" s="406" t="s">
        <v>56</v>
      </c>
      <c r="D124" s="407" t="s">
        <v>271</v>
      </c>
      <c r="E124" s="407" t="s">
        <v>56</v>
      </c>
      <c r="F124" s="407" t="s">
        <v>271</v>
      </c>
      <c r="G124" s="406" t="s">
        <v>54</v>
      </c>
      <c r="H124" s="408" t="s">
        <v>1893</v>
      </c>
      <c r="I124" s="408" t="s">
        <v>1894</v>
      </c>
      <c r="J124" s="406" t="s">
        <v>439</v>
      </c>
      <c r="K124" s="406" t="s">
        <v>440</v>
      </c>
      <c r="L124" s="406" t="s">
        <v>441</v>
      </c>
      <c r="M124" s="406"/>
      <c r="N124" s="452">
        <v>0</v>
      </c>
      <c r="O124" s="452">
        <v>0</v>
      </c>
      <c r="P124" s="452">
        <v>0</v>
      </c>
      <c r="Q124" s="452">
        <v>0</v>
      </c>
      <c r="R124" s="452">
        <v>0</v>
      </c>
      <c r="S124" s="452">
        <v>0</v>
      </c>
      <c r="T124" s="452">
        <v>0</v>
      </c>
      <c r="U124" s="409">
        <v>0</v>
      </c>
      <c r="V124" s="409"/>
      <c r="W124" s="409"/>
      <c r="X124" s="409"/>
      <c r="Y124" s="409">
        <v>40</v>
      </c>
      <c r="Z124" s="453">
        <f t="shared" si="47"/>
        <v>40</v>
      </c>
      <c r="AA124" s="452"/>
      <c r="AB124" s="452"/>
      <c r="AC124" s="452"/>
      <c r="AD124" s="452"/>
      <c r="AE124" s="452"/>
      <c r="AF124" s="452"/>
      <c r="AG124" s="452"/>
      <c r="AH124" s="409"/>
      <c r="AI124" s="409"/>
      <c r="AJ124" s="409"/>
      <c r="AK124" s="409"/>
      <c r="AL124" s="409">
        <v>120</v>
      </c>
      <c r="AM124" s="453">
        <f t="shared" si="34"/>
        <v>120</v>
      </c>
      <c r="AN124" s="452"/>
      <c r="AO124" s="452"/>
      <c r="AP124" s="452"/>
      <c r="AQ124" s="452"/>
      <c r="AR124" s="452"/>
      <c r="AS124" s="452"/>
      <c r="AT124" s="452"/>
      <c r="AU124" s="409">
        <f>14+31.5</f>
        <v>45.5</v>
      </c>
      <c r="AV124" s="409"/>
      <c r="AW124" s="409"/>
      <c r="AX124" s="409"/>
      <c r="AY124" s="409"/>
      <c r="AZ124" s="453">
        <f t="shared" si="35"/>
        <v>45.5</v>
      </c>
      <c r="BA124" s="452"/>
      <c r="BB124" s="452"/>
      <c r="BC124" s="452"/>
      <c r="BD124" s="452"/>
      <c r="BE124" s="452"/>
      <c r="BF124" s="452"/>
      <c r="BG124" s="452"/>
      <c r="BH124" s="409">
        <v>39</v>
      </c>
      <c r="BI124" s="409"/>
      <c r="BJ124" s="409"/>
      <c r="BK124" s="409"/>
      <c r="BL124" s="409"/>
      <c r="BM124" s="453">
        <f t="shared" si="36"/>
        <v>39</v>
      </c>
      <c r="BN124" s="452"/>
      <c r="BO124" s="452"/>
      <c r="BP124" s="452"/>
      <c r="BQ124" s="452"/>
      <c r="BR124" s="452"/>
      <c r="BS124" s="452"/>
      <c r="BT124" s="452"/>
      <c r="BU124" s="409">
        <v>39.540319137769984</v>
      </c>
      <c r="BV124" s="409"/>
      <c r="BW124" s="409"/>
      <c r="BX124" s="409"/>
      <c r="BY124" s="409"/>
      <c r="BZ124" s="453">
        <f t="shared" si="37"/>
        <v>39.540319137769984</v>
      </c>
      <c r="CA124" s="454">
        <f t="shared" si="38"/>
        <v>284.04031913776998</v>
      </c>
      <c r="CB124" s="419"/>
      <c r="CC124" s="419">
        <v>1</v>
      </c>
      <c r="CD124" s="419">
        <v>1</v>
      </c>
      <c r="CE124" s="419">
        <v>1</v>
      </c>
      <c r="CF124" s="419">
        <v>-1</v>
      </c>
      <c r="CG124" s="420">
        <f>IFERROR((FE124/Z124%),0)</f>
        <v>0</v>
      </c>
      <c r="CH124" s="420">
        <f>IFERROR((FK124/Z124%),0)</f>
        <v>93.839998245239258</v>
      </c>
      <c r="CI124" s="414" t="s">
        <v>71</v>
      </c>
      <c r="CJ124" s="415"/>
      <c r="CK124" s="415"/>
      <c r="CL124" s="415"/>
      <c r="CM124" s="415"/>
      <c r="CN124" s="415"/>
      <c r="CO124" s="415"/>
      <c r="CP124" s="415"/>
      <c r="CQ124" s="415">
        <v>4</v>
      </c>
      <c r="CR124" s="415"/>
      <c r="CS124" s="415"/>
      <c r="CT124" s="415"/>
      <c r="CU124" s="415">
        <v>1</v>
      </c>
      <c r="CV124" s="410">
        <f t="shared" si="50"/>
        <v>5</v>
      </c>
      <c r="CW124" s="415"/>
      <c r="CX124" s="415"/>
      <c r="CY124" s="415"/>
      <c r="CZ124" s="415"/>
      <c r="DA124" s="415"/>
      <c r="DB124" s="415"/>
      <c r="DC124" s="415"/>
      <c r="DD124" s="415"/>
      <c r="DE124" s="415"/>
      <c r="DF124" s="415"/>
      <c r="DG124" s="415"/>
      <c r="DH124" s="415"/>
      <c r="DI124" s="410">
        <f t="shared" si="51"/>
        <v>0</v>
      </c>
      <c r="DJ124" s="415"/>
      <c r="DK124" s="415"/>
      <c r="DL124" s="415"/>
      <c r="DM124" s="415"/>
      <c r="DN124" s="415"/>
      <c r="DO124" s="415">
        <v>4</v>
      </c>
      <c r="DP124" s="415"/>
      <c r="DQ124" s="415"/>
      <c r="DR124" s="415"/>
      <c r="DS124" s="415"/>
      <c r="DT124" s="415"/>
      <c r="DU124" s="415"/>
      <c r="DV124" s="410">
        <f t="shared" si="52"/>
        <v>4</v>
      </c>
      <c r="DW124" s="415"/>
      <c r="DX124" s="415"/>
      <c r="DY124" s="415"/>
      <c r="DZ124" s="415"/>
      <c r="EA124" s="415"/>
      <c r="EB124" s="415"/>
      <c r="EC124" s="415">
        <v>20</v>
      </c>
      <c r="ED124" s="415"/>
      <c r="EE124" s="415"/>
      <c r="EF124" s="415"/>
      <c r="EG124" s="415"/>
      <c r="EH124" s="415"/>
      <c r="EI124" s="410">
        <f t="shared" si="53"/>
        <v>20</v>
      </c>
      <c r="EJ124" s="415"/>
      <c r="EK124" s="415"/>
      <c r="EL124" s="415"/>
      <c r="EM124" s="415"/>
      <c r="EN124" s="415"/>
      <c r="EO124" s="415"/>
      <c r="EP124" s="415"/>
      <c r="EQ124" s="415">
        <v>20</v>
      </c>
      <c r="ER124" s="415"/>
      <c r="ES124" s="415"/>
      <c r="ET124" s="415"/>
      <c r="EU124" s="415"/>
      <c r="EV124" s="410">
        <f t="shared" si="54"/>
        <v>20</v>
      </c>
      <c r="EW124" s="416">
        <f t="shared" si="55"/>
        <v>49</v>
      </c>
      <c r="EX124" s="417">
        <f>IFERROR(VLOOKUP(H124,CEI_012018!$A$1:$U$509,9,FALSE),0)</f>
        <v>0</v>
      </c>
      <c r="EY124" s="417">
        <f>IFERROR(VLOOKUP(H124,CEI_022018!$A$1:$U$509,9,FALSE),0)</f>
        <v>0</v>
      </c>
      <c r="EZ124" s="417">
        <f>IFERROR(VLOOKUP(H124,CEI_032018!$A$1:$U$509,9,FALSE),0)</f>
        <v>0</v>
      </c>
      <c r="FA124" s="417">
        <f>IFERROR(VLOOKUP(H124,CEI_042018!$A$1:$U$491,9,FALSE),0)</f>
        <v>0</v>
      </c>
      <c r="FB124" s="417">
        <f>IFERROR(VLOOKUP(H124,CEI_052018!$A$1:$U$489,9,FALSE),0)</f>
        <v>0</v>
      </c>
      <c r="FC124" s="417">
        <f>IFERROR(VLOOKUP(H124,CEI_062018!$A$1:$U$489,9,FALSE),0)</f>
        <v>0</v>
      </c>
      <c r="FD124" s="417">
        <f>IFERROR(VLOOKUP(H124,CEI_072018!$A$1:$U$489,9,FALSE),0)</f>
        <v>0</v>
      </c>
      <c r="FE124" s="417">
        <f>IFERROR(VLOOKUP(H124,CEI_082018!$A$1:$U$489,9,FALSE),0)</f>
        <v>0</v>
      </c>
      <c r="FF124" s="417">
        <f>IFERROR(VLOOKUP(H124,CEI_092018!$A$1:$U$489,9,FALSE),0)</f>
        <v>0</v>
      </c>
      <c r="FG124" s="417"/>
      <c r="FH124" s="417"/>
      <c r="FI124" s="417"/>
      <c r="FJ124" s="418">
        <f>IFERROR(VLOOKUP(H124,CEI_092018!$A$1:$U$489,12,FALSE),0)</f>
        <v>37.535999298095703</v>
      </c>
      <c r="FK124" s="418">
        <f t="shared" si="56"/>
        <v>37.535999298095703</v>
      </c>
      <c r="FL124" s="418">
        <f t="shared" si="57"/>
        <v>2.4640007019042969</v>
      </c>
      <c r="FM124" s="417"/>
      <c r="FN124" s="417"/>
      <c r="FO124" s="417"/>
      <c r="FP124" s="417"/>
      <c r="FQ124" s="417"/>
      <c r="FR124" s="417"/>
      <c r="FS124" s="417"/>
      <c r="FT124" s="417"/>
      <c r="FU124" s="417"/>
      <c r="FV124" s="417"/>
      <c r="FW124" s="417"/>
      <c r="FX124" s="417"/>
      <c r="FY124" s="418"/>
      <c r="FZ124" s="418"/>
      <c r="GA124" s="418"/>
      <c r="GB124" s="417"/>
      <c r="GC124" s="417"/>
      <c r="GD124" s="417"/>
      <c r="GE124" s="417"/>
      <c r="GF124" s="417"/>
      <c r="GG124" s="417"/>
      <c r="GH124" s="417"/>
      <c r="GI124" s="417"/>
      <c r="GJ124" s="417"/>
      <c r="GK124" s="417"/>
      <c r="GL124" s="417"/>
      <c r="GM124" s="417"/>
      <c r="GN124" s="418"/>
      <c r="GO124" s="418"/>
      <c r="GP124" s="418"/>
      <c r="GQ124" s="417"/>
      <c r="GR124" s="417"/>
      <c r="GS124" s="417"/>
      <c r="GT124" s="417"/>
      <c r="GU124" s="417"/>
      <c r="GV124" s="417"/>
      <c r="GW124" s="417"/>
      <c r="GX124" s="417"/>
      <c r="GY124" s="417"/>
      <c r="GZ124" s="417"/>
      <c r="HA124" s="417"/>
      <c r="HB124" s="417"/>
      <c r="HC124" s="418"/>
      <c r="HD124" s="418"/>
      <c r="HE124" s="418"/>
      <c r="HF124" s="417"/>
      <c r="HG124" s="417"/>
      <c r="HH124" s="417"/>
      <c r="HI124" s="417"/>
      <c r="HJ124" s="417"/>
      <c r="HK124" s="417"/>
      <c r="HL124" s="417"/>
      <c r="HM124" s="417"/>
      <c r="HN124" s="417"/>
      <c r="HO124" s="417"/>
      <c r="HP124" s="417"/>
      <c r="HQ124" s="417"/>
      <c r="HR124" s="418"/>
      <c r="HS124" s="418"/>
      <c r="HT124" s="418"/>
    </row>
    <row r="125" spans="1:228" s="387" customFormat="1" ht="12.75" customHeight="1" x14ac:dyDescent="0.2">
      <c r="A125" s="406" t="s">
        <v>55</v>
      </c>
      <c r="B125" s="407" t="s">
        <v>39</v>
      </c>
      <c r="C125" s="406" t="s">
        <v>56</v>
      </c>
      <c r="D125" s="407" t="s">
        <v>981</v>
      </c>
      <c r="E125" s="407" t="s">
        <v>56</v>
      </c>
      <c r="F125" s="407" t="s">
        <v>981</v>
      </c>
      <c r="G125" s="406" t="s">
        <v>54</v>
      </c>
      <c r="H125" s="408" t="s">
        <v>520</v>
      </c>
      <c r="I125" s="408"/>
      <c r="J125" s="406" t="s">
        <v>294</v>
      </c>
      <c r="K125" s="406" t="s">
        <v>295</v>
      </c>
      <c r="L125" s="406" t="s">
        <v>296</v>
      </c>
      <c r="M125" s="406"/>
      <c r="N125" s="452">
        <v>0</v>
      </c>
      <c r="O125" s="452">
        <v>0</v>
      </c>
      <c r="P125" s="452">
        <v>0</v>
      </c>
      <c r="Q125" s="452">
        <v>0</v>
      </c>
      <c r="R125" s="452">
        <v>0</v>
      </c>
      <c r="S125" s="452">
        <v>0</v>
      </c>
      <c r="T125" s="452">
        <v>0</v>
      </c>
      <c r="U125" s="409">
        <v>0</v>
      </c>
      <c r="V125" s="409"/>
      <c r="W125" s="409"/>
      <c r="X125" s="409"/>
      <c r="Y125" s="409"/>
      <c r="Z125" s="453">
        <f t="shared" si="47"/>
        <v>0</v>
      </c>
      <c r="AA125" s="452"/>
      <c r="AB125" s="452"/>
      <c r="AC125" s="452"/>
      <c r="AD125" s="452"/>
      <c r="AE125" s="452"/>
      <c r="AF125" s="452"/>
      <c r="AG125" s="452"/>
      <c r="AH125" s="409"/>
      <c r="AI125" s="409"/>
      <c r="AJ125" s="409"/>
      <c r="AK125" s="409"/>
      <c r="AL125" s="409"/>
      <c r="AM125" s="453">
        <f t="shared" si="34"/>
        <v>0</v>
      </c>
      <c r="AN125" s="452"/>
      <c r="AO125" s="452"/>
      <c r="AP125" s="452"/>
      <c r="AQ125" s="452"/>
      <c r="AR125" s="452"/>
      <c r="AS125" s="452"/>
      <c r="AT125" s="452"/>
      <c r="AU125" s="409">
        <v>30</v>
      </c>
      <c r="AV125" s="409">
        <v>20</v>
      </c>
      <c r="AW125" s="409"/>
      <c r="AX125" s="409"/>
      <c r="AY125" s="409"/>
      <c r="AZ125" s="453">
        <f t="shared" si="35"/>
        <v>50</v>
      </c>
      <c r="BA125" s="452"/>
      <c r="BB125" s="452"/>
      <c r="BC125" s="452"/>
      <c r="BD125" s="452"/>
      <c r="BE125" s="452"/>
      <c r="BF125" s="452"/>
      <c r="BG125" s="452"/>
      <c r="BH125" s="409"/>
      <c r="BI125" s="409"/>
      <c r="BJ125" s="409"/>
      <c r="BK125" s="409"/>
      <c r="BL125" s="409"/>
      <c r="BM125" s="453">
        <f t="shared" si="36"/>
        <v>0</v>
      </c>
      <c r="BN125" s="452"/>
      <c r="BO125" s="452"/>
      <c r="BP125" s="452"/>
      <c r="BQ125" s="452"/>
      <c r="BR125" s="452"/>
      <c r="BS125" s="452"/>
      <c r="BT125" s="452"/>
      <c r="BU125" s="409"/>
      <c r="BV125" s="409"/>
      <c r="BW125" s="409"/>
      <c r="BX125" s="409"/>
      <c r="BY125" s="409"/>
      <c r="BZ125" s="453">
        <f t="shared" si="37"/>
        <v>0</v>
      </c>
      <c r="CA125" s="454">
        <f t="shared" si="38"/>
        <v>50</v>
      </c>
      <c r="CB125" s="411"/>
      <c r="CC125" s="411"/>
      <c r="CD125" s="411"/>
      <c r="CE125" s="411"/>
      <c r="CF125" s="411"/>
      <c r="CG125" s="412"/>
      <c r="CH125" s="413"/>
      <c r="CI125" s="414" t="s">
        <v>292</v>
      </c>
      <c r="CJ125" s="415"/>
      <c r="CK125" s="415"/>
      <c r="CL125" s="415"/>
      <c r="CM125" s="415"/>
      <c r="CN125" s="415"/>
      <c r="CO125" s="415"/>
      <c r="CP125" s="415"/>
      <c r="CQ125" s="415"/>
      <c r="CR125" s="415"/>
      <c r="CS125" s="415"/>
      <c r="CT125" s="415"/>
      <c r="CU125" s="415"/>
      <c r="CV125" s="410">
        <f t="shared" si="50"/>
        <v>0</v>
      </c>
      <c r="CW125" s="415"/>
      <c r="CX125" s="415"/>
      <c r="CY125" s="415"/>
      <c r="CZ125" s="415"/>
      <c r="DA125" s="415"/>
      <c r="DB125" s="415"/>
      <c r="DC125" s="415"/>
      <c r="DD125" s="415">
        <v>0</v>
      </c>
      <c r="DE125" s="415"/>
      <c r="DF125" s="415"/>
      <c r="DG125" s="415"/>
      <c r="DH125" s="415"/>
      <c r="DI125" s="410">
        <f t="shared" si="51"/>
        <v>0</v>
      </c>
      <c r="DJ125" s="415"/>
      <c r="DK125" s="415"/>
      <c r="DL125" s="415"/>
      <c r="DM125" s="415"/>
      <c r="DN125" s="415"/>
      <c r="DO125" s="415"/>
      <c r="DP125" s="415"/>
      <c r="DQ125" s="415">
        <v>0</v>
      </c>
      <c r="DR125" s="415">
        <v>1</v>
      </c>
      <c r="DS125" s="415"/>
      <c r="DT125" s="415"/>
      <c r="DU125" s="415"/>
      <c r="DV125" s="410">
        <f t="shared" si="52"/>
        <v>1</v>
      </c>
      <c r="DW125" s="415"/>
      <c r="DX125" s="415"/>
      <c r="DY125" s="415"/>
      <c r="DZ125" s="415"/>
      <c r="EA125" s="415"/>
      <c r="EB125" s="415"/>
      <c r="EC125" s="415"/>
      <c r="ED125" s="415">
        <v>0</v>
      </c>
      <c r="EE125" s="415"/>
      <c r="EF125" s="415"/>
      <c r="EG125" s="415"/>
      <c r="EH125" s="415"/>
      <c r="EI125" s="410">
        <f t="shared" si="53"/>
        <v>0</v>
      </c>
      <c r="EJ125" s="415"/>
      <c r="EK125" s="415"/>
      <c r="EL125" s="415"/>
      <c r="EM125" s="415"/>
      <c r="EN125" s="415"/>
      <c r="EO125" s="415"/>
      <c r="EP125" s="415"/>
      <c r="EQ125" s="415">
        <v>0</v>
      </c>
      <c r="ER125" s="415"/>
      <c r="ES125" s="415"/>
      <c r="ET125" s="415"/>
      <c r="EU125" s="415"/>
      <c r="EV125" s="410">
        <f t="shared" si="54"/>
        <v>0</v>
      </c>
      <c r="EW125" s="416">
        <f t="shared" si="55"/>
        <v>1</v>
      </c>
      <c r="EX125" s="417">
        <f>IFERROR(VLOOKUP(H125,CEI_012018!$A$1:$U$509,9,FALSE),0)</f>
        <v>0</v>
      </c>
      <c r="EY125" s="417">
        <f>IFERROR(VLOOKUP(H125,CEI_022018!$A$1:$U$509,9,FALSE),0)</f>
        <v>0</v>
      </c>
      <c r="EZ125" s="417">
        <f>IFERROR(VLOOKUP(H125,CEI_032018!$A$1:$U$509,9,FALSE),0)</f>
        <v>0</v>
      </c>
      <c r="FA125" s="417">
        <f>IFERROR(VLOOKUP(H125,CEI_042018!$A$1:$U$491,9,FALSE),0)</f>
        <v>0</v>
      </c>
      <c r="FB125" s="417">
        <f>IFERROR(VLOOKUP(H125,CEI_052018!$A$1:$U$489,9,FALSE),0)</f>
        <v>0</v>
      </c>
      <c r="FC125" s="417">
        <f>IFERROR(VLOOKUP(H125,CEI_062018!$A$1:$U$489,9,FALSE),0)</f>
        <v>0</v>
      </c>
      <c r="FD125" s="417">
        <f>IFERROR(VLOOKUP(H125,CEI_072018!$A$1:$U$489,9,FALSE),0)</f>
        <v>0</v>
      </c>
      <c r="FE125" s="417">
        <f>IFERROR(VLOOKUP(H125,CEI_082018!$A$1:$U$489,9,FALSE),0)</f>
        <v>0</v>
      </c>
      <c r="FF125" s="417">
        <f>IFERROR(VLOOKUP(H125,CEI_092018!$A$1:$U$489,9,FALSE),0)</f>
        <v>0</v>
      </c>
      <c r="FG125" s="417"/>
      <c r="FH125" s="417"/>
      <c r="FI125" s="417"/>
      <c r="FJ125" s="418">
        <f>IFERROR(VLOOKUP(H125,CEI_092018!$A$1:$U$489,12,FALSE),0)</f>
        <v>0</v>
      </c>
      <c r="FK125" s="418">
        <f t="shared" si="56"/>
        <v>0</v>
      </c>
      <c r="FL125" s="418">
        <f t="shared" si="57"/>
        <v>0</v>
      </c>
      <c r="FM125" s="417"/>
      <c r="FN125" s="417"/>
      <c r="FO125" s="417"/>
      <c r="FP125" s="417"/>
      <c r="FQ125" s="417"/>
      <c r="FR125" s="417"/>
      <c r="FS125" s="417"/>
      <c r="FT125" s="417"/>
      <c r="FU125" s="417"/>
      <c r="FV125" s="417"/>
      <c r="FW125" s="417"/>
      <c r="FX125" s="417"/>
      <c r="FY125" s="418"/>
      <c r="FZ125" s="418"/>
      <c r="GA125" s="418"/>
      <c r="GB125" s="417"/>
      <c r="GC125" s="417"/>
      <c r="GD125" s="417"/>
      <c r="GE125" s="417"/>
      <c r="GF125" s="417"/>
      <c r="GG125" s="417"/>
      <c r="GH125" s="417"/>
      <c r="GI125" s="417"/>
      <c r="GJ125" s="417"/>
      <c r="GK125" s="417"/>
      <c r="GL125" s="417"/>
      <c r="GM125" s="417"/>
      <c r="GN125" s="418"/>
      <c r="GO125" s="418"/>
      <c r="GP125" s="418"/>
      <c r="GQ125" s="417"/>
      <c r="GR125" s="417"/>
      <c r="GS125" s="417"/>
      <c r="GT125" s="417"/>
      <c r="GU125" s="417"/>
      <c r="GV125" s="417"/>
      <c r="GW125" s="417"/>
      <c r="GX125" s="417"/>
      <c r="GY125" s="417"/>
      <c r="GZ125" s="417"/>
      <c r="HA125" s="417"/>
      <c r="HB125" s="417"/>
      <c r="HC125" s="418"/>
      <c r="HD125" s="418"/>
      <c r="HE125" s="418"/>
      <c r="HF125" s="417"/>
      <c r="HG125" s="417"/>
      <c r="HH125" s="417"/>
      <c r="HI125" s="417"/>
      <c r="HJ125" s="417"/>
      <c r="HK125" s="417"/>
      <c r="HL125" s="417"/>
      <c r="HM125" s="417"/>
      <c r="HN125" s="417"/>
      <c r="HO125" s="417"/>
      <c r="HP125" s="417"/>
      <c r="HQ125" s="417"/>
      <c r="HR125" s="418"/>
      <c r="HS125" s="418"/>
      <c r="HT125" s="418"/>
    </row>
    <row r="126" spans="1:228" s="387" customFormat="1" ht="12.75" customHeight="1" x14ac:dyDescent="0.2">
      <c r="A126" s="406" t="s">
        <v>55</v>
      </c>
      <c r="B126" s="407" t="s">
        <v>39</v>
      </c>
      <c r="C126" s="406" t="s">
        <v>56</v>
      </c>
      <c r="D126" s="407" t="s">
        <v>405</v>
      </c>
      <c r="E126" s="407" t="s">
        <v>56</v>
      </c>
      <c r="F126" s="407" t="s">
        <v>405</v>
      </c>
      <c r="G126" s="406" t="s">
        <v>54</v>
      </c>
      <c r="H126" s="408" t="s">
        <v>520</v>
      </c>
      <c r="I126" s="408"/>
      <c r="J126" s="406" t="s">
        <v>591</v>
      </c>
      <c r="K126" s="406" t="s">
        <v>588</v>
      </c>
      <c r="L126" s="406" t="s">
        <v>586</v>
      </c>
      <c r="M126" s="406"/>
      <c r="N126" s="452">
        <v>0</v>
      </c>
      <c r="O126" s="452">
        <v>0</v>
      </c>
      <c r="P126" s="452">
        <v>0</v>
      </c>
      <c r="Q126" s="452">
        <v>0</v>
      </c>
      <c r="R126" s="452">
        <v>0</v>
      </c>
      <c r="S126" s="452">
        <v>0</v>
      </c>
      <c r="T126" s="452">
        <v>0</v>
      </c>
      <c r="U126" s="409">
        <v>0</v>
      </c>
      <c r="V126" s="409"/>
      <c r="W126" s="409"/>
      <c r="X126" s="409"/>
      <c r="Y126" s="409"/>
      <c r="Z126" s="453">
        <f t="shared" si="47"/>
        <v>0</v>
      </c>
      <c r="AA126" s="452"/>
      <c r="AB126" s="452"/>
      <c r="AC126" s="452"/>
      <c r="AD126" s="452"/>
      <c r="AE126" s="452"/>
      <c r="AF126" s="452"/>
      <c r="AG126" s="452"/>
      <c r="AH126" s="409"/>
      <c r="AI126" s="409"/>
      <c r="AJ126" s="409"/>
      <c r="AK126" s="409"/>
      <c r="AL126" s="409"/>
      <c r="AM126" s="453">
        <f t="shared" si="34"/>
        <v>0</v>
      </c>
      <c r="AN126" s="452"/>
      <c r="AO126" s="452"/>
      <c r="AP126" s="452"/>
      <c r="AQ126" s="452"/>
      <c r="AR126" s="452"/>
      <c r="AS126" s="452"/>
      <c r="AT126" s="452"/>
      <c r="AU126" s="409"/>
      <c r="AV126" s="409"/>
      <c r="AW126" s="409"/>
      <c r="AX126" s="409"/>
      <c r="AY126" s="409">
        <v>60</v>
      </c>
      <c r="AZ126" s="453">
        <f t="shared" si="35"/>
        <v>60</v>
      </c>
      <c r="BA126" s="452"/>
      <c r="BB126" s="452"/>
      <c r="BC126" s="452"/>
      <c r="BD126" s="452"/>
      <c r="BE126" s="452"/>
      <c r="BF126" s="452"/>
      <c r="BG126" s="452"/>
      <c r="BH126" s="409"/>
      <c r="BI126" s="409"/>
      <c r="BJ126" s="409"/>
      <c r="BK126" s="409"/>
      <c r="BL126" s="409"/>
      <c r="BM126" s="453">
        <f t="shared" si="36"/>
        <v>0</v>
      </c>
      <c r="BN126" s="452"/>
      <c r="BO126" s="452"/>
      <c r="BP126" s="452"/>
      <c r="BQ126" s="452"/>
      <c r="BR126" s="452"/>
      <c r="BS126" s="452"/>
      <c r="BT126" s="452"/>
      <c r="BU126" s="409"/>
      <c r="BV126" s="409"/>
      <c r="BW126" s="409"/>
      <c r="BX126" s="409"/>
      <c r="BY126" s="409"/>
      <c r="BZ126" s="453">
        <f t="shared" si="37"/>
        <v>0</v>
      </c>
      <c r="CA126" s="454">
        <f t="shared" si="38"/>
        <v>60</v>
      </c>
      <c r="CB126" s="411"/>
      <c r="CC126" s="411"/>
      <c r="CD126" s="411"/>
      <c r="CE126" s="411"/>
      <c r="CF126" s="411"/>
      <c r="CG126" s="412"/>
      <c r="CH126" s="413"/>
      <c r="CI126" s="414" t="s">
        <v>450</v>
      </c>
      <c r="CJ126" s="415"/>
      <c r="CK126" s="415"/>
      <c r="CL126" s="415"/>
      <c r="CM126" s="415"/>
      <c r="CN126" s="415"/>
      <c r="CO126" s="415"/>
      <c r="CP126" s="415"/>
      <c r="CQ126" s="415"/>
      <c r="CR126" s="415"/>
      <c r="CS126" s="415"/>
      <c r="CT126" s="415"/>
      <c r="CU126" s="415"/>
      <c r="CV126" s="410">
        <f t="shared" si="50"/>
        <v>0</v>
      </c>
      <c r="CW126" s="415"/>
      <c r="CX126" s="415"/>
      <c r="CY126" s="415"/>
      <c r="CZ126" s="415"/>
      <c r="DA126" s="415"/>
      <c r="DB126" s="415"/>
      <c r="DC126" s="415"/>
      <c r="DD126" s="415"/>
      <c r="DE126" s="415"/>
      <c r="DF126" s="415"/>
      <c r="DG126" s="415"/>
      <c r="DH126" s="415"/>
      <c r="DI126" s="410">
        <f t="shared" si="51"/>
        <v>0</v>
      </c>
      <c r="DJ126" s="415"/>
      <c r="DK126" s="415"/>
      <c r="DL126" s="415"/>
      <c r="DM126" s="415"/>
      <c r="DN126" s="415"/>
      <c r="DO126" s="415"/>
      <c r="DP126" s="415"/>
      <c r="DQ126" s="415"/>
      <c r="DR126" s="415"/>
      <c r="DS126" s="415"/>
      <c r="DT126" s="415"/>
      <c r="DU126" s="415">
        <v>817</v>
      </c>
      <c r="DV126" s="410">
        <f t="shared" si="52"/>
        <v>817</v>
      </c>
      <c r="DW126" s="415"/>
      <c r="DX126" s="415"/>
      <c r="DY126" s="415"/>
      <c r="DZ126" s="415"/>
      <c r="EA126" s="415"/>
      <c r="EB126" s="415"/>
      <c r="EC126" s="415"/>
      <c r="ED126" s="415"/>
      <c r="EE126" s="415"/>
      <c r="EF126" s="415"/>
      <c r="EG126" s="415"/>
      <c r="EH126" s="415"/>
      <c r="EI126" s="410">
        <f t="shared" si="53"/>
        <v>0</v>
      </c>
      <c r="EJ126" s="415"/>
      <c r="EK126" s="415"/>
      <c r="EL126" s="415"/>
      <c r="EM126" s="415"/>
      <c r="EN126" s="415"/>
      <c r="EO126" s="415"/>
      <c r="EP126" s="415"/>
      <c r="EQ126" s="415"/>
      <c r="ER126" s="415"/>
      <c r="ES126" s="415"/>
      <c r="ET126" s="415"/>
      <c r="EU126" s="415"/>
      <c r="EV126" s="410">
        <f t="shared" si="54"/>
        <v>0</v>
      </c>
      <c r="EW126" s="416">
        <f t="shared" si="55"/>
        <v>817</v>
      </c>
      <c r="EX126" s="417">
        <f>IFERROR(VLOOKUP(H126,CEI_012018!$A$1:$U$509,9,FALSE),0)</f>
        <v>0</v>
      </c>
      <c r="EY126" s="417">
        <f>IFERROR(VLOOKUP(H126,CEI_022018!$A$1:$U$509,9,FALSE),0)</f>
        <v>0</v>
      </c>
      <c r="EZ126" s="417">
        <f>IFERROR(VLOOKUP(H126,CEI_032018!$A$1:$U$509,9,FALSE),0)</f>
        <v>0</v>
      </c>
      <c r="FA126" s="417">
        <f>IFERROR(VLOOKUP(H126,CEI_042018!$A$1:$U$491,9,FALSE),0)</f>
        <v>0</v>
      </c>
      <c r="FB126" s="417">
        <f>IFERROR(VLOOKUP(H126,CEI_052018!$A$1:$U$489,9,FALSE),0)</f>
        <v>0</v>
      </c>
      <c r="FC126" s="417">
        <f>IFERROR(VLOOKUP(H126,CEI_062018!$A$1:$U$489,9,FALSE),0)</f>
        <v>0</v>
      </c>
      <c r="FD126" s="417">
        <f>IFERROR(VLOOKUP(H126,CEI_072018!$A$1:$U$489,9,FALSE),0)</f>
        <v>0</v>
      </c>
      <c r="FE126" s="417">
        <f>IFERROR(VLOOKUP(H126,CEI_082018!$A$1:$U$489,9,FALSE),0)</f>
        <v>0</v>
      </c>
      <c r="FF126" s="417">
        <f>IFERROR(VLOOKUP(H126,CEI_092018!$A$1:$U$489,9,FALSE),0)</f>
        <v>0</v>
      </c>
      <c r="FG126" s="417"/>
      <c r="FH126" s="417"/>
      <c r="FI126" s="417"/>
      <c r="FJ126" s="418">
        <f>IFERROR(VLOOKUP(H126,CEI_092018!$A$1:$U$489,12,FALSE),0)</f>
        <v>0</v>
      </c>
      <c r="FK126" s="418">
        <f t="shared" si="56"/>
        <v>0</v>
      </c>
      <c r="FL126" s="418">
        <f t="shared" si="57"/>
        <v>0</v>
      </c>
      <c r="FM126" s="417"/>
      <c r="FN126" s="417"/>
      <c r="FO126" s="417"/>
      <c r="FP126" s="417"/>
      <c r="FQ126" s="417"/>
      <c r="FR126" s="417"/>
      <c r="FS126" s="417"/>
      <c r="FT126" s="417"/>
      <c r="FU126" s="417"/>
      <c r="FV126" s="417"/>
      <c r="FW126" s="417"/>
      <c r="FX126" s="417"/>
      <c r="FY126" s="418"/>
      <c r="FZ126" s="418"/>
      <c r="GA126" s="418"/>
      <c r="GB126" s="417"/>
      <c r="GC126" s="417"/>
      <c r="GD126" s="417"/>
      <c r="GE126" s="417"/>
      <c r="GF126" s="417"/>
      <c r="GG126" s="417"/>
      <c r="GH126" s="417"/>
      <c r="GI126" s="417"/>
      <c r="GJ126" s="417"/>
      <c r="GK126" s="417"/>
      <c r="GL126" s="417"/>
      <c r="GM126" s="417"/>
      <c r="GN126" s="418"/>
      <c r="GO126" s="418"/>
      <c r="GP126" s="418"/>
      <c r="GQ126" s="417"/>
      <c r="GR126" s="417"/>
      <c r="GS126" s="417"/>
      <c r="GT126" s="417"/>
      <c r="GU126" s="417"/>
      <c r="GV126" s="417"/>
      <c r="GW126" s="417"/>
      <c r="GX126" s="417"/>
      <c r="GY126" s="417"/>
      <c r="GZ126" s="417"/>
      <c r="HA126" s="417"/>
      <c r="HB126" s="417"/>
      <c r="HC126" s="418"/>
      <c r="HD126" s="418"/>
      <c r="HE126" s="418"/>
      <c r="HF126" s="417"/>
      <c r="HG126" s="417"/>
      <c r="HH126" s="417"/>
      <c r="HI126" s="417"/>
      <c r="HJ126" s="417"/>
      <c r="HK126" s="417"/>
      <c r="HL126" s="417"/>
      <c r="HM126" s="417"/>
      <c r="HN126" s="417"/>
      <c r="HO126" s="417"/>
      <c r="HP126" s="417"/>
      <c r="HQ126" s="417"/>
      <c r="HR126" s="418"/>
      <c r="HS126" s="418"/>
      <c r="HT126" s="418"/>
    </row>
    <row r="127" spans="1:228" s="387" customFormat="1" ht="12.75" customHeight="1" x14ac:dyDescent="0.2">
      <c r="A127" s="406" t="s">
        <v>55</v>
      </c>
      <c r="B127" s="407" t="s">
        <v>39</v>
      </c>
      <c r="C127" s="406" t="s">
        <v>56</v>
      </c>
      <c r="D127" s="407" t="s">
        <v>405</v>
      </c>
      <c r="E127" s="407" t="s">
        <v>56</v>
      </c>
      <c r="F127" s="407" t="s">
        <v>405</v>
      </c>
      <c r="G127" s="406" t="s">
        <v>54</v>
      </c>
      <c r="H127" s="408" t="s">
        <v>520</v>
      </c>
      <c r="I127" s="408"/>
      <c r="J127" s="406" t="s">
        <v>416</v>
      </c>
      <c r="K127" s="406" t="s">
        <v>417</v>
      </c>
      <c r="L127" s="406" t="s">
        <v>418</v>
      </c>
      <c r="M127" s="406" t="s">
        <v>1694</v>
      </c>
      <c r="N127" s="452">
        <v>0</v>
      </c>
      <c r="O127" s="452">
        <v>0</v>
      </c>
      <c r="P127" s="452">
        <v>0</v>
      </c>
      <c r="Q127" s="452">
        <v>0</v>
      </c>
      <c r="R127" s="452">
        <v>0</v>
      </c>
      <c r="S127" s="452">
        <v>0</v>
      </c>
      <c r="T127" s="452">
        <v>0</v>
      </c>
      <c r="U127" s="409">
        <v>0</v>
      </c>
      <c r="V127" s="409"/>
      <c r="W127" s="409"/>
      <c r="X127" s="409"/>
      <c r="Y127" s="409"/>
      <c r="Z127" s="453">
        <f t="shared" si="47"/>
        <v>0</v>
      </c>
      <c r="AA127" s="452"/>
      <c r="AB127" s="452"/>
      <c r="AC127" s="452"/>
      <c r="AD127" s="452"/>
      <c r="AE127" s="452"/>
      <c r="AF127" s="452"/>
      <c r="AG127" s="452"/>
      <c r="AH127" s="409"/>
      <c r="AI127" s="409"/>
      <c r="AJ127" s="409"/>
      <c r="AK127" s="409"/>
      <c r="AL127" s="409">
        <v>120</v>
      </c>
      <c r="AM127" s="453">
        <f t="shared" si="34"/>
        <v>120</v>
      </c>
      <c r="AN127" s="452"/>
      <c r="AO127" s="452"/>
      <c r="AP127" s="452"/>
      <c r="AQ127" s="452"/>
      <c r="AR127" s="452">
        <v>330</v>
      </c>
      <c r="AS127" s="452"/>
      <c r="AT127" s="452"/>
      <c r="AU127" s="409"/>
      <c r="AV127" s="409"/>
      <c r="AW127" s="409"/>
      <c r="AX127" s="409"/>
      <c r="AY127" s="409"/>
      <c r="AZ127" s="453">
        <f t="shared" si="35"/>
        <v>330</v>
      </c>
      <c r="BA127" s="452"/>
      <c r="BB127" s="452"/>
      <c r="BC127" s="452"/>
      <c r="BD127" s="452"/>
      <c r="BE127" s="452"/>
      <c r="BF127" s="452"/>
      <c r="BG127" s="452"/>
      <c r="BH127" s="409"/>
      <c r="BI127" s="409"/>
      <c r="BJ127" s="409"/>
      <c r="BK127" s="409"/>
      <c r="BL127" s="409"/>
      <c r="BM127" s="453">
        <f t="shared" si="36"/>
        <v>0</v>
      </c>
      <c r="BN127" s="452"/>
      <c r="BO127" s="452"/>
      <c r="BP127" s="452"/>
      <c r="BQ127" s="452"/>
      <c r="BR127" s="452"/>
      <c r="BS127" s="452"/>
      <c r="BT127" s="452"/>
      <c r="BU127" s="409"/>
      <c r="BV127" s="409"/>
      <c r="BW127" s="409"/>
      <c r="BX127" s="409"/>
      <c r="BY127" s="409"/>
      <c r="BZ127" s="453">
        <f t="shared" si="37"/>
        <v>0</v>
      </c>
      <c r="CA127" s="454">
        <f t="shared" si="38"/>
        <v>450</v>
      </c>
      <c r="CB127" s="411"/>
      <c r="CC127" s="411"/>
      <c r="CD127" s="411"/>
      <c r="CE127" s="411"/>
      <c r="CF127" s="411"/>
      <c r="CG127" s="412"/>
      <c r="CH127" s="413"/>
      <c r="CI127" s="414" t="s">
        <v>450</v>
      </c>
      <c r="CJ127" s="415"/>
      <c r="CK127" s="415"/>
      <c r="CL127" s="415"/>
      <c r="CM127" s="415"/>
      <c r="CN127" s="415"/>
      <c r="CO127" s="415"/>
      <c r="CP127" s="415"/>
      <c r="CQ127" s="415"/>
      <c r="CR127" s="415"/>
      <c r="CS127" s="415"/>
      <c r="CT127" s="415"/>
      <c r="CU127" s="415"/>
      <c r="CV127" s="410">
        <f t="shared" si="50"/>
        <v>0</v>
      </c>
      <c r="CW127" s="415"/>
      <c r="CX127" s="415"/>
      <c r="CY127" s="415"/>
      <c r="CZ127" s="415"/>
      <c r="DA127" s="415"/>
      <c r="DB127" s="415"/>
      <c r="DC127" s="415"/>
      <c r="DD127" s="415"/>
      <c r="DE127" s="415"/>
      <c r="DF127" s="415"/>
      <c r="DG127" s="415"/>
      <c r="DH127" s="415">
        <v>1604</v>
      </c>
      <c r="DI127" s="410">
        <f t="shared" si="51"/>
        <v>1604</v>
      </c>
      <c r="DJ127" s="415"/>
      <c r="DK127" s="415"/>
      <c r="DL127" s="415"/>
      <c r="DM127" s="415"/>
      <c r="DN127" s="415"/>
      <c r="DO127" s="415"/>
      <c r="DP127" s="415"/>
      <c r="DQ127" s="415"/>
      <c r="DR127" s="415"/>
      <c r="DS127" s="415"/>
      <c r="DT127" s="415"/>
      <c r="DU127" s="415"/>
      <c r="DV127" s="410">
        <f t="shared" si="52"/>
        <v>0</v>
      </c>
      <c r="DW127" s="415"/>
      <c r="DX127" s="415"/>
      <c r="DY127" s="415"/>
      <c r="DZ127" s="415"/>
      <c r="EA127" s="415"/>
      <c r="EB127" s="415"/>
      <c r="EC127" s="415"/>
      <c r="ED127" s="415"/>
      <c r="EE127" s="415"/>
      <c r="EF127" s="415"/>
      <c r="EG127" s="415"/>
      <c r="EH127" s="415"/>
      <c r="EI127" s="410">
        <f t="shared" si="53"/>
        <v>0</v>
      </c>
      <c r="EJ127" s="415"/>
      <c r="EK127" s="415"/>
      <c r="EL127" s="415"/>
      <c r="EM127" s="415"/>
      <c r="EN127" s="415"/>
      <c r="EO127" s="415"/>
      <c r="EP127" s="415"/>
      <c r="EQ127" s="415"/>
      <c r="ER127" s="415"/>
      <c r="ES127" s="415"/>
      <c r="ET127" s="415"/>
      <c r="EU127" s="415"/>
      <c r="EV127" s="410">
        <f t="shared" si="54"/>
        <v>0</v>
      </c>
      <c r="EW127" s="416">
        <f t="shared" si="55"/>
        <v>1604</v>
      </c>
      <c r="EX127" s="417">
        <f>IFERROR(VLOOKUP(H127,CEI_012018!$A$1:$U$509,9,FALSE),0)</f>
        <v>0</v>
      </c>
      <c r="EY127" s="417">
        <f>IFERROR(VLOOKUP(H127,CEI_022018!$A$1:$U$509,9,FALSE),0)</f>
        <v>0</v>
      </c>
      <c r="EZ127" s="417">
        <f>IFERROR(VLOOKUP(H127,CEI_032018!$A$1:$U$509,9,FALSE),0)</f>
        <v>0</v>
      </c>
      <c r="FA127" s="417">
        <f>IFERROR(VLOOKUP(H127,CEI_042018!$A$1:$U$491,9,FALSE),0)</f>
        <v>0</v>
      </c>
      <c r="FB127" s="417">
        <f>IFERROR(VLOOKUP(H127,CEI_052018!$A$1:$U$489,9,FALSE),0)</f>
        <v>0</v>
      </c>
      <c r="FC127" s="417">
        <f>IFERROR(VLOOKUP(H127,CEI_062018!$A$1:$U$489,9,FALSE),0)</f>
        <v>0</v>
      </c>
      <c r="FD127" s="417">
        <f>IFERROR(VLOOKUP(H127,CEI_072018!$A$1:$U$489,9,FALSE),0)</f>
        <v>0</v>
      </c>
      <c r="FE127" s="417">
        <f>IFERROR(VLOOKUP(H127,CEI_082018!$A$1:$U$489,9,FALSE),0)</f>
        <v>0</v>
      </c>
      <c r="FF127" s="417">
        <f>IFERROR(VLOOKUP(H127,CEI_092018!$A$1:$U$489,9,FALSE),0)</f>
        <v>0</v>
      </c>
      <c r="FG127" s="417"/>
      <c r="FH127" s="417"/>
      <c r="FI127" s="417"/>
      <c r="FJ127" s="418">
        <f>IFERROR(VLOOKUP(H127,CEI_092018!$A$1:$U$489,12,FALSE),0)</f>
        <v>0</v>
      </c>
      <c r="FK127" s="418">
        <f t="shared" si="56"/>
        <v>0</v>
      </c>
      <c r="FL127" s="418">
        <f t="shared" si="57"/>
        <v>0</v>
      </c>
      <c r="FM127" s="417"/>
      <c r="FN127" s="417"/>
      <c r="FO127" s="417"/>
      <c r="FP127" s="417"/>
      <c r="FQ127" s="417"/>
      <c r="FR127" s="417"/>
      <c r="FS127" s="417"/>
      <c r="FT127" s="417"/>
      <c r="FU127" s="417"/>
      <c r="FV127" s="417"/>
      <c r="FW127" s="417"/>
      <c r="FX127" s="417"/>
      <c r="FY127" s="418"/>
      <c r="FZ127" s="418"/>
      <c r="GA127" s="418"/>
      <c r="GB127" s="417"/>
      <c r="GC127" s="417"/>
      <c r="GD127" s="417"/>
      <c r="GE127" s="417"/>
      <c r="GF127" s="417"/>
      <c r="GG127" s="417"/>
      <c r="GH127" s="417"/>
      <c r="GI127" s="417"/>
      <c r="GJ127" s="417"/>
      <c r="GK127" s="417"/>
      <c r="GL127" s="417"/>
      <c r="GM127" s="417"/>
      <c r="GN127" s="418"/>
      <c r="GO127" s="418"/>
      <c r="GP127" s="418"/>
      <c r="GQ127" s="417"/>
      <c r="GR127" s="417"/>
      <c r="GS127" s="417"/>
      <c r="GT127" s="417"/>
      <c r="GU127" s="417"/>
      <c r="GV127" s="417"/>
      <c r="GW127" s="417"/>
      <c r="GX127" s="417"/>
      <c r="GY127" s="417"/>
      <c r="GZ127" s="417"/>
      <c r="HA127" s="417"/>
      <c r="HB127" s="417"/>
      <c r="HC127" s="418"/>
      <c r="HD127" s="418"/>
      <c r="HE127" s="418"/>
      <c r="HF127" s="417"/>
      <c r="HG127" s="417"/>
      <c r="HH127" s="417"/>
      <c r="HI127" s="417"/>
      <c r="HJ127" s="417"/>
      <c r="HK127" s="417"/>
      <c r="HL127" s="417"/>
      <c r="HM127" s="417"/>
      <c r="HN127" s="417"/>
      <c r="HO127" s="417"/>
      <c r="HP127" s="417"/>
      <c r="HQ127" s="417"/>
      <c r="HR127" s="418"/>
      <c r="HS127" s="418"/>
      <c r="HT127" s="418"/>
    </row>
    <row r="128" spans="1:228" s="387" customFormat="1" ht="12.75" customHeight="1" x14ac:dyDescent="0.2">
      <c r="A128" s="406" t="s">
        <v>55</v>
      </c>
      <c r="B128" s="407" t="s">
        <v>39</v>
      </c>
      <c r="C128" s="406" t="s">
        <v>56</v>
      </c>
      <c r="D128" s="407" t="s">
        <v>271</v>
      </c>
      <c r="E128" s="407" t="s">
        <v>56</v>
      </c>
      <c r="F128" s="407" t="s">
        <v>271</v>
      </c>
      <c r="G128" s="406" t="s">
        <v>54</v>
      </c>
      <c r="H128" s="408" t="s">
        <v>520</v>
      </c>
      <c r="I128" s="408"/>
      <c r="J128" s="406" t="s">
        <v>289</v>
      </c>
      <c r="K128" s="406" t="s">
        <v>290</v>
      </c>
      <c r="L128" s="406" t="s">
        <v>291</v>
      </c>
      <c r="M128" s="406" t="s">
        <v>1691</v>
      </c>
      <c r="N128" s="452">
        <v>0</v>
      </c>
      <c r="O128" s="452">
        <v>0</v>
      </c>
      <c r="P128" s="452">
        <v>0</v>
      </c>
      <c r="Q128" s="452">
        <v>0</v>
      </c>
      <c r="R128" s="452">
        <v>0</v>
      </c>
      <c r="S128" s="452">
        <v>0</v>
      </c>
      <c r="T128" s="452">
        <v>0</v>
      </c>
      <c r="U128" s="409">
        <v>0</v>
      </c>
      <c r="V128" s="409"/>
      <c r="W128" s="409"/>
      <c r="X128" s="409"/>
      <c r="Y128" s="409"/>
      <c r="Z128" s="453">
        <f t="shared" si="47"/>
        <v>0</v>
      </c>
      <c r="AA128" s="452"/>
      <c r="AB128" s="452"/>
      <c r="AC128" s="452"/>
      <c r="AD128" s="452"/>
      <c r="AE128" s="452"/>
      <c r="AF128" s="452"/>
      <c r="AG128" s="452"/>
      <c r="AH128" s="409">
        <v>80</v>
      </c>
      <c r="AI128" s="409"/>
      <c r="AJ128" s="409"/>
      <c r="AK128" s="409"/>
      <c r="AL128" s="409"/>
      <c r="AM128" s="453">
        <f t="shared" si="34"/>
        <v>80</v>
      </c>
      <c r="AN128" s="452"/>
      <c r="AO128" s="452"/>
      <c r="AP128" s="452"/>
      <c r="AQ128" s="452"/>
      <c r="AR128" s="452"/>
      <c r="AS128" s="452"/>
      <c r="AT128" s="452"/>
      <c r="AU128" s="409"/>
      <c r="AV128" s="409"/>
      <c r="AW128" s="409"/>
      <c r="AX128" s="409"/>
      <c r="AY128" s="409"/>
      <c r="AZ128" s="453">
        <f t="shared" si="35"/>
        <v>0</v>
      </c>
      <c r="BA128" s="452"/>
      <c r="BB128" s="452"/>
      <c r="BC128" s="452"/>
      <c r="BD128" s="452"/>
      <c r="BE128" s="452"/>
      <c r="BF128" s="452"/>
      <c r="BG128" s="452"/>
      <c r="BH128" s="409"/>
      <c r="BI128" s="409"/>
      <c r="BJ128" s="409"/>
      <c r="BK128" s="409"/>
      <c r="BL128" s="409"/>
      <c r="BM128" s="453">
        <f t="shared" si="36"/>
        <v>0</v>
      </c>
      <c r="BN128" s="452"/>
      <c r="BO128" s="452"/>
      <c r="BP128" s="452"/>
      <c r="BQ128" s="452"/>
      <c r="BR128" s="452"/>
      <c r="BS128" s="452"/>
      <c r="BT128" s="452"/>
      <c r="BU128" s="409"/>
      <c r="BV128" s="409"/>
      <c r="BW128" s="409"/>
      <c r="BX128" s="409"/>
      <c r="BY128" s="409"/>
      <c r="BZ128" s="453">
        <f t="shared" si="37"/>
        <v>0</v>
      </c>
      <c r="CA128" s="454">
        <f t="shared" si="38"/>
        <v>80</v>
      </c>
      <c r="CB128" s="411"/>
      <c r="CC128" s="411"/>
      <c r="CD128" s="411"/>
      <c r="CE128" s="411"/>
      <c r="CF128" s="411"/>
      <c r="CG128" s="412"/>
      <c r="CH128" s="413"/>
      <c r="CI128" s="414" t="s">
        <v>71</v>
      </c>
      <c r="CJ128" s="415"/>
      <c r="CK128" s="415"/>
      <c r="CL128" s="415"/>
      <c r="CM128" s="415"/>
      <c r="CN128" s="415"/>
      <c r="CO128" s="415"/>
      <c r="CP128" s="415"/>
      <c r="CQ128" s="415"/>
      <c r="CR128" s="415"/>
      <c r="CS128" s="415"/>
      <c r="CT128" s="415">
        <v>1</v>
      </c>
      <c r="CU128" s="415"/>
      <c r="CV128" s="410">
        <f t="shared" si="50"/>
        <v>1</v>
      </c>
      <c r="CW128" s="415"/>
      <c r="CX128" s="415"/>
      <c r="CY128" s="415"/>
      <c r="CZ128" s="415"/>
      <c r="DA128" s="415"/>
      <c r="DB128" s="415"/>
      <c r="DC128" s="415"/>
      <c r="DD128" s="415">
        <v>0</v>
      </c>
      <c r="DE128" s="415"/>
      <c r="DF128" s="415"/>
      <c r="DG128" s="415"/>
      <c r="DH128" s="415"/>
      <c r="DI128" s="410">
        <f t="shared" si="51"/>
        <v>0</v>
      </c>
      <c r="DJ128" s="415"/>
      <c r="DK128" s="415"/>
      <c r="DL128" s="415"/>
      <c r="DM128" s="415"/>
      <c r="DN128" s="415"/>
      <c r="DO128" s="415"/>
      <c r="DP128" s="415"/>
      <c r="DQ128" s="415">
        <v>0</v>
      </c>
      <c r="DR128" s="415"/>
      <c r="DS128" s="415"/>
      <c r="DT128" s="415"/>
      <c r="DU128" s="415"/>
      <c r="DV128" s="410">
        <f t="shared" si="52"/>
        <v>0</v>
      </c>
      <c r="DW128" s="415"/>
      <c r="DX128" s="415"/>
      <c r="DY128" s="415"/>
      <c r="DZ128" s="415"/>
      <c r="EA128" s="415"/>
      <c r="EB128" s="415"/>
      <c r="EC128" s="415"/>
      <c r="ED128" s="415">
        <v>0</v>
      </c>
      <c r="EE128" s="415"/>
      <c r="EF128" s="415"/>
      <c r="EG128" s="415"/>
      <c r="EH128" s="415"/>
      <c r="EI128" s="410">
        <f t="shared" si="53"/>
        <v>0</v>
      </c>
      <c r="EJ128" s="415"/>
      <c r="EK128" s="415"/>
      <c r="EL128" s="415"/>
      <c r="EM128" s="415"/>
      <c r="EN128" s="415"/>
      <c r="EO128" s="415"/>
      <c r="EP128" s="415"/>
      <c r="EQ128" s="415">
        <v>0</v>
      </c>
      <c r="ER128" s="415"/>
      <c r="ES128" s="415"/>
      <c r="ET128" s="415"/>
      <c r="EU128" s="415"/>
      <c r="EV128" s="410">
        <f t="shared" si="54"/>
        <v>0</v>
      </c>
      <c r="EW128" s="416">
        <f t="shared" si="55"/>
        <v>1</v>
      </c>
      <c r="EX128" s="417">
        <f>IFERROR(VLOOKUP(H128,CEI_012018!$A$1:$U$509,9,FALSE),0)</f>
        <v>0</v>
      </c>
      <c r="EY128" s="417">
        <f>IFERROR(VLOOKUP(H128,CEI_022018!$A$1:$U$509,9,FALSE),0)</f>
        <v>0</v>
      </c>
      <c r="EZ128" s="417">
        <f>IFERROR(VLOOKUP(H128,CEI_032018!$A$1:$U$509,9,FALSE),0)</f>
        <v>0</v>
      </c>
      <c r="FA128" s="417">
        <f>IFERROR(VLOOKUP(H128,CEI_042018!$A$1:$U$491,9,FALSE),0)</f>
        <v>0</v>
      </c>
      <c r="FB128" s="417">
        <f>IFERROR(VLOOKUP(H128,CEI_052018!$A$1:$U$489,9,FALSE),0)</f>
        <v>0</v>
      </c>
      <c r="FC128" s="417">
        <f>IFERROR(VLOOKUP(H128,CEI_062018!$A$1:$U$489,9,FALSE),0)</f>
        <v>0</v>
      </c>
      <c r="FD128" s="417">
        <f>IFERROR(VLOOKUP(H128,CEI_072018!$A$1:$U$489,9,FALSE),0)</f>
        <v>0</v>
      </c>
      <c r="FE128" s="417">
        <f>IFERROR(VLOOKUP(H128,CEI_082018!$A$1:$U$489,9,FALSE),0)</f>
        <v>0</v>
      </c>
      <c r="FF128" s="417">
        <f>IFERROR(VLOOKUP(H128,CEI_092018!$A$1:$U$489,9,FALSE),0)</f>
        <v>0</v>
      </c>
      <c r="FG128" s="417"/>
      <c r="FH128" s="417"/>
      <c r="FI128" s="417"/>
      <c r="FJ128" s="418">
        <f>IFERROR(VLOOKUP(H128,CEI_092018!$A$1:$U$489,12,FALSE),0)</f>
        <v>0</v>
      </c>
      <c r="FK128" s="418">
        <f t="shared" si="56"/>
        <v>0</v>
      </c>
      <c r="FL128" s="418">
        <f t="shared" si="57"/>
        <v>0</v>
      </c>
      <c r="FM128" s="417"/>
      <c r="FN128" s="417"/>
      <c r="FO128" s="417"/>
      <c r="FP128" s="417"/>
      <c r="FQ128" s="417"/>
      <c r="FR128" s="417"/>
      <c r="FS128" s="417"/>
      <c r="FT128" s="417"/>
      <c r="FU128" s="417"/>
      <c r="FV128" s="417"/>
      <c r="FW128" s="417"/>
      <c r="FX128" s="417"/>
      <c r="FY128" s="418"/>
      <c r="FZ128" s="418"/>
      <c r="GA128" s="418"/>
      <c r="GB128" s="417"/>
      <c r="GC128" s="417"/>
      <c r="GD128" s="417"/>
      <c r="GE128" s="417"/>
      <c r="GF128" s="417"/>
      <c r="GG128" s="417"/>
      <c r="GH128" s="417"/>
      <c r="GI128" s="417"/>
      <c r="GJ128" s="417"/>
      <c r="GK128" s="417"/>
      <c r="GL128" s="417"/>
      <c r="GM128" s="417"/>
      <c r="GN128" s="418"/>
      <c r="GO128" s="418"/>
      <c r="GP128" s="418"/>
      <c r="GQ128" s="417"/>
      <c r="GR128" s="417"/>
      <c r="GS128" s="417"/>
      <c r="GT128" s="417"/>
      <c r="GU128" s="417"/>
      <c r="GV128" s="417"/>
      <c r="GW128" s="417"/>
      <c r="GX128" s="417"/>
      <c r="GY128" s="417"/>
      <c r="GZ128" s="417"/>
      <c r="HA128" s="417"/>
      <c r="HB128" s="417"/>
      <c r="HC128" s="418"/>
      <c r="HD128" s="418"/>
      <c r="HE128" s="418"/>
      <c r="HF128" s="417"/>
      <c r="HG128" s="417"/>
      <c r="HH128" s="417"/>
      <c r="HI128" s="417"/>
      <c r="HJ128" s="417"/>
      <c r="HK128" s="417"/>
      <c r="HL128" s="417"/>
      <c r="HM128" s="417"/>
      <c r="HN128" s="417"/>
      <c r="HO128" s="417"/>
      <c r="HP128" s="417"/>
      <c r="HQ128" s="417"/>
      <c r="HR128" s="418"/>
      <c r="HS128" s="418"/>
      <c r="HT128" s="418"/>
    </row>
    <row r="129" spans="1:228" s="387" customFormat="1" ht="12.75" customHeight="1" x14ac:dyDescent="0.2">
      <c r="A129" s="406" t="s">
        <v>55</v>
      </c>
      <c r="B129" s="407" t="s">
        <v>39</v>
      </c>
      <c r="C129" s="406" t="s">
        <v>56</v>
      </c>
      <c r="D129" s="407" t="s">
        <v>271</v>
      </c>
      <c r="E129" s="407" t="s">
        <v>56</v>
      </c>
      <c r="F129" s="407" t="s">
        <v>271</v>
      </c>
      <c r="G129" s="406" t="s">
        <v>54</v>
      </c>
      <c r="H129" s="408" t="s">
        <v>520</v>
      </c>
      <c r="I129" s="408"/>
      <c r="J129" s="406" t="s">
        <v>549</v>
      </c>
      <c r="K129" s="406" t="s">
        <v>596</v>
      </c>
      <c r="L129" s="406" t="s">
        <v>597</v>
      </c>
      <c r="M129" s="406" t="s">
        <v>1690</v>
      </c>
      <c r="N129" s="452">
        <v>0</v>
      </c>
      <c r="O129" s="452">
        <v>0</v>
      </c>
      <c r="P129" s="452">
        <v>0</v>
      </c>
      <c r="Q129" s="452">
        <v>0</v>
      </c>
      <c r="R129" s="452">
        <v>0</v>
      </c>
      <c r="S129" s="452">
        <v>0</v>
      </c>
      <c r="T129" s="452">
        <v>0</v>
      </c>
      <c r="U129" s="409">
        <v>0</v>
      </c>
      <c r="V129" s="409"/>
      <c r="W129" s="409"/>
      <c r="X129" s="409"/>
      <c r="Y129" s="409"/>
      <c r="Z129" s="453">
        <f t="shared" si="47"/>
        <v>0</v>
      </c>
      <c r="AA129" s="452"/>
      <c r="AB129" s="452"/>
      <c r="AC129" s="452"/>
      <c r="AD129" s="452"/>
      <c r="AE129" s="452"/>
      <c r="AF129" s="452"/>
      <c r="AG129" s="452"/>
      <c r="AH129" s="409"/>
      <c r="AI129" s="409">
        <v>660</v>
      </c>
      <c r="AJ129" s="409"/>
      <c r="AK129" s="409"/>
      <c r="AL129" s="409"/>
      <c r="AM129" s="453">
        <f t="shared" si="34"/>
        <v>660</v>
      </c>
      <c r="AN129" s="452">
        <v>124</v>
      </c>
      <c r="AO129" s="452">
        <v>120</v>
      </c>
      <c r="AP129" s="452">
        <v>116</v>
      </c>
      <c r="AQ129" s="452">
        <v>100</v>
      </c>
      <c r="AR129" s="452">
        <v>74</v>
      </c>
      <c r="AS129" s="452"/>
      <c r="AT129" s="452"/>
      <c r="AU129" s="409"/>
      <c r="AV129" s="409"/>
      <c r="AW129" s="409"/>
      <c r="AX129" s="409"/>
      <c r="AY129" s="409"/>
      <c r="AZ129" s="453">
        <f t="shared" si="35"/>
        <v>534</v>
      </c>
      <c r="BA129" s="452"/>
      <c r="BB129" s="452"/>
      <c r="BC129" s="452"/>
      <c r="BD129" s="452"/>
      <c r="BE129" s="452">
        <v>320</v>
      </c>
      <c r="BF129" s="452"/>
      <c r="BG129" s="452"/>
      <c r="BH129" s="409"/>
      <c r="BI129" s="409"/>
      <c r="BJ129" s="409"/>
      <c r="BK129" s="409"/>
      <c r="BL129" s="409">
        <v>0</v>
      </c>
      <c r="BM129" s="453">
        <f t="shared" si="36"/>
        <v>320</v>
      </c>
      <c r="BN129" s="452"/>
      <c r="BO129" s="452"/>
      <c r="BP129" s="452"/>
      <c r="BQ129" s="452"/>
      <c r="BR129" s="452"/>
      <c r="BS129" s="452"/>
      <c r="BT129" s="452"/>
      <c r="BU129" s="409"/>
      <c r="BV129" s="409"/>
      <c r="BW129" s="409"/>
      <c r="BX129" s="409"/>
      <c r="BY129" s="409">
        <v>0</v>
      </c>
      <c r="BZ129" s="453">
        <f t="shared" si="37"/>
        <v>0</v>
      </c>
      <c r="CA129" s="454">
        <f t="shared" si="38"/>
        <v>1514</v>
      </c>
      <c r="CB129" s="411"/>
      <c r="CC129" s="411"/>
      <c r="CD129" s="411"/>
      <c r="CE129" s="411"/>
      <c r="CF129" s="411"/>
      <c r="CG129" s="412"/>
      <c r="CH129" s="413"/>
      <c r="CI129" s="414" t="s">
        <v>70</v>
      </c>
      <c r="CJ129" s="422">
        <v>0</v>
      </c>
      <c r="CK129" s="422">
        <v>0</v>
      </c>
      <c r="CL129" s="422">
        <v>0</v>
      </c>
      <c r="CM129" s="422">
        <v>0</v>
      </c>
      <c r="CN129" s="423">
        <v>0</v>
      </c>
      <c r="CO129" s="423">
        <v>0</v>
      </c>
      <c r="CP129" s="423">
        <v>0</v>
      </c>
      <c r="CQ129" s="423">
        <v>0</v>
      </c>
      <c r="CR129" s="423">
        <v>0</v>
      </c>
      <c r="CS129" s="423">
        <v>0</v>
      </c>
      <c r="CT129" s="423">
        <v>0</v>
      </c>
      <c r="CU129" s="423">
        <v>0</v>
      </c>
      <c r="CV129" s="410">
        <f t="shared" si="50"/>
        <v>0</v>
      </c>
      <c r="CW129" s="422">
        <v>0</v>
      </c>
      <c r="CX129" s="422">
        <v>0</v>
      </c>
      <c r="CY129" s="422">
        <v>0</v>
      </c>
      <c r="CZ129" s="422">
        <v>0</v>
      </c>
      <c r="DA129" s="423">
        <v>0</v>
      </c>
      <c r="DB129" s="423">
        <v>1.2989609151597099E-2</v>
      </c>
      <c r="DC129" s="423">
        <v>1.7648925477713448E-2</v>
      </c>
      <c r="DD129" s="423">
        <v>2.2167050400008093E-2</v>
      </c>
      <c r="DE129" s="423">
        <v>2.2590624611473216E-2</v>
      </c>
      <c r="DF129" s="423">
        <v>2.4284921457333707E-2</v>
      </c>
      <c r="DG129" s="423">
        <v>2.2025858996186386E-2</v>
      </c>
      <c r="DH129" s="423">
        <v>1.8072499689178571E-2</v>
      </c>
      <c r="DI129" s="410">
        <f t="shared" si="51"/>
        <v>0.13977948978349053</v>
      </c>
      <c r="DJ129" s="422">
        <v>1.4132254218470627E-2</v>
      </c>
      <c r="DK129" s="422">
        <v>1.3676375050132864E-2</v>
      </c>
      <c r="DL129" s="422">
        <v>1.3220495881795103E-2</v>
      </c>
      <c r="DM129" s="422">
        <v>1.1396979208444053E-2</v>
      </c>
      <c r="DN129" s="423">
        <v>1.0941100040106292E-2</v>
      </c>
      <c r="DO129" s="423">
        <v>0</v>
      </c>
      <c r="DP129" s="423">
        <v>0</v>
      </c>
      <c r="DQ129" s="423">
        <v>0</v>
      </c>
      <c r="DR129" s="423">
        <v>0</v>
      </c>
      <c r="DS129" s="423">
        <v>0</v>
      </c>
      <c r="DT129" s="423">
        <v>0</v>
      </c>
      <c r="DU129" s="423">
        <v>0</v>
      </c>
      <c r="DV129" s="410">
        <f t="shared" si="52"/>
        <v>6.336720439894894E-2</v>
      </c>
      <c r="DW129" s="422">
        <v>0</v>
      </c>
      <c r="DX129" s="422">
        <v>0</v>
      </c>
      <c r="DY129" s="422">
        <v>0</v>
      </c>
      <c r="DZ129" s="422">
        <v>0</v>
      </c>
      <c r="EA129" s="423">
        <v>0</v>
      </c>
      <c r="EB129" s="423">
        <v>0</v>
      </c>
      <c r="EC129" s="423">
        <v>0</v>
      </c>
      <c r="ED129" s="423">
        <v>0</v>
      </c>
      <c r="EE129" s="423">
        <v>0</v>
      </c>
      <c r="EF129" s="423">
        <v>0</v>
      </c>
      <c r="EG129" s="423">
        <v>0</v>
      </c>
      <c r="EH129" s="423">
        <v>0</v>
      </c>
      <c r="EI129" s="410">
        <f t="shared" si="53"/>
        <v>0</v>
      </c>
      <c r="EJ129" s="422">
        <v>0</v>
      </c>
      <c r="EK129" s="422">
        <v>0</v>
      </c>
      <c r="EL129" s="422">
        <v>0</v>
      </c>
      <c r="EM129" s="422">
        <v>0</v>
      </c>
      <c r="EN129" s="423">
        <v>0</v>
      </c>
      <c r="EO129" s="423">
        <v>0</v>
      </c>
      <c r="EP129" s="423">
        <v>0</v>
      </c>
      <c r="EQ129" s="423">
        <v>0</v>
      </c>
      <c r="ER129" s="423">
        <v>0</v>
      </c>
      <c r="ES129" s="423">
        <v>0</v>
      </c>
      <c r="ET129" s="423">
        <v>0</v>
      </c>
      <c r="EU129" s="423">
        <v>0</v>
      </c>
      <c r="EV129" s="410">
        <f t="shared" si="54"/>
        <v>0</v>
      </c>
      <c r="EW129" s="416">
        <f t="shared" si="55"/>
        <v>0.20314669418243947</v>
      </c>
      <c r="EX129" s="417">
        <f>IFERROR(VLOOKUP(H129,CEI_012018!$A$1:$U$509,9,FALSE),0)</f>
        <v>0</v>
      </c>
      <c r="EY129" s="417">
        <f>IFERROR(VLOOKUP(H129,CEI_022018!$A$1:$U$509,9,FALSE),0)</f>
        <v>0</v>
      </c>
      <c r="EZ129" s="417">
        <f>IFERROR(VLOOKUP(H129,CEI_032018!$A$1:$U$509,9,FALSE),0)</f>
        <v>0</v>
      </c>
      <c r="FA129" s="417">
        <f>IFERROR(VLOOKUP(H129,CEI_042018!$A$1:$U$491,9,FALSE),0)</f>
        <v>0</v>
      </c>
      <c r="FB129" s="417">
        <f>IFERROR(VLOOKUP(H129,CEI_052018!$A$1:$U$489,9,FALSE),0)</f>
        <v>0</v>
      </c>
      <c r="FC129" s="417">
        <f>IFERROR(VLOOKUP(H129,CEI_062018!$A$1:$U$489,9,FALSE),0)</f>
        <v>0</v>
      </c>
      <c r="FD129" s="417">
        <f>IFERROR(VLOOKUP(H129,CEI_072018!$A$1:$U$489,9,FALSE),0)</f>
        <v>0</v>
      </c>
      <c r="FE129" s="417">
        <f>IFERROR(VLOOKUP(H129,CEI_082018!$A$1:$U$489,9,FALSE),0)</f>
        <v>0</v>
      </c>
      <c r="FF129" s="417">
        <f>IFERROR(VLOOKUP(H129,CEI_092018!$A$1:$U$489,9,FALSE),0)</f>
        <v>0</v>
      </c>
      <c r="FG129" s="417"/>
      <c r="FH129" s="417"/>
      <c r="FI129" s="417"/>
      <c r="FJ129" s="418">
        <f>IFERROR(VLOOKUP(H129,CEI_092018!$A$1:$U$489,12,FALSE),0)</f>
        <v>0</v>
      </c>
      <c r="FK129" s="418">
        <f t="shared" si="56"/>
        <v>0</v>
      </c>
      <c r="FL129" s="418">
        <f t="shared" si="57"/>
        <v>0</v>
      </c>
      <c r="FM129" s="417"/>
      <c r="FN129" s="417"/>
      <c r="FO129" s="417"/>
      <c r="FP129" s="417"/>
      <c r="FQ129" s="417"/>
      <c r="FR129" s="417"/>
      <c r="FS129" s="417"/>
      <c r="FT129" s="417"/>
      <c r="FU129" s="417"/>
      <c r="FV129" s="417"/>
      <c r="FW129" s="417"/>
      <c r="FX129" s="417"/>
      <c r="FY129" s="418"/>
      <c r="FZ129" s="418"/>
      <c r="GA129" s="418"/>
      <c r="GB129" s="417"/>
      <c r="GC129" s="417"/>
      <c r="GD129" s="417"/>
      <c r="GE129" s="417"/>
      <c r="GF129" s="417"/>
      <c r="GG129" s="417"/>
      <c r="GH129" s="417"/>
      <c r="GI129" s="417"/>
      <c r="GJ129" s="417"/>
      <c r="GK129" s="417"/>
      <c r="GL129" s="417"/>
      <c r="GM129" s="417"/>
      <c r="GN129" s="418"/>
      <c r="GO129" s="418"/>
      <c r="GP129" s="418"/>
      <c r="GQ129" s="417"/>
      <c r="GR129" s="417"/>
      <c r="GS129" s="417"/>
      <c r="GT129" s="417"/>
      <c r="GU129" s="417"/>
      <c r="GV129" s="417"/>
      <c r="GW129" s="417"/>
      <c r="GX129" s="417"/>
      <c r="GY129" s="417"/>
      <c r="GZ129" s="417"/>
      <c r="HA129" s="417"/>
      <c r="HB129" s="417"/>
      <c r="HC129" s="418"/>
      <c r="HD129" s="418"/>
      <c r="HE129" s="418"/>
      <c r="HF129" s="417"/>
      <c r="HG129" s="417"/>
      <c r="HH129" s="417"/>
      <c r="HI129" s="417"/>
      <c r="HJ129" s="417"/>
      <c r="HK129" s="417"/>
      <c r="HL129" s="417"/>
      <c r="HM129" s="417"/>
      <c r="HN129" s="417"/>
      <c r="HO129" s="417"/>
      <c r="HP129" s="417"/>
      <c r="HQ129" s="417"/>
      <c r="HR129" s="418"/>
      <c r="HS129" s="418"/>
      <c r="HT129" s="418"/>
    </row>
    <row r="130" spans="1:228" s="387" customFormat="1" ht="12.75" customHeight="1" x14ac:dyDescent="0.2">
      <c r="A130" s="406" t="s">
        <v>55</v>
      </c>
      <c r="B130" s="407" t="s">
        <v>39</v>
      </c>
      <c r="C130" s="406" t="s">
        <v>56</v>
      </c>
      <c r="D130" s="407" t="s">
        <v>271</v>
      </c>
      <c r="E130" s="407" t="s">
        <v>56</v>
      </c>
      <c r="F130" s="407" t="s">
        <v>271</v>
      </c>
      <c r="G130" s="406" t="s">
        <v>54</v>
      </c>
      <c r="H130" s="408" t="s">
        <v>520</v>
      </c>
      <c r="I130" s="408"/>
      <c r="J130" s="406" t="s">
        <v>940</v>
      </c>
      <c r="K130" s="406" t="s">
        <v>941</v>
      </c>
      <c r="L130" s="406" t="s">
        <v>597</v>
      </c>
      <c r="M130" s="406"/>
      <c r="N130" s="452">
        <v>0</v>
      </c>
      <c r="O130" s="452">
        <v>0</v>
      </c>
      <c r="P130" s="452">
        <v>0</v>
      </c>
      <c r="Q130" s="452">
        <v>0</v>
      </c>
      <c r="R130" s="452">
        <v>0</v>
      </c>
      <c r="S130" s="452">
        <v>0</v>
      </c>
      <c r="T130" s="452">
        <v>0</v>
      </c>
      <c r="U130" s="409">
        <v>0</v>
      </c>
      <c r="V130" s="409"/>
      <c r="W130" s="409"/>
      <c r="X130" s="409"/>
      <c r="Y130" s="409"/>
      <c r="Z130" s="453">
        <f t="shared" si="47"/>
        <v>0</v>
      </c>
      <c r="AA130" s="452">
        <v>10</v>
      </c>
      <c r="AB130" s="452">
        <v>10</v>
      </c>
      <c r="AC130" s="452">
        <v>10</v>
      </c>
      <c r="AD130" s="452"/>
      <c r="AE130" s="452"/>
      <c r="AF130" s="452"/>
      <c r="AG130" s="452"/>
      <c r="AH130" s="409"/>
      <c r="AI130" s="409"/>
      <c r="AJ130" s="409"/>
      <c r="AK130" s="409"/>
      <c r="AL130" s="409"/>
      <c r="AM130" s="453">
        <f t="shared" ref="AM130:AM193" si="58">SUM(AA130:AL130)</f>
        <v>30</v>
      </c>
      <c r="AN130" s="452"/>
      <c r="AO130" s="452"/>
      <c r="AP130" s="452">
        <v>50</v>
      </c>
      <c r="AQ130" s="452">
        <v>110</v>
      </c>
      <c r="AR130" s="452">
        <v>155</v>
      </c>
      <c r="AS130" s="452">
        <v>175</v>
      </c>
      <c r="AT130" s="452">
        <v>100</v>
      </c>
      <c r="AU130" s="409">
        <v>50</v>
      </c>
      <c r="AV130" s="409"/>
      <c r="AW130" s="409"/>
      <c r="AX130" s="409"/>
      <c r="AY130" s="409"/>
      <c r="AZ130" s="453">
        <f t="shared" ref="AZ130:AZ193" si="59">SUM(AN130:AY130)</f>
        <v>640</v>
      </c>
      <c r="BA130" s="452"/>
      <c r="BB130" s="452"/>
      <c r="BC130" s="452"/>
      <c r="BD130" s="452"/>
      <c r="BE130" s="452"/>
      <c r="BF130" s="452"/>
      <c r="BG130" s="452"/>
      <c r="BH130" s="409"/>
      <c r="BI130" s="409"/>
      <c r="BJ130" s="409"/>
      <c r="BK130" s="409"/>
      <c r="BL130" s="409"/>
      <c r="BM130" s="453">
        <f t="shared" ref="BM130:BM193" si="60">SUM(BA130:BL130)</f>
        <v>0</v>
      </c>
      <c r="BN130" s="452"/>
      <c r="BO130" s="452"/>
      <c r="BP130" s="452"/>
      <c r="BQ130" s="452"/>
      <c r="BR130" s="452"/>
      <c r="BS130" s="452"/>
      <c r="BT130" s="452"/>
      <c r="BU130" s="409"/>
      <c r="BV130" s="409"/>
      <c r="BW130" s="409"/>
      <c r="BX130" s="409"/>
      <c r="BY130" s="409"/>
      <c r="BZ130" s="453">
        <f t="shared" ref="BZ130:BZ193" si="61">SUM(BN130:BY130)</f>
        <v>0</v>
      </c>
      <c r="CA130" s="454">
        <f t="shared" ref="CA130:CA193" si="62">SUM(BZ130,BM130,AZ130,AM130,Z130)</f>
        <v>670</v>
      </c>
      <c r="CB130" s="411"/>
      <c r="CC130" s="411"/>
      <c r="CD130" s="411"/>
      <c r="CE130" s="411"/>
      <c r="CF130" s="411"/>
      <c r="CG130" s="412"/>
      <c r="CH130" s="413"/>
      <c r="CI130" s="414" t="s">
        <v>70</v>
      </c>
      <c r="CJ130" s="422">
        <v>0</v>
      </c>
      <c r="CK130" s="422">
        <v>0</v>
      </c>
      <c r="CL130" s="422">
        <v>0</v>
      </c>
      <c r="CM130" s="422">
        <v>0</v>
      </c>
      <c r="CN130" s="423">
        <v>0</v>
      </c>
      <c r="CO130" s="423">
        <v>0</v>
      </c>
      <c r="CP130" s="423">
        <v>0</v>
      </c>
      <c r="CQ130" s="423">
        <v>0</v>
      </c>
      <c r="CR130" s="423">
        <v>0</v>
      </c>
      <c r="CS130" s="423">
        <v>0</v>
      </c>
      <c r="CT130" s="423">
        <v>0</v>
      </c>
      <c r="CU130" s="423">
        <v>0</v>
      </c>
      <c r="CV130" s="410">
        <f t="shared" si="50"/>
        <v>0</v>
      </c>
      <c r="CW130" s="422">
        <v>1.411914038217076E-3</v>
      </c>
      <c r="CX130" s="422">
        <v>1.411914038217076E-3</v>
      </c>
      <c r="CY130" s="422">
        <v>0</v>
      </c>
      <c r="CZ130" s="422">
        <v>0</v>
      </c>
      <c r="DA130" s="423">
        <v>0</v>
      </c>
      <c r="DB130" s="423">
        <v>0</v>
      </c>
      <c r="DC130" s="423">
        <v>0</v>
      </c>
      <c r="DD130" s="423">
        <v>0</v>
      </c>
      <c r="DE130" s="423">
        <v>0</v>
      </c>
      <c r="DF130" s="423">
        <v>0</v>
      </c>
      <c r="DG130" s="423">
        <v>0</v>
      </c>
      <c r="DH130" s="423">
        <v>0</v>
      </c>
      <c r="DI130" s="410">
        <f t="shared" si="51"/>
        <v>2.823828076434152E-3</v>
      </c>
      <c r="DJ130" s="422">
        <v>0</v>
      </c>
      <c r="DK130" s="422">
        <v>0</v>
      </c>
      <c r="DL130" s="422">
        <v>6.8381875250664321E-3</v>
      </c>
      <c r="DM130" s="422">
        <v>1.253667712928846E-2</v>
      </c>
      <c r="DN130" s="423">
        <v>1.7665317773088284E-2</v>
      </c>
      <c r="DO130" s="423">
        <v>1.9944713614777093E-2</v>
      </c>
      <c r="DP130" s="423">
        <v>1.1396979208444053E-2</v>
      </c>
      <c r="DQ130" s="423">
        <v>5.6984896042220267E-3</v>
      </c>
      <c r="DR130" s="423">
        <v>0</v>
      </c>
      <c r="DS130" s="423">
        <v>0</v>
      </c>
      <c r="DT130" s="423">
        <v>0</v>
      </c>
      <c r="DU130" s="423">
        <v>0</v>
      </c>
      <c r="DV130" s="410">
        <f t="shared" si="52"/>
        <v>7.4080364854886338E-2</v>
      </c>
      <c r="DW130" s="422">
        <v>0</v>
      </c>
      <c r="DX130" s="422">
        <v>0</v>
      </c>
      <c r="DY130" s="422">
        <v>0</v>
      </c>
      <c r="DZ130" s="422">
        <v>0</v>
      </c>
      <c r="EA130" s="423">
        <v>0</v>
      </c>
      <c r="EB130" s="423">
        <v>0</v>
      </c>
      <c r="EC130" s="423">
        <v>0</v>
      </c>
      <c r="ED130" s="423">
        <v>0</v>
      </c>
      <c r="EE130" s="423">
        <v>0</v>
      </c>
      <c r="EF130" s="423">
        <v>0</v>
      </c>
      <c r="EG130" s="423">
        <v>0</v>
      </c>
      <c r="EH130" s="423">
        <v>0</v>
      </c>
      <c r="EI130" s="410">
        <f t="shared" si="53"/>
        <v>0</v>
      </c>
      <c r="EJ130" s="422">
        <v>0</v>
      </c>
      <c r="EK130" s="422">
        <v>0</v>
      </c>
      <c r="EL130" s="422">
        <v>0</v>
      </c>
      <c r="EM130" s="422">
        <v>0</v>
      </c>
      <c r="EN130" s="423">
        <v>0</v>
      </c>
      <c r="EO130" s="423">
        <v>0</v>
      </c>
      <c r="EP130" s="423">
        <v>0</v>
      </c>
      <c r="EQ130" s="423">
        <v>0</v>
      </c>
      <c r="ER130" s="423">
        <v>0</v>
      </c>
      <c r="ES130" s="423">
        <v>0</v>
      </c>
      <c r="ET130" s="423">
        <v>0</v>
      </c>
      <c r="EU130" s="423">
        <v>0</v>
      </c>
      <c r="EV130" s="410">
        <f t="shared" si="54"/>
        <v>0</v>
      </c>
      <c r="EW130" s="416">
        <f t="shared" si="55"/>
        <v>7.6904192931320489E-2</v>
      </c>
      <c r="EX130" s="417">
        <f>IFERROR(VLOOKUP(H130,CEI_012018!$A$1:$U$509,9,FALSE),0)</f>
        <v>0</v>
      </c>
      <c r="EY130" s="417">
        <f>IFERROR(VLOOKUP(H130,CEI_022018!$A$1:$U$509,9,FALSE),0)</f>
        <v>0</v>
      </c>
      <c r="EZ130" s="417">
        <f>IFERROR(VLOOKUP(H130,CEI_032018!$A$1:$U$509,9,FALSE),0)</f>
        <v>0</v>
      </c>
      <c r="FA130" s="417">
        <f>IFERROR(VLOOKUP(H130,CEI_042018!$A$1:$U$491,9,FALSE),0)</f>
        <v>0</v>
      </c>
      <c r="FB130" s="417">
        <f>IFERROR(VLOOKUP(H130,CEI_052018!$A$1:$U$489,9,FALSE),0)</f>
        <v>0</v>
      </c>
      <c r="FC130" s="417">
        <f>IFERROR(VLOOKUP(H130,CEI_062018!$A$1:$U$489,9,FALSE),0)</f>
        <v>0</v>
      </c>
      <c r="FD130" s="417">
        <f>IFERROR(VLOOKUP(H130,CEI_072018!$A$1:$U$489,9,FALSE),0)</f>
        <v>0</v>
      </c>
      <c r="FE130" s="417">
        <f>IFERROR(VLOOKUP(H130,CEI_082018!$A$1:$U$489,9,FALSE),0)</f>
        <v>0</v>
      </c>
      <c r="FF130" s="417">
        <f>IFERROR(VLOOKUP(H130,CEI_092018!$A$1:$U$489,9,FALSE),0)</f>
        <v>0</v>
      </c>
      <c r="FG130" s="417"/>
      <c r="FH130" s="417"/>
      <c r="FI130" s="417"/>
      <c r="FJ130" s="418">
        <f>IFERROR(VLOOKUP(H130,CEI_092018!$A$1:$U$489,12,FALSE),0)</f>
        <v>0</v>
      </c>
      <c r="FK130" s="418">
        <f t="shared" si="56"/>
        <v>0</v>
      </c>
      <c r="FL130" s="418">
        <f t="shared" si="57"/>
        <v>0</v>
      </c>
      <c r="FM130" s="417"/>
      <c r="FN130" s="417"/>
      <c r="FO130" s="417"/>
      <c r="FP130" s="417"/>
      <c r="FQ130" s="417"/>
      <c r="FR130" s="417"/>
      <c r="FS130" s="417"/>
      <c r="FT130" s="417"/>
      <c r="FU130" s="417"/>
      <c r="FV130" s="417"/>
      <c r="FW130" s="417"/>
      <c r="FX130" s="417"/>
      <c r="FY130" s="418"/>
      <c r="FZ130" s="418"/>
      <c r="GA130" s="418"/>
      <c r="GB130" s="417"/>
      <c r="GC130" s="417"/>
      <c r="GD130" s="417"/>
      <c r="GE130" s="417"/>
      <c r="GF130" s="417"/>
      <c r="GG130" s="417"/>
      <c r="GH130" s="417"/>
      <c r="GI130" s="417"/>
      <c r="GJ130" s="417"/>
      <c r="GK130" s="417"/>
      <c r="GL130" s="417"/>
      <c r="GM130" s="417"/>
      <c r="GN130" s="418"/>
      <c r="GO130" s="418"/>
      <c r="GP130" s="418"/>
      <c r="GQ130" s="417"/>
      <c r="GR130" s="417"/>
      <c r="GS130" s="417"/>
      <c r="GT130" s="417"/>
      <c r="GU130" s="417"/>
      <c r="GV130" s="417"/>
      <c r="GW130" s="417"/>
      <c r="GX130" s="417"/>
      <c r="GY130" s="417"/>
      <c r="GZ130" s="417"/>
      <c r="HA130" s="417"/>
      <c r="HB130" s="417"/>
      <c r="HC130" s="418"/>
      <c r="HD130" s="418"/>
      <c r="HE130" s="418"/>
      <c r="HF130" s="417"/>
      <c r="HG130" s="417"/>
      <c r="HH130" s="417"/>
      <c r="HI130" s="417"/>
      <c r="HJ130" s="417"/>
      <c r="HK130" s="417"/>
      <c r="HL130" s="417"/>
      <c r="HM130" s="417"/>
      <c r="HN130" s="417"/>
      <c r="HO130" s="417"/>
      <c r="HP130" s="417"/>
      <c r="HQ130" s="417"/>
      <c r="HR130" s="418"/>
      <c r="HS130" s="418"/>
      <c r="HT130" s="418"/>
    </row>
    <row r="131" spans="1:228" s="387" customFormat="1" ht="12.75" customHeight="1" x14ac:dyDescent="0.2">
      <c r="A131" s="406" t="s">
        <v>55</v>
      </c>
      <c r="B131" s="407" t="s">
        <v>39</v>
      </c>
      <c r="C131" s="406" t="s">
        <v>56</v>
      </c>
      <c r="D131" s="407" t="s">
        <v>405</v>
      </c>
      <c r="E131" s="407" t="s">
        <v>56</v>
      </c>
      <c r="F131" s="407" t="s">
        <v>405</v>
      </c>
      <c r="G131" s="406" t="s">
        <v>54</v>
      </c>
      <c r="H131" s="408" t="s">
        <v>520</v>
      </c>
      <c r="I131" s="408"/>
      <c r="J131" s="406" t="s">
        <v>590</v>
      </c>
      <c r="K131" s="406" t="s">
        <v>587</v>
      </c>
      <c r="L131" s="406" t="s">
        <v>586</v>
      </c>
      <c r="M131" s="406"/>
      <c r="N131" s="452">
        <v>0</v>
      </c>
      <c r="O131" s="452">
        <v>0</v>
      </c>
      <c r="P131" s="452">
        <v>0</v>
      </c>
      <c r="Q131" s="452">
        <v>0</v>
      </c>
      <c r="R131" s="452">
        <v>0</v>
      </c>
      <c r="S131" s="452">
        <v>0</v>
      </c>
      <c r="T131" s="452">
        <v>0</v>
      </c>
      <c r="U131" s="409">
        <v>0</v>
      </c>
      <c r="V131" s="409"/>
      <c r="W131" s="409"/>
      <c r="X131" s="409"/>
      <c r="Y131" s="409"/>
      <c r="Z131" s="453">
        <f t="shared" ref="Z131:Z194" si="63">SUM(N131:Y131)</f>
        <v>0</v>
      </c>
      <c r="AA131" s="452"/>
      <c r="AB131" s="452"/>
      <c r="AC131" s="452"/>
      <c r="AD131" s="452"/>
      <c r="AE131" s="452"/>
      <c r="AF131" s="452"/>
      <c r="AG131" s="452"/>
      <c r="AH131" s="409"/>
      <c r="AI131" s="409"/>
      <c r="AJ131" s="409"/>
      <c r="AK131" s="409"/>
      <c r="AL131" s="409">
        <v>250</v>
      </c>
      <c r="AM131" s="453">
        <f t="shared" si="58"/>
        <v>250</v>
      </c>
      <c r="AN131" s="452"/>
      <c r="AO131" s="452"/>
      <c r="AP131" s="452"/>
      <c r="AQ131" s="452"/>
      <c r="AR131" s="452"/>
      <c r="AS131" s="452"/>
      <c r="AT131" s="452"/>
      <c r="AU131" s="409"/>
      <c r="AV131" s="409"/>
      <c r="AW131" s="409"/>
      <c r="AX131" s="409"/>
      <c r="AY131" s="409"/>
      <c r="AZ131" s="453">
        <f t="shared" si="59"/>
        <v>0</v>
      </c>
      <c r="BA131" s="452"/>
      <c r="BB131" s="452"/>
      <c r="BC131" s="452"/>
      <c r="BD131" s="452"/>
      <c r="BE131" s="452"/>
      <c r="BF131" s="452"/>
      <c r="BG131" s="452"/>
      <c r="BH131" s="409"/>
      <c r="BI131" s="409"/>
      <c r="BJ131" s="409"/>
      <c r="BK131" s="409"/>
      <c r="BL131" s="409"/>
      <c r="BM131" s="453">
        <f t="shared" si="60"/>
        <v>0</v>
      </c>
      <c r="BN131" s="452"/>
      <c r="BO131" s="452"/>
      <c r="BP131" s="452"/>
      <c r="BQ131" s="452"/>
      <c r="BR131" s="452"/>
      <c r="BS131" s="452"/>
      <c r="BT131" s="452"/>
      <c r="BU131" s="409"/>
      <c r="BV131" s="409"/>
      <c r="BW131" s="409"/>
      <c r="BX131" s="409"/>
      <c r="BY131" s="409"/>
      <c r="BZ131" s="453">
        <f t="shared" si="61"/>
        <v>0</v>
      </c>
      <c r="CA131" s="454">
        <f t="shared" si="62"/>
        <v>250</v>
      </c>
      <c r="CB131" s="411"/>
      <c r="CC131" s="411"/>
      <c r="CD131" s="411"/>
      <c r="CE131" s="411"/>
      <c r="CF131" s="411"/>
      <c r="CG131" s="412"/>
      <c r="CH131" s="413"/>
      <c r="CI131" s="414" t="s">
        <v>450</v>
      </c>
      <c r="CJ131" s="415"/>
      <c r="CK131" s="415"/>
      <c r="CL131" s="415"/>
      <c r="CM131" s="415"/>
      <c r="CN131" s="415"/>
      <c r="CO131" s="415"/>
      <c r="CP131" s="415"/>
      <c r="CQ131" s="415"/>
      <c r="CR131" s="415"/>
      <c r="CS131" s="415"/>
      <c r="CT131" s="415"/>
      <c r="CU131" s="415"/>
      <c r="CV131" s="410">
        <f t="shared" si="50"/>
        <v>0</v>
      </c>
      <c r="CW131" s="415"/>
      <c r="CX131" s="415"/>
      <c r="CY131" s="415"/>
      <c r="CZ131" s="415"/>
      <c r="DA131" s="415"/>
      <c r="DB131" s="415"/>
      <c r="DC131" s="415"/>
      <c r="DD131" s="415"/>
      <c r="DE131" s="415"/>
      <c r="DF131" s="415"/>
      <c r="DG131" s="415"/>
      <c r="DH131" s="415">
        <v>738</v>
      </c>
      <c r="DI131" s="410">
        <f t="shared" si="51"/>
        <v>738</v>
      </c>
      <c r="DJ131" s="415"/>
      <c r="DK131" s="415"/>
      <c r="DL131" s="415"/>
      <c r="DM131" s="415"/>
      <c r="DN131" s="415"/>
      <c r="DO131" s="415"/>
      <c r="DP131" s="415"/>
      <c r="DQ131" s="415"/>
      <c r="DR131" s="415"/>
      <c r="DS131" s="415"/>
      <c r="DT131" s="415"/>
      <c r="DU131" s="415"/>
      <c r="DV131" s="410">
        <f t="shared" si="52"/>
        <v>0</v>
      </c>
      <c r="DW131" s="415"/>
      <c r="DX131" s="415"/>
      <c r="DY131" s="415"/>
      <c r="DZ131" s="415"/>
      <c r="EA131" s="415"/>
      <c r="EB131" s="415"/>
      <c r="EC131" s="415"/>
      <c r="ED131" s="415"/>
      <c r="EE131" s="415"/>
      <c r="EF131" s="415"/>
      <c r="EG131" s="415"/>
      <c r="EH131" s="415"/>
      <c r="EI131" s="410">
        <f t="shared" si="53"/>
        <v>0</v>
      </c>
      <c r="EJ131" s="415"/>
      <c r="EK131" s="415"/>
      <c r="EL131" s="415"/>
      <c r="EM131" s="415"/>
      <c r="EN131" s="415"/>
      <c r="EO131" s="415"/>
      <c r="EP131" s="415"/>
      <c r="EQ131" s="415"/>
      <c r="ER131" s="415"/>
      <c r="ES131" s="415"/>
      <c r="ET131" s="415"/>
      <c r="EU131" s="415"/>
      <c r="EV131" s="410">
        <f t="shared" si="54"/>
        <v>0</v>
      </c>
      <c r="EW131" s="416">
        <f t="shared" si="55"/>
        <v>738</v>
      </c>
      <c r="EX131" s="417">
        <f>IFERROR(VLOOKUP(H131,CEI_012018!$A$1:$U$509,9,FALSE),0)</f>
        <v>0</v>
      </c>
      <c r="EY131" s="417">
        <f>IFERROR(VLOOKUP(H131,CEI_022018!$A$1:$U$509,9,FALSE),0)</f>
        <v>0</v>
      </c>
      <c r="EZ131" s="417">
        <f>IFERROR(VLOOKUP(H131,CEI_032018!$A$1:$U$509,9,FALSE),0)</f>
        <v>0</v>
      </c>
      <c r="FA131" s="417">
        <f>IFERROR(VLOOKUP(H131,CEI_042018!$A$1:$U$491,9,FALSE),0)</f>
        <v>0</v>
      </c>
      <c r="FB131" s="417">
        <f>IFERROR(VLOOKUP(H131,CEI_052018!$A$1:$U$489,9,FALSE),0)</f>
        <v>0</v>
      </c>
      <c r="FC131" s="417">
        <f>IFERROR(VLOOKUP(H131,CEI_062018!$A$1:$U$489,9,FALSE),0)</f>
        <v>0</v>
      </c>
      <c r="FD131" s="417">
        <f>IFERROR(VLOOKUP(H131,CEI_072018!$A$1:$U$489,9,FALSE),0)</f>
        <v>0</v>
      </c>
      <c r="FE131" s="417">
        <f>IFERROR(VLOOKUP(H131,CEI_082018!$A$1:$U$489,9,FALSE),0)</f>
        <v>0</v>
      </c>
      <c r="FF131" s="417">
        <f>IFERROR(VLOOKUP(H131,CEI_092018!$A$1:$U$489,9,FALSE),0)</f>
        <v>0</v>
      </c>
      <c r="FG131" s="417"/>
      <c r="FH131" s="417"/>
      <c r="FI131" s="417"/>
      <c r="FJ131" s="418">
        <f>IFERROR(VLOOKUP(H131,CEI_092018!$A$1:$U$489,12,FALSE),0)</f>
        <v>0</v>
      </c>
      <c r="FK131" s="418">
        <f t="shared" si="56"/>
        <v>0</v>
      </c>
      <c r="FL131" s="418">
        <f t="shared" si="57"/>
        <v>0</v>
      </c>
      <c r="FM131" s="417"/>
      <c r="FN131" s="417"/>
      <c r="FO131" s="417"/>
      <c r="FP131" s="417"/>
      <c r="FQ131" s="417"/>
      <c r="FR131" s="417"/>
      <c r="FS131" s="417"/>
      <c r="FT131" s="417"/>
      <c r="FU131" s="417"/>
      <c r="FV131" s="417"/>
      <c r="FW131" s="417"/>
      <c r="FX131" s="417"/>
      <c r="FY131" s="418"/>
      <c r="FZ131" s="418"/>
      <c r="GA131" s="418"/>
      <c r="GB131" s="417"/>
      <c r="GC131" s="417"/>
      <c r="GD131" s="417"/>
      <c r="GE131" s="417"/>
      <c r="GF131" s="417"/>
      <c r="GG131" s="417"/>
      <c r="GH131" s="417"/>
      <c r="GI131" s="417"/>
      <c r="GJ131" s="417"/>
      <c r="GK131" s="417"/>
      <c r="GL131" s="417"/>
      <c r="GM131" s="417"/>
      <c r="GN131" s="418"/>
      <c r="GO131" s="418"/>
      <c r="GP131" s="418"/>
      <c r="GQ131" s="417"/>
      <c r="GR131" s="417"/>
      <c r="GS131" s="417"/>
      <c r="GT131" s="417"/>
      <c r="GU131" s="417"/>
      <c r="GV131" s="417"/>
      <c r="GW131" s="417"/>
      <c r="GX131" s="417"/>
      <c r="GY131" s="417"/>
      <c r="GZ131" s="417"/>
      <c r="HA131" s="417"/>
      <c r="HB131" s="417"/>
      <c r="HC131" s="418"/>
      <c r="HD131" s="418"/>
      <c r="HE131" s="418"/>
      <c r="HF131" s="417"/>
      <c r="HG131" s="417"/>
      <c r="HH131" s="417"/>
      <c r="HI131" s="417"/>
      <c r="HJ131" s="417"/>
      <c r="HK131" s="417"/>
      <c r="HL131" s="417"/>
      <c r="HM131" s="417"/>
      <c r="HN131" s="417"/>
      <c r="HO131" s="417"/>
      <c r="HP131" s="417"/>
      <c r="HQ131" s="417"/>
      <c r="HR131" s="418"/>
      <c r="HS131" s="418"/>
      <c r="HT131" s="418"/>
    </row>
    <row r="132" spans="1:228" s="387" customFormat="1" ht="12.75" customHeight="1" x14ac:dyDescent="0.2">
      <c r="A132" s="406" t="s">
        <v>55</v>
      </c>
      <c r="B132" s="407" t="s">
        <v>39</v>
      </c>
      <c r="C132" s="406" t="s">
        <v>56</v>
      </c>
      <c r="D132" s="407" t="s">
        <v>271</v>
      </c>
      <c r="E132" s="407" t="s">
        <v>56</v>
      </c>
      <c r="F132" s="407" t="s">
        <v>271</v>
      </c>
      <c r="G132" s="406" t="s">
        <v>54</v>
      </c>
      <c r="H132" s="408" t="s">
        <v>520</v>
      </c>
      <c r="I132" s="408"/>
      <c r="J132" s="406" t="s">
        <v>534</v>
      </c>
      <c r="K132" s="406" t="s">
        <v>533</v>
      </c>
      <c r="L132" s="406" t="s">
        <v>449</v>
      </c>
      <c r="M132" s="406" t="s">
        <v>1690</v>
      </c>
      <c r="N132" s="452">
        <v>0</v>
      </c>
      <c r="O132" s="452">
        <v>0</v>
      </c>
      <c r="P132" s="452">
        <v>0</v>
      </c>
      <c r="Q132" s="452">
        <v>0</v>
      </c>
      <c r="R132" s="452">
        <v>0</v>
      </c>
      <c r="S132" s="452">
        <v>0</v>
      </c>
      <c r="T132" s="452">
        <v>0</v>
      </c>
      <c r="U132" s="409">
        <v>0</v>
      </c>
      <c r="V132" s="409"/>
      <c r="W132" s="409"/>
      <c r="X132" s="409"/>
      <c r="Y132" s="409"/>
      <c r="Z132" s="453">
        <f t="shared" si="63"/>
        <v>0</v>
      </c>
      <c r="AA132" s="452"/>
      <c r="AB132" s="452"/>
      <c r="AC132" s="452"/>
      <c r="AD132" s="452"/>
      <c r="AE132" s="452">
        <v>30</v>
      </c>
      <c r="AF132" s="452">
        <v>30</v>
      </c>
      <c r="AG132" s="452">
        <v>25</v>
      </c>
      <c r="AH132" s="409">
        <v>30</v>
      </c>
      <c r="AI132" s="409">
        <v>30</v>
      </c>
      <c r="AJ132" s="409">
        <v>38</v>
      </c>
      <c r="AK132" s="409">
        <v>40</v>
      </c>
      <c r="AL132" s="409">
        <v>45</v>
      </c>
      <c r="AM132" s="453">
        <f t="shared" si="58"/>
        <v>268</v>
      </c>
      <c r="AN132" s="452">
        <v>50</v>
      </c>
      <c r="AO132" s="452">
        <v>55</v>
      </c>
      <c r="AP132" s="452">
        <v>60</v>
      </c>
      <c r="AQ132" s="452">
        <v>65</v>
      </c>
      <c r="AR132" s="452">
        <v>70</v>
      </c>
      <c r="AS132" s="452">
        <v>80</v>
      </c>
      <c r="AT132" s="452">
        <v>80</v>
      </c>
      <c r="AU132" s="409">
        <v>80</v>
      </c>
      <c r="AV132" s="409">
        <v>75</v>
      </c>
      <c r="AW132" s="409">
        <v>70</v>
      </c>
      <c r="AX132" s="409">
        <v>65</v>
      </c>
      <c r="AY132" s="409">
        <v>60</v>
      </c>
      <c r="AZ132" s="453">
        <f t="shared" si="59"/>
        <v>810</v>
      </c>
      <c r="BA132" s="452">
        <v>55</v>
      </c>
      <c r="BB132" s="452">
        <v>45</v>
      </c>
      <c r="BC132" s="452">
        <v>40</v>
      </c>
      <c r="BD132" s="452">
        <v>35</v>
      </c>
      <c r="BE132" s="452">
        <v>35</v>
      </c>
      <c r="BF132" s="452">
        <v>25</v>
      </c>
      <c r="BG132" s="452"/>
      <c r="BH132" s="409"/>
      <c r="BI132" s="409"/>
      <c r="BJ132" s="409"/>
      <c r="BK132" s="409"/>
      <c r="BL132" s="409"/>
      <c r="BM132" s="453">
        <f t="shared" si="60"/>
        <v>235</v>
      </c>
      <c r="BN132" s="452"/>
      <c r="BO132" s="452"/>
      <c r="BP132" s="452"/>
      <c r="BQ132" s="452"/>
      <c r="BR132" s="452"/>
      <c r="BS132" s="452"/>
      <c r="BT132" s="452"/>
      <c r="BU132" s="409"/>
      <c r="BV132" s="409"/>
      <c r="BW132" s="409"/>
      <c r="BX132" s="409"/>
      <c r="BY132" s="409"/>
      <c r="BZ132" s="453">
        <f t="shared" si="61"/>
        <v>0</v>
      </c>
      <c r="CA132" s="454">
        <f t="shared" si="62"/>
        <v>1313</v>
      </c>
      <c r="CB132" s="411"/>
      <c r="CC132" s="411"/>
      <c r="CD132" s="411"/>
      <c r="CE132" s="411"/>
      <c r="CF132" s="411"/>
      <c r="CG132" s="412"/>
      <c r="CH132" s="413"/>
      <c r="CI132" s="414" t="s">
        <v>70</v>
      </c>
      <c r="CJ132" s="422">
        <v>0</v>
      </c>
      <c r="CK132" s="422">
        <v>0</v>
      </c>
      <c r="CL132" s="422">
        <v>0</v>
      </c>
      <c r="CM132" s="422">
        <v>0</v>
      </c>
      <c r="CN132" s="423">
        <v>0</v>
      </c>
      <c r="CO132" s="423">
        <v>0</v>
      </c>
      <c r="CP132" s="423">
        <v>0</v>
      </c>
      <c r="CQ132" s="423">
        <v>0</v>
      </c>
      <c r="CR132" s="423">
        <v>0</v>
      </c>
      <c r="CS132" s="423">
        <v>0</v>
      </c>
      <c r="CT132" s="423">
        <v>0</v>
      </c>
      <c r="CU132" s="423">
        <v>0</v>
      </c>
      <c r="CV132" s="410">
        <f t="shared" si="50"/>
        <v>0</v>
      </c>
      <c r="CW132" s="422">
        <v>0</v>
      </c>
      <c r="CX132" s="422">
        <v>0</v>
      </c>
      <c r="CY132" s="422">
        <v>0</v>
      </c>
      <c r="CZ132" s="422">
        <v>0</v>
      </c>
      <c r="DA132" s="423">
        <v>4.2357421146512276E-3</v>
      </c>
      <c r="DB132" s="423">
        <v>4.2357421146512276E-3</v>
      </c>
      <c r="DC132" s="423">
        <v>3.5297850955426898E-3</v>
      </c>
      <c r="DD132" s="423">
        <v>4.2357421146512276E-3</v>
      </c>
      <c r="DE132" s="423">
        <v>4.2357421146512276E-3</v>
      </c>
      <c r="DF132" s="423">
        <v>5.3652733452248889E-3</v>
      </c>
      <c r="DG132" s="423">
        <v>5.647656152868304E-3</v>
      </c>
      <c r="DH132" s="423">
        <v>6.3536131719768418E-3</v>
      </c>
      <c r="DI132" s="410">
        <f t="shared" si="51"/>
        <v>3.7839296224217632E-2</v>
      </c>
      <c r="DJ132" s="422">
        <v>5.6984896042220267E-3</v>
      </c>
      <c r="DK132" s="422">
        <v>6.2683385646442298E-3</v>
      </c>
      <c r="DL132" s="422">
        <v>6.8381875250664321E-3</v>
      </c>
      <c r="DM132" s="422">
        <v>7.4080364854886352E-3</v>
      </c>
      <c r="DN132" s="423">
        <v>7.9778854459108383E-3</v>
      </c>
      <c r="DO132" s="423">
        <v>9.1175833667552428E-3</v>
      </c>
      <c r="DP132" s="423">
        <v>9.1175833667552428E-3</v>
      </c>
      <c r="DQ132" s="423">
        <v>9.1175833667552428E-3</v>
      </c>
      <c r="DR132" s="423">
        <v>8.5477344063330397E-3</v>
      </c>
      <c r="DS132" s="423">
        <v>7.9778854459108383E-3</v>
      </c>
      <c r="DT132" s="423">
        <v>7.4080364854886352E-3</v>
      </c>
      <c r="DU132" s="423">
        <v>6.8381875250664321E-3</v>
      </c>
      <c r="DV132" s="410">
        <f t="shared" si="52"/>
        <v>9.2315531588396837E-2</v>
      </c>
      <c r="DW132" s="422">
        <v>6.5465949731196805E-3</v>
      </c>
      <c r="DX132" s="422">
        <v>5.3563049780070114E-3</v>
      </c>
      <c r="DY132" s="422">
        <v>4.7611599804506773E-3</v>
      </c>
      <c r="DZ132" s="422">
        <v>4.1660149828943423E-3</v>
      </c>
      <c r="EA132" s="423">
        <v>4.1660149828943423E-3</v>
      </c>
      <c r="EB132" s="423">
        <v>2.9757249877816732E-3</v>
      </c>
      <c r="EC132" s="423">
        <v>0</v>
      </c>
      <c r="ED132" s="423">
        <v>0</v>
      </c>
      <c r="EE132" s="423">
        <v>0</v>
      </c>
      <c r="EF132" s="423">
        <v>0</v>
      </c>
      <c r="EG132" s="423">
        <v>0</v>
      </c>
      <c r="EH132" s="423">
        <v>0</v>
      </c>
      <c r="EI132" s="410">
        <f t="shared" si="53"/>
        <v>2.7971814885147724E-2</v>
      </c>
      <c r="EJ132" s="422">
        <v>0</v>
      </c>
      <c r="EK132" s="422">
        <v>0</v>
      </c>
      <c r="EL132" s="422">
        <v>0</v>
      </c>
      <c r="EM132" s="422">
        <v>0</v>
      </c>
      <c r="EN132" s="423">
        <v>0</v>
      </c>
      <c r="EO132" s="423">
        <v>0</v>
      </c>
      <c r="EP132" s="423">
        <v>0</v>
      </c>
      <c r="EQ132" s="423">
        <v>0</v>
      </c>
      <c r="ER132" s="423">
        <v>0</v>
      </c>
      <c r="ES132" s="423">
        <v>0</v>
      </c>
      <c r="ET132" s="423">
        <v>0</v>
      </c>
      <c r="EU132" s="423">
        <v>0</v>
      </c>
      <c r="EV132" s="410">
        <f t="shared" si="54"/>
        <v>0</v>
      </c>
      <c r="EW132" s="416">
        <f t="shared" si="55"/>
        <v>0.15812664269776219</v>
      </c>
      <c r="EX132" s="417">
        <f>IFERROR(VLOOKUP(H132,CEI_012018!$A$1:$U$509,9,FALSE),0)</f>
        <v>0</v>
      </c>
      <c r="EY132" s="417">
        <f>IFERROR(VLOOKUP(H132,CEI_022018!$A$1:$U$509,9,FALSE),0)</f>
        <v>0</v>
      </c>
      <c r="EZ132" s="417">
        <f>IFERROR(VLOOKUP(H132,CEI_032018!$A$1:$U$509,9,FALSE),0)</f>
        <v>0</v>
      </c>
      <c r="FA132" s="417">
        <f>IFERROR(VLOOKUP(H132,CEI_042018!$A$1:$U$491,9,FALSE),0)</f>
        <v>0</v>
      </c>
      <c r="FB132" s="417">
        <f>IFERROR(VLOOKUP(H132,CEI_052018!$A$1:$U$489,9,FALSE),0)</f>
        <v>0</v>
      </c>
      <c r="FC132" s="417">
        <f>IFERROR(VLOOKUP(H132,CEI_062018!$A$1:$U$489,9,FALSE),0)</f>
        <v>0</v>
      </c>
      <c r="FD132" s="417">
        <f>IFERROR(VLOOKUP(H132,CEI_072018!$A$1:$U$489,9,FALSE),0)</f>
        <v>0</v>
      </c>
      <c r="FE132" s="417">
        <f>IFERROR(VLOOKUP(H132,CEI_082018!$A$1:$U$489,9,FALSE),0)</f>
        <v>0</v>
      </c>
      <c r="FF132" s="417">
        <f>IFERROR(VLOOKUP(H132,CEI_092018!$A$1:$U$489,9,FALSE),0)</f>
        <v>0</v>
      </c>
      <c r="FG132" s="417"/>
      <c r="FH132" s="417"/>
      <c r="FI132" s="417"/>
      <c r="FJ132" s="418">
        <f>IFERROR(VLOOKUP(H132,CEI_092018!$A$1:$U$489,12,FALSE),0)</f>
        <v>0</v>
      </c>
      <c r="FK132" s="418">
        <f t="shared" si="56"/>
        <v>0</v>
      </c>
      <c r="FL132" s="418">
        <f t="shared" si="57"/>
        <v>0</v>
      </c>
      <c r="FM132" s="417"/>
      <c r="FN132" s="417"/>
      <c r="FO132" s="417"/>
      <c r="FP132" s="417"/>
      <c r="FQ132" s="417"/>
      <c r="FR132" s="417"/>
      <c r="FS132" s="417"/>
      <c r="FT132" s="417"/>
      <c r="FU132" s="417"/>
      <c r="FV132" s="417"/>
      <c r="FW132" s="417"/>
      <c r="FX132" s="417"/>
      <c r="FY132" s="418"/>
      <c r="FZ132" s="418"/>
      <c r="GA132" s="418"/>
      <c r="GB132" s="417"/>
      <c r="GC132" s="417"/>
      <c r="GD132" s="417"/>
      <c r="GE132" s="417"/>
      <c r="GF132" s="417"/>
      <c r="GG132" s="417"/>
      <c r="GH132" s="417"/>
      <c r="GI132" s="417"/>
      <c r="GJ132" s="417"/>
      <c r="GK132" s="417"/>
      <c r="GL132" s="417"/>
      <c r="GM132" s="417"/>
      <c r="GN132" s="418"/>
      <c r="GO132" s="418"/>
      <c r="GP132" s="418"/>
      <c r="GQ132" s="417"/>
      <c r="GR132" s="417"/>
      <c r="GS132" s="417"/>
      <c r="GT132" s="417"/>
      <c r="GU132" s="417"/>
      <c r="GV132" s="417"/>
      <c r="GW132" s="417"/>
      <c r="GX132" s="417"/>
      <c r="GY132" s="417"/>
      <c r="GZ132" s="417"/>
      <c r="HA132" s="417"/>
      <c r="HB132" s="417"/>
      <c r="HC132" s="418"/>
      <c r="HD132" s="418"/>
      <c r="HE132" s="418"/>
      <c r="HF132" s="417"/>
      <c r="HG132" s="417"/>
      <c r="HH132" s="417"/>
      <c r="HI132" s="417"/>
      <c r="HJ132" s="417"/>
      <c r="HK132" s="417"/>
      <c r="HL132" s="417"/>
      <c r="HM132" s="417"/>
      <c r="HN132" s="417"/>
      <c r="HO132" s="417"/>
      <c r="HP132" s="417"/>
      <c r="HQ132" s="417"/>
      <c r="HR132" s="418"/>
      <c r="HS132" s="418"/>
      <c r="HT132" s="418"/>
    </row>
    <row r="133" spans="1:228" s="387" customFormat="1" ht="12.75" customHeight="1" x14ac:dyDescent="0.2">
      <c r="A133" s="406" t="s">
        <v>55</v>
      </c>
      <c r="B133" s="407" t="s">
        <v>39</v>
      </c>
      <c r="C133" s="406" t="s">
        <v>56</v>
      </c>
      <c r="D133" s="407" t="s">
        <v>405</v>
      </c>
      <c r="E133" s="407" t="s">
        <v>56</v>
      </c>
      <c r="F133" s="407" t="s">
        <v>405</v>
      </c>
      <c r="G133" s="406" t="s">
        <v>54</v>
      </c>
      <c r="H133" s="408" t="s">
        <v>1828</v>
      </c>
      <c r="I133" s="408" t="s">
        <v>1951</v>
      </c>
      <c r="J133" s="406" t="s">
        <v>589</v>
      </c>
      <c r="K133" s="406" t="s">
        <v>585</v>
      </c>
      <c r="L133" s="406" t="s">
        <v>586</v>
      </c>
      <c r="M133" s="406" t="s">
        <v>1687</v>
      </c>
      <c r="N133" s="452">
        <v>0</v>
      </c>
      <c r="O133" s="452">
        <v>0</v>
      </c>
      <c r="P133" s="452">
        <v>0</v>
      </c>
      <c r="Q133" s="452">
        <v>0</v>
      </c>
      <c r="R133" s="452">
        <v>0</v>
      </c>
      <c r="S133" s="452">
        <v>0</v>
      </c>
      <c r="T133" s="452">
        <v>0</v>
      </c>
      <c r="U133" s="409">
        <v>0</v>
      </c>
      <c r="V133" s="409"/>
      <c r="W133" s="409"/>
      <c r="X133" s="409"/>
      <c r="Y133" s="409">
        <v>9</v>
      </c>
      <c r="Z133" s="453">
        <f t="shared" si="63"/>
        <v>9</v>
      </c>
      <c r="AA133" s="452"/>
      <c r="AB133" s="452"/>
      <c r="AC133" s="452"/>
      <c r="AD133" s="452"/>
      <c r="AE133" s="452"/>
      <c r="AF133" s="452"/>
      <c r="AG133" s="452"/>
      <c r="AH133" s="409">
        <f>110-2</f>
        <v>108</v>
      </c>
      <c r="AI133" s="409">
        <v>110</v>
      </c>
      <c r="AJ133" s="409">
        <v>110</v>
      </c>
      <c r="AK133" s="409">
        <v>110</v>
      </c>
      <c r="AL133" s="409"/>
      <c r="AM133" s="453">
        <f t="shared" si="58"/>
        <v>438</v>
      </c>
      <c r="AN133" s="452"/>
      <c r="AO133" s="452"/>
      <c r="AP133" s="452"/>
      <c r="AQ133" s="452"/>
      <c r="AR133" s="452"/>
      <c r="AS133" s="452"/>
      <c r="AT133" s="452"/>
      <c r="AU133" s="409"/>
      <c r="AV133" s="409"/>
      <c r="AW133" s="409"/>
      <c r="AX133" s="409"/>
      <c r="AY133" s="409"/>
      <c r="AZ133" s="453">
        <f t="shared" si="59"/>
        <v>0</v>
      </c>
      <c r="BA133" s="452"/>
      <c r="BB133" s="452"/>
      <c r="BC133" s="452"/>
      <c r="BD133" s="452"/>
      <c r="BE133" s="452"/>
      <c r="BF133" s="452"/>
      <c r="BG133" s="452"/>
      <c r="BH133" s="409"/>
      <c r="BI133" s="409"/>
      <c r="BJ133" s="409"/>
      <c r="BK133" s="409"/>
      <c r="BL133" s="409"/>
      <c r="BM133" s="453">
        <f t="shared" si="60"/>
        <v>0</v>
      </c>
      <c r="BN133" s="452"/>
      <c r="BO133" s="452"/>
      <c r="BP133" s="452"/>
      <c r="BQ133" s="452"/>
      <c r="BR133" s="452"/>
      <c r="BS133" s="452"/>
      <c r="BT133" s="452"/>
      <c r="BU133" s="409"/>
      <c r="BV133" s="409"/>
      <c r="BW133" s="409"/>
      <c r="BX133" s="409"/>
      <c r="BY133" s="409"/>
      <c r="BZ133" s="453">
        <f t="shared" si="61"/>
        <v>0</v>
      </c>
      <c r="CA133" s="454">
        <f t="shared" si="62"/>
        <v>447</v>
      </c>
      <c r="CB133" s="419"/>
      <c r="CC133" s="419">
        <v>1</v>
      </c>
      <c r="CD133" s="419">
        <v>1</v>
      </c>
      <c r="CE133" s="419">
        <v>1</v>
      </c>
      <c r="CF133" s="419">
        <v>1</v>
      </c>
      <c r="CG133" s="420">
        <f>IFERROR((FE133/Z133%),0)</f>
        <v>0</v>
      </c>
      <c r="CH133" s="420">
        <f>IFERROR((FK133/Z133%),0)</f>
        <v>102.77777777777779</v>
      </c>
      <c r="CI133" s="414" t="s">
        <v>70</v>
      </c>
      <c r="CJ133" s="423">
        <v>0</v>
      </c>
      <c r="CK133" s="423">
        <v>0</v>
      </c>
      <c r="CL133" s="423">
        <v>0</v>
      </c>
      <c r="CM133" s="423">
        <v>0</v>
      </c>
      <c r="CN133" s="423">
        <v>0</v>
      </c>
      <c r="CO133" s="423">
        <v>0</v>
      </c>
      <c r="CP133" s="423">
        <v>0</v>
      </c>
      <c r="CQ133" s="423">
        <v>0</v>
      </c>
      <c r="CR133" s="423">
        <v>0</v>
      </c>
      <c r="CS133" s="423">
        <v>0</v>
      </c>
      <c r="CT133" s="423">
        <v>0</v>
      </c>
      <c r="CU133" s="423">
        <v>1.8039182134406337E-3</v>
      </c>
      <c r="CV133" s="410">
        <f t="shared" si="50"/>
        <v>1.8039182134406337E-3</v>
      </c>
      <c r="CW133" s="423">
        <v>0</v>
      </c>
      <c r="CX133" s="423">
        <v>0</v>
      </c>
      <c r="CY133" s="423">
        <v>0</v>
      </c>
      <c r="CZ133" s="423">
        <v>0</v>
      </c>
      <c r="DA133" s="423">
        <v>0</v>
      </c>
      <c r="DB133" s="423">
        <v>0</v>
      </c>
      <c r="DC133" s="423">
        <v>0</v>
      </c>
      <c r="DD133" s="423">
        <v>1.5531054420387835E-2</v>
      </c>
      <c r="DE133" s="423">
        <v>1.5531054420387835E-2</v>
      </c>
      <c r="DF133" s="423">
        <v>1.5531054420387835E-2</v>
      </c>
      <c r="DG133" s="423">
        <v>1.5531054420387835E-2</v>
      </c>
      <c r="DH133" s="423">
        <v>0</v>
      </c>
      <c r="DI133" s="410">
        <f t="shared" si="51"/>
        <v>6.2124217681551339E-2</v>
      </c>
      <c r="DJ133" s="423">
        <v>0</v>
      </c>
      <c r="DK133" s="423">
        <v>0</v>
      </c>
      <c r="DL133" s="423">
        <v>0</v>
      </c>
      <c r="DM133" s="423">
        <v>0</v>
      </c>
      <c r="DN133" s="423">
        <v>0</v>
      </c>
      <c r="DO133" s="423">
        <v>0</v>
      </c>
      <c r="DP133" s="423">
        <v>0</v>
      </c>
      <c r="DQ133" s="423">
        <v>0</v>
      </c>
      <c r="DR133" s="423">
        <v>0</v>
      </c>
      <c r="DS133" s="423">
        <v>0</v>
      </c>
      <c r="DT133" s="423">
        <v>0</v>
      </c>
      <c r="DU133" s="423">
        <v>0</v>
      </c>
      <c r="DV133" s="410">
        <f t="shared" si="52"/>
        <v>0</v>
      </c>
      <c r="DW133" s="423">
        <v>0</v>
      </c>
      <c r="DX133" s="423">
        <v>0</v>
      </c>
      <c r="DY133" s="423">
        <v>0</v>
      </c>
      <c r="DZ133" s="423">
        <v>0</v>
      </c>
      <c r="EA133" s="423">
        <v>0</v>
      </c>
      <c r="EB133" s="423">
        <v>0</v>
      </c>
      <c r="EC133" s="423">
        <v>0</v>
      </c>
      <c r="ED133" s="423">
        <v>0</v>
      </c>
      <c r="EE133" s="423">
        <v>0</v>
      </c>
      <c r="EF133" s="423">
        <v>0</v>
      </c>
      <c r="EG133" s="423">
        <v>0</v>
      </c>
      <c r="EH133" s="423">
        <v>0</v>
      </c>
      <c r="EI133" s="410">
        <f t="shared" si="53"/>
        <v>0</v>
      </c>
      <c r="EJ133" s="423">
        <v>0</v>
      </c>
      <c r="EK133" s="423">
        <v>0</v>
      </c>
      <c r="EL133" s="423">
        <v>0</v>
      </c>
      <c r="EM133" s="423">
        <v>0</v>
      </c>
      <c r="EN133" s="423">
        <v>0</v>
      </c>
      <c r="EO133" s="423">
        <v>0</v>
      </c>
      <c r="EP133" s="423">
        <v>0</v>
      </c>
      <c r="EQ133" s="423">
        <v>0</v>
      </c>
      <c r="ER133" s="423">
        <v>0</v>
      </c>
      <c r="ES133" s="423">
        <v>0</v>
      </c>
      <c r="ET133" s="423">
        <v>0</v>
      </c>
      <c r="EU133" s="423">
        <v>0</v>
      </c>
      <c r="EV133" s="410">
        <f t="shared" si="54"/>
        <v>0</v>
      </c>
      <c r="EW133" s="416">
        <f t="shared" si="55"/>
        <v>6.3928135894991966E-2</v>
      </c>
      <c r="EX133" s="417">
        <f>IFERROR(VLOOKUP(H133,CEI_012018!$A$1:$U$509,9,FALSE),0)</f>
        <v>0</v>
      </c>
      <c r="EY133" s="417">
        <f>IFERROR(VLOOKUP(H133,CEI_022018!$A$1:$U$509,9,FALSE),0)</f>
        <v>0</v>
      </c>
      <c r="EZ133" s="417">
        <f>IFERROR(VLOOKUP(H133,CEI_032018!$A$1:$U$509,9,FALSE),0)</f>
        <v>0</v>
      </c>
      <c r="FA133" s="417">
        <f>IFERROR(VLOOKUP(H133,CEI_042018!$A$1:$U$491,9,FALSE),0)</f>
        <v>0</v>
      </c>
      <c r="FB133" s="417">
        <f>IFERROR(VLOOKUP(H133,CEI_052018!$A$1:$U$489,9,FALSE),0)</f>
        <v>0</v>
      </c>
      <c r="FC133" s="417">
        <f>IFERROR(VLOOKUP(H133,CEI_062018!$A$1:$U$489,9,FALSE),0)</f>
        <v>0</v>
      </c>
      <c r="FD133" s="417">
        <f>IFERROR(VLOOKUP(H133,CEI_072018!$A$1:$U$489,9,FALSE),0)</f>
        <v>0</v>
      </c>
      <c r="FE133" s="417">
        <f>IFERROR(VLOOKUP(H133,CEI_082018!$A$1:$U$489,9,FALSE),0)</f>
        <v>0</v>
      </c>
      <c r="FF133" s="417">
        <f>IFERROR(VLOOKUP(H133,CEI_092018!$A$1:$U$489,9,FALSE),0)</f>
        <v>0</v>
      </c>
      <c r="FG133" s="417"/>
      <c r="FH133" s="417"/>
      <c r="FI133" s="417"/>
      <c r="FJ133" s="418">
        <f>IFERROR(VLOOKUP(H133,CEI_092018!$A$1:$U$489,12,FALSE),0)</f>
        <v>9.25</v>
      </c>
      <c r="FK133" s="418">
        <f t="shared" si="56"/>
        <v>9.25</v>
      </c>
      <c r="FL133" s="418">
        <f t="shared" si="57"/>
        <v>-0.25</v>
      </c>
      <c r="FM133" s="417"/>
      <c r="FN133" s="417"/>
      <c r="FO133" s="417"/>
      <c r="FP133" s="417"/>
      <c r="FQ133" s="417"/>
      <c r="FR133" s="417"/>
      <c r="FS133" s="417"/>
      <c r="FT133" s="417"/>
      <c r="FU133" s="417"/>
      <c r="FV133" s="417"/>
      <c r="FW133" s="417"/>
      <c r="FX133" s="417"/>
      <c r="FY133" s="418"/>
      <c r="FZ133" s="418"/>
      <c r="GA133" s="418"/>
      <c r="GB133" s="417"/>
      <c r="GC133" s="417"/>
      <c r="GD133" s="417"/>
      <c r="GE133" s="417"/>
      <c r="GF133" s="417"/>
      <c r="GG133" s="417"/>
      <c r="GH133" s="417"/>
      <c r="GI133" s="417"/>
      <c r="GJ133" s="417"/>
      <c r="GK133" s="417"/>
      <c r="GL133" s="417"/>
      <c r="GM133" s="417"/>
      <c r="GN133" s="418"/>
      <c r="GO133" s="418"/>
      <c r="GP133" s="418"/>
      <c r="GQ133" s="417"/>
      <c r="GR133" s="417"/>
      <c r="GS133" s="417"/>
      <c r="GT133" s="417"/>
      <c r="GU133" s="417"/>
      <c r="GV133" s="417"/>
      <c r="GW133" s="417"/>
      <c r="GX133" s="417"/>
      <c r="GY133" s="417"/>
      <c r="GZ133" s="417"/>
      <c r="HA133" s="417"/>
      <c r="HB133" s="417"/>
      <c r="HC133" s="418"/>
      <c r="HD133" s="418"/>
      <c r="HE133" s="418"/>
      <c r="HF133" s="417"/>
      <c r="HG133" s="417"/>
      <c r="HH133" s="417"/>
      <c r="HI133" s="417"/>
      <c r="HJ133" s="417"/>
      <c r="HK133" s="417"/>
      <c r="HL133" s="417"/>
      <c r="HM133" s="417"/>
      <c r="HN133" s="417"/>
      <c r="HO133" s="417"/>
      <c r="HP133" s="417"/>
      <c r="HQ133" s="417"/>
      <c r="HR133" s="418"/>
      <c r="HS133" s="418"/>
      <c r="HT133" s="418"/>
    </row>
    <row r="134" spans="1:228" s="387" customFormat="1" ht="12.75" customHeight="1" x14ac:dyDescent="0.2">
      <c r="A134" s="406" t="s">
        <v>55</v>
      </c>
      <c r="B134" s="407" t="s">
        <v>42</v>
      </c>
      <c r="C134" s="406" t="s">
        <v>56</v>
      </c>
      <c r="D134" s="407" t="s">
        <v>1076</v>
      </c>
      <c r="E134" s="407" t="s">
        <v>56</v>
      </c>
      <c r="F134" s="407" t="s">
        <v>1076</v>
      </c>
      <c r="G134" s="406" t="s">
        <v>54</v>
      </c>
      <c r="H134" s="408" t="s">
        <v>1487</v>
      </c>
      <c r="I134" s="408" t="s">
        <v>1489</v>
      </c>
      <c r="J134" s="406" t="s">
        <v>344</v>
      </c>
      <c r="K134" s="406" t="s">
        <v>345</v>
      </c>
      <c r="L134" s="406" t="s">
        <v>346</v>
      </c>
      <c r="M134" s="406" t="s">
        <v>57</v>
      </c>
      <c r="N134" s="452">
        <v>0</v>
      </c>
      <c r="O134" s="452">
        <v>0</v>
      </c>
      <c r="P134" s="452">
        <v>0</v>
      </c>
      <c r="Q134" s="452">
        <v>0</v>
      </c>
      <c r="R134" s="452">
        <v>0</v>
      </c>
      <c r="S134" s="452">
        <v>0</v>
      </c>
      <c r="T134" s="452">
        <v>0</v>
      </c>
      <c r="U134" s="409">
        <v>0</v>
      </c>
      <c r="V134" s="409">
        <v>0</v>
      </c>
      <c r="W134" s="409">
        <v>150</v>
      </c>
      <c r="X134" s="409">
        <v>0</v>
      </c>
      <c r="Y134" s="409">
        <v>0</v>
      </c>
      <c r="Z134" s="453">
        <f t="shared" si="63"/>
        <v>150</v>
      </c>
      <c r="AA134" s="452">
        <v>0</v>
      </c>
      <c r="AB134" s="452">
        <v>0</v>
      </c>
      <c r="AC134" s="452">
        <v>0</v>
      </c>
      <c r="AD134" s="452">
        <v>0</v>
      </c>
      <c r="AE134" s="452">
        <v>0</v>
      </c>
      <c r="AF134" s="452">
        <v>0</v>
      </c>
      <c r="AG134" s="452">
        <v>0</v>
      </c>
      <c r="AH134" s="409">
        <v>0</v>
      </c>
      <c r="AI134" s="409">
        <v>0</v>
      </c>
      <c r="AJ134" s="409">
        <v>0</v>
      </c>
      <c r="AK134" s="409">
        <v>0</v>
      </c>
      <c r="AL134" s="409">
        <v>0</v>
      </c>
      <c r="AM134" s="453">
        <f t="shared" si="58"/>
        <v>0</v>
      </c>
      <c r="AN134" s="452">
        <v>0</v>
      </c>
      <c r="AO134" s="452">
        <v>0</v>
      </c>
      <c r="AP134" s="452">
        <v>0</v>
      </c>
      <c r="AQ134" s="452">
        <v>0</v>
      </c>
      <c r="AR134" s="452">
        <v>0</v>
      </c>
      <c r="AS134" s="452">
        <v>0</v>
      </c>
      <c r="AT134" s="452">
        <v>0</v>
      </c>
      <c r="AU134" s="409">
        <v>0</v>
      </c>
      <c r="AV134" s="409">
        <v>0</v>
      </c>
      <c r="AW134" s="409">
        <v>0</v>
      </c>
      <c r="AX134" s="409">
        <v>0</v>
      </c>
      <c r="AY134" s="409">
        <v>0</v>
      </c>
      <c r="AZ134" s="453">
        <f t="shared" si="59"/>
        <v>0</v>
      </c>
      <c r="BA134" s="452">
        <v>0</v>
      </c>
      <c r="BB134" s="452">
        <v>0</v>
      </c>
      <c r="BC134" s="452">
        <v>0</v>
      </c>
      <c r="BD134" s="452">
        <v>0</v>
      </c>
      <c r="BE134" s="452">
        <v>0</v>
      </c>
      <c r="BF134" s="452">
        <v>150</v>
      </c>
      <c r="BG134" s="452">
        <v>0</v>
      </c>
      <c r="BH134" s="409">
        <v>0</v>
      </c>
      <c r="BI134" s="409">
        <v>0</v>
      </c>
      <c r="BJ134" s="409">
        <v>0</v>
      </c>
      <c r="BK134" s="409">
        <v>0</v>
      </c>
      <c r="BL134" s="409">
        <v>0</v>
      </c>
      <c r="BM134" s="453">
        <f t="shared" si="60"/>
        <v>150</v>
      </c>
      <c r="BN134" s="452">
        <v>0</v>
      </c>
      <c r="BO134" s="452">
        <v>0</v>
      </c>
      <c r="BP134" s="452">
        <v>0</v>
      </c>
      <c r="BQ134" s="452">
        <v>0</v>
      </c>
      <c r="BR134" s="452">
        <v>0</v>
      </c>
      <c r="BS134" s="452">
        <v>0</v>
      </c>
      <c r="BT134" s="452">
        <v>0</v>
      </c>
      <c r="BU134" s="409">
        <v>0</v>
      </c>
      <c r="BV134" s="409">
        <v>0</v>
      </c>
      <c r="BW134" s="409">
        <v>0</v>
      </c>
      <c r="BX134" s="409">
        <v>0</v>
      </c>
      <c r="BY134" s="409">
        <v>0</v>
      </c>
      <c r="BZ134" s="453">
        <f t="shared" si="61"/>
        <v>0</v>
      </c>
      <c r="CA134" s="454">
        <f t="shared" si="62"/>
        <v>300</v>
      </c>
      <c r="CB134" s="419"/>
      <c r="CC134" s="419">
        <v>1</v>
      </c>
      <c r="CD134" s="419">
        <v>1</v>
      </c>
      <c r="CE134" s="419">
        <v>1</v>
      </c>
      <c r="CF134" s="419">
        <v>-1</v>
      </c>
      <c r="CG134" s="420">
        <f>IFERROR((FE134/Z134%),0)</f>
        <v>0</v>
      </c>
      <c r="CH134" s="420">
        <f>IFERROR((FK134/Z134%),0)</f>
        <v>99.333333333333329</v>
      </c>
      <c r="CI134" s="414" t="s">
        <v>1624</v>
      </c>
      <c r="CJ134" s="415">
        <v>0</v>
      </c>
      <c r="CK134" s="415">
        <v>0</v>
      </c>
      <c r="CL134" s="415">
        <v>0</v>
      </c>
      <c r="CM134" s="415">
        <v>0</v>
      </c>
      <c r="CN134" s="415">
        <v>0</v>
      </c>
      <c r="CO134" s="415">
        <v>0</v>
      </c>
      <c r="CP134" s="415">
        <v>1</v>
      </c>
      <c r="CQ134" s="415">
        <v>0</v>
      </c>
      <c r="CR134" s="415">
        <v>0</v>
      </c>
      <c r="CS134" s="415">
        <v>0</v>
      </c>
      <c r="CT134" s="415">
        <v>0</v>
      </c>
      <c r="CU134" s="415">
        <v>0</v>
      </c>
      <c r="CV134" s="410">
        <f t="shared" si="50"/>
        <v>1</v>
      </c>
      <c r="CW134" s="415">
        <v>0</v>
      </c>
      <c r="CX134" s="415">
        <v>0</v>
      </c>
      <c r="CY134" s="415">
        <v>0</v>
      </c>
      <c r="CZ134" s="415">
        <v>0</v>
      </c>
      <c r="DA134" s="415">
        <v>0</v>
      </c>
      <c r="DB134" s="415">
        <v>0</v>
      </c>
      <c r="DC134" s="415">
        <v>0</v>
      </c>
      <c r="DD134" s="415">
        <v>0</v>
      </c>
      <c r="DE134" s="415">
        <v>0</v>
      </c>
      <c r="DF134" s="415">
        <v>0</v>
      </c>
      <c r="DG134" s="415">
        <v>0</v>
      </c>
      <c r="DH134" s="415">
        <v>0</v>
      </c>
      <c r="DI134" s="410">
        <f t="shared" si="51"/>
        <v>0</v>
      </c>
      <c r="DJ134" s="415">
        <v>0</v>
      </c>
      <c r="DK134" s="415">
        <v>0</v>
      </c>
      <c r="DL134" s="415">
        <v>0</v>
      </c>
      <c r="DM134" s="415">
        <v>0</v>
      </c>
      <c r="DN134" s="415">
        <v>0</v>
      </c>
      <c r="DO134" s="415">
        <v>0</v>
      </c>
      <c r="DP134" s="415">
        <v>0</v>
      </c>
      <c r="DQ134" s="415">
        <v>0</v>
      </c>
      <c r="DR134" s="415">
        <v>0</v>
      </c>
      <c r="DS134" s="415">
        <v>0</v>
      </c>
      <c r="DT134" s="415">
        <v>0</v>
      </c>
      <c r="DU134" s="415">
        <v>0</v>
      </c>
      <c r="DV134" s="410">
        <f t="shared" si="52"/>
        <v>0</v>
      </c>
      <c r="DW134" s="415">
        <v>0</v>
      </c>
      <c r="DX134" s="415">
        <v>0</v>
      </c>
      <c r="DY134" s="415">
        <v>0</v>
      </c>
      <c r="DZ134" s="415">
        <v>0</v>
      </c>
      <c r="EA134" s="415">
        <v>0</v>
      </c>
      <c r="EB134" s="415">
        <v>1</v>
      </c>
      <c r="EC134" s="415">
        <v>0</v>
      </c>
      <c r="ED134" s="415">
        <v>0</v>
      </c>
      <c r="EE134" s="415">
        <v>0</v>
      </c>
      <c r="EF134" s="415">
        <v>0</v>
      </c>
      <c r="EG134" s="415">
        <v>0</v>
      </c>
      <c r="EH134" s="415">
        <v>0</v>
      </c>
      <c r="EI134" s="410">
        <f t="shared" si="53"/>
        <v>1</v>
      </c>
      <c r="EJ134" s="415">
        <v>0</v>
      </c>
      <c r="EK134" s="415">
        <v>0</v>
      </c>
      <c r="EL134" s="415">
        <v>0</v>
      </c>
      <c r="EM134" s="415">
        <v>0</v>
      </c>
      <c r="EN134" s="415">
        <v>0</v>
      </c>
      <c r="EO134" s="415">
        <v>0</v>
      </c>
      <c r="EP134" s="415">
        <v>0</v>
      </c>
      <c r="EQ134" s="415">
        <v>0</v>
      </c>
      <c r="ER134" s="415">
        <v>0</v>
      </c>
      <c r="ES134" s="415">
        <v>0</v>
      </c>
      <c r="ET134" s="415">
        <v>0</v>
      </c>
      <c r="EU134" s="415">
        <v>0</v>
      </c>
      <c r="EV134" s="410">
        <f t="shared" si="54"/>
        <v>0</v>
      </c>
      <c r="EW134" s="416">
        <f t="shared" si="55"/>
        <v>2</v>
      </c>
      <c r="EX134" s="417">
        <f>IFERROR(VLOOKUP(H134,CEI_012018!$A$1:$U$509,9,FALSE),0)</f>
        <v>0</v>
      </c>
      <c r="EY134" s="417">
        <f>IFERROR(VLOOKUP(H134,CEI_022018!$A$1:$U$509,9,FALSE),0)</f>
        <v>0</v>
      </c>
      <c r="EZ134" s="417">
        <f>IFERROR(VLOOKUP(H134,CEI_032018!$A$1:$U$509,9,FALSE),0)</f>
        <v>0</v>
      </c>
      <c r="FA134" s="417">
        <f>IFERROR(VLOOKUP(H134,CEI_042018!$A$1:$U$491,9,FALSE),0)</f>
        <v>0</v>
      </c>
      <c r="FB134" s="417">
        <f>IFERROR(VLOOKUP(H134,CEI_052018!$A$1:$U$489,9,FALSE),0)</f>
        <v>0</v>
      </c>
      <c r="FC134" s="417">
        <f>IFERROR(VLOOKUP(H134,CEI_062018!$A$1:$U$489,9,FALSE),0)</f>
        <v>0</v>
      </c>
      <c r="FD134" s="417">
        <f>IFERROR(VLOOKUP(H134,CEI_072018!$A$1:$U$489,9,FALSE),0)</f>
        <v>0</v>
      </c>
      <c r="FE134" s="417">
        <f>IFERROR(VLOOKUP(H134,CEI_082018!$A$1:$U$489,9,FALSE),0)</f>
        <v>0</v>
      </c>
      <c r="FF134" s="417">
        <f>IFERROR(VLOOKUP(H134,CEI_092018!$A$1:$U$489,9,FALSE),0)</f>
        <v>0</v>
      </c>
      <c r="FG134" s="417"/>
      <c r="FH134" s="417"/>
      <c r="FI134" s="417"/>
      <c r="FJ134" s="418">
        <f>IFERROR(VLOOKUP(H134,CEI_092018!$A$1:$U$489,12,FALSE),0)</f>
        <v>149</v>
      </c>
      <c r="FK134" s="418">
        <f t="shared" si="56"/>
        <v>149</v>
      </c>
      <c r="FL134" s="418">
        <f t="shared" si="57"/>
        <v>1</v>
      </c>
      <c r="FM134" s="417"/>
      <c r="FN134" s="417"/>
      <c r="FO134" s="417"/>
      <c r="FP134" s="417"/>
      <c r="FQ134" s="417"/>
      <c r="FR134" s="417"/>
      <c r="FS134" s="417"/>
      <c r="FT134" s="417"/>
      <c r="FU134" s="417"/>
      <c r="FV134" s="417"/>
      <c r="FW134" s="417"/>
      <c r="FX134" s="417"/>
      <c r="FY134" s="418"/>
      <c r="FZ134" s="418"/>
      <c r="GA134" s="418"/>
      <c r="GB134" s="417"/>
      <c r="GC134" s="417"/>
      <c r="GD134" s="417"/>
      <c r="GE134" s="417"/>
      <c r="GF134" s="417"/>
      <c r="GG134" s="417"/>
      <c r="GH134" s="417"/>
      <c r="GI134" s="417"/>
      <c r="GJ134" s="417"/>
      <c r="GK134" s="417"/>
      <c r="GL134" s="417"/>
      <c r="GM134" s="417"/>
      <c r="GN134" s="418"/>
      <c r="GO134" s="418"/>
      <c r="GP134" s="418"/>
      <c r="GQ134" s="417"/>
      <c r="GR134" s="417"/>
      <c r="GS134" s="417"/>
      <c r="GT134" s="417"/>
      <c r="GU134" s="417"/>
      <c r="GV134" s="417"/>
      <c r="GW134" s="417"/>
      <c r="GX134" s="417"/>
      <c r="GY134" s="417"/>
      <c r="GZ134" s="417"/>
      <c r="HA134" s="417"/>
      <c r="HB134" s="417"/>
      <c r="HC134" s="418"/>
      <c r="HD134" s="418"/>
      <c r="HE134" s="418"/>
      <c r="HF134" s="417"/>
      <c r="HG134" s="417"/>
      <c r="HH134" s="417"/>
      <c r="HI134" s="417"/>
      <c r="HJ134" s="417"/>
      <c r="HK134" s="417"/>
      <c r="HL134" s="417"/>
      <c r="HM134" s="417"/>
      <c r="HN134" s="417"/>
      <c r="HO134" s="417"/>
      <c r="HP134" s="417"/>
      <c r="HQ134" s="417"/>
      <c r="HR134" s="418"/>
      <c r="HS134" s="418"/>
      <c r="HT134" s="418"/>
    </row>
    <row r="135" spans="1:228" s="387" customFormat="1" ht="12.75" customHeight="1" x14ac:dyDescent="0.2">
      <c r="A135" s="406" t="s">
        <v>55</v>
      </c>
      <c r="B135" s="407" t="s">
        <v>43</v>
      </c>
      <c r="C135" s="406" t="s">
        <v>56</v>
      </c>
      <c r="D135" s="407" t="s">
        <v>451</v>
      </c>
      <c r="E135" s="407" t="s">
        <v>56</v>
      </c>
      <c r="F135" s="407" t="s">
        <v>451</v>
      </c>
      <c r="G135" s="406" t="s">
        <v>54</v>
      </c>
      <c r="H135" s="408" t="s">
        <v>520</v>
      </c>
      <c r="I135" s="408"/>
      <c r="J135" s="406" t="s">
        <v>804</v>
      </c>
      <c r="K135" s="406" t="s">
        <v>805</v>
      </c>
      <c r="L135" s="406" t="s">
        <v>643</v>
      </c>
      <c r="M135" s="406"/>
      <c r="N135" s="452">
        <v>0</v>
      </c>
      <c r="O135" s="452">
        <v>0</v>
      </c>
      <c r="P135" s="452">
        <v>0</v>
      </c>
      <c r="Q135" s="452">
        <v>0</v>
      </c>
      <c r="R135" s="452">
        <v>0</v>
      </c>
      <c r="S135" s="452">
        <v>0</v>
      </c>
      <c r="T135" s="452">
        <v>0</v>
      </c>
      <c r="U135" s="409">
        <v>0</v>
      </c>
      <c r="V135" s="409"/>
      <c r="W135" s="409"/>
      <c r="X135" s="409"/>
      <c r="Y135" s="409"/>
      <c r="Z135" s="453">
        <f t="shared" si="63"/>
        <v>0</v>
      </c>
      <c r="AA135" s="452"/>
      <c r="AB135" s="452"/>
      <c r="AC135" s="452"/>
      <c r="AD135" s="452"/>
      <c r="AE135" s="452"/>
      <c r="AF135" s="452"/>
      <c r="AG135" s="452"/>
      <c r="AH135" s="409"/>
      <c r="AI135" s="409"/>
      <c r="AJ135" s="409"/>
      <c r="AK135" s="409"/>
      <c r="AL135" s="409"/>
      <c r="AM135" s="453">
        <f t="shared" si="58"/>
        <v>0</v>
      </c>
      <c r="AN135" s="452">
        <v>368</v>
      </c>
      <c r="AO135" s="452"/>
      <c r="AP135" s="452"/>
      <c r="AQ135" s="452"/>
      <c r="AR135" s="452"/>
      <c r="AS135" s="452"/>
      <c r="AT135" s="452"/>
      <c r="AU135" s="409"/>
      <c r="AV135" s="409"/>
      <c r="AW135" s="409"/>
      <c r="AX135" s="409"/>
      <c r="AY135" s="409"/>
      <c r="AZ135" s="453">
        <f t="shared" si="59"/>
        <v>368</v>
      </c>
      <c r="BA135" s="452"/>
      <c r="BB135" s="452"/>
      <c r="BC135" s="452"/>
      <c r="BD135" s="452"/>
      <c r="BE135" s="452"/>
      <c r="BF135" s="452"/>
      <c r="BG135" s="452"/>
      <c r="BH135" s="409"/>
      <c r="BI135" s="409"/>
      <c r="BJ135" s="409"/>
      <c r="BK135" s="409"/>
      <c r="BL135" s="409"/>
      <c r="BM135" s="453">
        <f t="shared" si="60"/>
        <v>0</v>
      </c>
      <c r="BN135" s="452"/>
      <c r="BO135" s="452"/>
      <c r="BP135" s="452"/>
      <c r="BQ135" s="452"/>
      <c r="BR135" s="452"/>
      <c r="BS135" s="452"/>
      <c r="BT135" s="452"/>
      <c r="BU135" s="409"/>
      <c r="BV135" s="409"/>
      <c r="BW135" s="409"/>
      <c r="BX135" s="409"/>
      <c r="BY135" s="409"/>
      <c r="BZ135" s="453">
        <f t="shared" si="61"/>
        <v>0</v>
      </c>
      <c r="CA135" s="454">
        <f t="shared" si="62"/>
        <v>368</v>
      </c>
      <c r="CB135" s="411"/>
      <c r="CC135" s="411"/>
      <c r="CD135" s="411"/>
      <c r="CE135" s="411"/>
      <c r="CF135" s="411"/>
      <c r="CG135" s="412"/>
      <c r="CH135" s="413"/>
      <c r="CI135" s="414" t="s">
        <v>71</v>
      </c>
      <c r="CJ135" s="415"/>
      <c r="CK135" s="415"/>
      <c r="CL135" s="415"/>
      <c r="CM135" s="415"/>
      <c r="CN135" s="415"/>
      <c r="CO135" s="415"/>
      <c r="CP135" s="415"/>
      <c r="CQ135" s="415"/>
      <c r="CR135" s="415"/>
      <c r="CS135" s="415"/>
      <c r="CT135" s="415"/>
      <c r="CU135" s="415"/>
      <c r="CV135" s="410">
        <f t="shared" si="50"/>
        <v>0</v>
      </c>
      <c r="CW135" s="415"/>
      <c r="CX135" s="415"/>
      <c r="CY135" s="415"/>
      <c r="CZ135" s="415"/>
      <c r="DA135" s="415"/>
      <c r="DB135" s="415"/>
      <c r="DC135" s="415"/>
      <c r="DD135" s="415"/>
      <c r="DE135" s="415"/>
      <c r="DF135" s="415"/>
      <c r="DG135" s="415"/>
      <c r="DH135" s="415"/>
      <c r="DI135" s="410">
        <f t="shared" si="51"/>
        <v>0</v>
      </c>
      <c r="DJ135" s="415">
        <v>2</v>
      </c>
      <c r="DK135" s="415"/>
      <c r="DL135" s="415"/>
      <c r="DM135" s="415"/>
      <c r="DN135" s="415"/>
      <c r="DO135" s="415"/>
      <c r="DP135" s="415"/>
      <c r="DQ135" s="415"/>
      <c r="DR135" s="415"/>
      <c r="DS135" s="415"/>
      <c r="DT135" s="415"/>
      <c r="DU135" s="415"/>
      <c r="DV135" s="410">
        <f t="shared" si="52"/>
        <v>2</v>
      </c>
      <c r="DW135" s="415"/>
      <c r="DX135" s="415"/>
      <c r="DY135" s="415"/>
      <c r="DZ135" s="415"/>
      <c r="EA135" s="415"/>
      <c r="EB135" s="415"/>
      <c r="EC135" s="415"/>
      <c r="ED135" s="415"/>
      <c r="EE135" s="415"/>
      <c r="EF135" s="415"/>
      <c r="EG135" s="415"/>
      <c r="EH135" s="415"/>
      <c r="EI135" s="410">
        <f t="shared" si="53"/>
        <v>0</v>
      </c>
      <c r="EJ135" s="415"/>
      <c r="EK135" s="415"/>
      <c r="EL135" s="415"/>
      <c r="EM135" s="415"/>
      <c r="EN135" s="415"/>
      <c r="EO135" s="415"/>
      <c r="EP135" s="415"/>
      <c r="EQ135" s="415"/>
      <c r="ER135" s="415"/>
      <c r="ES135" s="415"/>
      <c r="ET135" s="415"/>
      <c r="EU135" s="415"/>
      <c r="EV135" s="410">
        <f t="shared" si="54"/>
        <v>0</v>
      </c>
      <c r="EW135" s="416">
        <f t="shared" si="55"/>
        <v>2</v>
      </c>
      <c r="EX135" s="417">
        <f>IFERROR(VLOOKUP(H135,CEI_012018!$A$1:$U$509,9,FALSE),0)</f>
        <v>0</v>
      </c>
      <c r="EY135" s="417">
        <f>IFERROR(VLOOKUP(H135,CEI_022018!$A$1:$U$509,9,FALSE),0)</f>
        <v>0</v>
      </c>
      <c r="EZ135" s="417">
        <f>IFERROR(VLOOKUP(H135,CEI_032018!$A$1:$U$509,9,FALSE),0)</f>
        <v>0</v>
      </c>
      <c r="FA135" s="417">
        <f>IFERROR(VLOOKUP(H135,CEI_042018!$A$1:$U$491,9,FALSE),0)</f>
        <v>0</v>
      </c>
      <c r="FB135" s="417">
        <f>IFERROR(VLOOKUP(H135,CEI_052018!$A$1:$U$489,9,FALSE),0)</f>
        <v>0</v>
      </c>
      <c r="FC135" s="417">
        <f>IFERROR(VLOOKUP(H135,CEI_062018!$A$1:$U$489,9,FALSE),0)</f>
        <v>0</v>
      </c>
      <c r="FD135" s="417">
        <f>IFERROR(VLOOKUP(H135,CEI_072018!$A$1:$U$489,9,FALSE),0)</f>
        <v>0</v>
      </c>
      <c r="FE135" s="417">
        <f>IFERROR(VLOOKUP(H135,CEI_082018!$A$1:$U$489,9,FALSE),0)</f>
        <v>0</v>
      </c>
      <c r="FF135" s="417">
        <f>IFERROR(VLOOKUP(H135,CEI_092018!$A$1:$U$489,9,FALSE),0)</f>
        <v>0</v>
      </c>
      <c r="FG135" s="417"/>
      <c r="FH135" s="417"/>
      <c r="FI135" s="417"/>
      <c r="FJ135" s="418">
        <f>IFERROR(VLOOKUP(H135,CEI_092018!$A$1:$U$489,12,FALSE),0)</f>
        <v>0</v>
      </c>
      <c r="FK135" s="418">
        <f t="shared" si="56"/>
        <v>0</v>
      </c>
      <c r="FL135" s="418">
        <f t="shared" si="57"/>
        <v>0</v>
      </c>
      <c r="FM135" s="417"/>
      <c r="FN135" s="417"/>
      <c r="FO135" s="417"/>
      <c r="FP135" s="417"/>
      <c r="FQ135" s="417"/>
      <c r="FR135" s="417"/>
      <c r="FS135" s="417"/>
      <c r="FT135" s="417"/>
      <c r="FU135" s="417"/>
      <c r="FV135" s="417"/>
      <c r="FW135" s="417"/>
      <c r="FX135" s="417"/>
      <c r="FY135" s="418"/>
      <c r="FZ135" s="418"/>
      <c r="GA135" s="418"/>
      <c r="GB135" s="417"/>
      <c r="GC135" s="417"/>
      <c r="GD135" s="417"/>
      <c r="GE135" s="417"/>
      <c r="GF135" s="417"/>
      <c r="GG135" s="417"/>
      <c r="GH135" s="417"/>
      <c r="GI135" s="417"/>
      <c r="GJ135" s="417"/>
      <c r="GK135" s="417"/>
      <c r="GL135" s="417"/>
      <c r="GM135" s="417"/>
      <c r="GN135" s="418"/>
      <c r="GO135" s="418"/>
      <c r="GP135" s="418"/>
      <c r="GQ135" s="417"/>
      <c r="GR135" s="417"/>
      <c r="GS135" s="417"/>
      <c r="GT135" s="417"/>
      <c r="GU135" s="417"/>
      <c r="GV135" s="417"/>
      <c r="GW135" s="417"/>
      <c r="GX135" s="417"/>
      <c r="GY135" s="417"/>
      <c r="GZ135" s="417"/>
      <c r="HA135" s="417"/>
      <c r="HB135" s="417"/>
      <c r="HC135" s="418"/>
      <c r="HD135" s="418"/>
      <c r="HE135" s="418"/>
      <c r="HF135" s="417"/>
      <c r="HG135" s="417"/>
      <c r="HH135" s="417"/>
      <c r="HI135" s="417"/>
      <c r="HJ135" s="417"/>
      <c r="HK135" s="417"/>
      <c r="HL135" s="417"/>
      <c r="HM135" s="417"/>
      <c r="HN135" s="417"/>
      <c r="HO135" s="417"/>
      <c r="HP135" s="417"/>
      <c r="HQ135" s="417"/>
      <c r="HR135" s="418"/>
      <c r="HS135" s="418"/>
      <c r="HT135" s="418"/>
    </row>
    <row r="136" spans="1:228" s="387" customFormat="1" ht="12.75" customHeight="1" x14ac:dyDescent="0.2">
      <c r="A136" s="406" t="s">
        <v>55</v>
      </c>
      <c r="B136" s="407" t="s">
        <v>43</v>
      </c>
      <c r="C136" s="406" t="s">
        <v>56</v>
      </c>
      <c r="D136" s="407" t="s">
        <v>451</v>
      </c>
      <c r="E136" s="407" t="s">
        <v>56</v>
      </c>
      <c r="F136" s="407" t="s">
        <v>451</v>
      </c>
      <c r="G136" s="406" t="s">
        <v>54</v>
      </c>
      <c r="H136" s="408" t="s">
        <v>520</v>
      </c>
      <c r="I136" s="408"/>
      <c r="J136" s="406" t="s">
        <v>631</v>
      </c>
      <c r="K136" s="406" t="s">
        <v>632</v>
      </c>
      <c r="L136" s="406" t="s">
        <v>634</v>
      </c>
      <c r="M136" s="406"/>
      <c r="N136" s="452">
        <v>0</v>
      </c>
      <c r="O136" s="452">
        <v>0</v>
      </c>
      <c r="P136" s="452">
        <v>0</v>
      </c>
      <c r="Q136" s="452">
        <v>0</v>
      </c>
      <c r="R136" s="452">
        <v>0</v>
      </c>
      <c r="S136" s="452">
        <v>0</v>
      </c>
      <c r="T136" s="452">
        <v>0</v>
      </c>
      <c r="U136" s="409">
        <v>0</v>
      </c>
      <c r="V136" s="409"/>
      <c r="W136" s="409"/>
      <c r="X136" s="409"/>
      <c r="Y136" s="409"/>
      <c r="Z136" s="453">
        <f t="shared" si="63"/>
        <v>0</v>
      </c>
      <c r="AA136" s="452"/>
      <c r="AB136" s="452"/>
      <c r="AC136" s="452"/>
      <c r="AD136" s="452"/>
      <c r="AE136" s="452"/>
      <c r="AF136" s="452"/>
      <c r="AG136" s="452"/>
      <c r="AH136" s="409"/>
      <c r="AI136" s="409"/>
      <c r="AJ136" s="409"/>
      <c r="AK136" s="409"/>
      <c r="AL136" s="409"/>
      <c r="AM136" s="453">
        <f t="shared" si="58"/>
        <v>0</v>
      </c>
      <c r="AN136" s="452">
        <v>180</v>
      </c>
      <c r="AO136" s="452"/>
      <c r="AP136" s="452"/>
      <c r="AQ136" s="452"/>
      <c r="AR136" s="452"/>
      <c r="AS136" s="452"/>
      <c r="AT136" s="452"/>
      <c r="AU136" s="409"/>
      <c r="AV136" s="409"/>
      <c r="AW136" s="409"/>
      <c r="AX136" s="409"/>
      <c r="AY136" s="409"/>
      <c r="AZ136" s="453">
        <f t="shared" si="59"/>
        <v>180</v>
      </c>
      <c r="BA136" s="452"/>
      <c r="BB136" s="452"/>
      <c r="BC136" s="452"/>
      <c r="BD136" s="452"/>
      <c r="BE136" s="452"/>
      <c r="BF136" s="452"/>
      <c r="BG136" s="452"/>
      <c r="BH136" s="409"/>
      <c r="BI136" s="409"/>
      <c r="BJ136" s="409"/>
      <c r="BK136" s="409"/>
      <c r="BL136" s="409"/>
      <c r="BM136" s="453">
        <f t="shared" si="60"/>
        <v>0</v>
      </c>
      <c r="BN136" s="452"/>
      <c r="BO136" s="452"/>
      <c r="BP136" s="452"/>
      <c r="BQ136" s="452"/>
      <c r="BR136" s="452"/>
      <c r="BS136" s="452"/>
      <c r="BT136" s="452"/>
      <c r="BU136" s="409"/>
      <c r="BV136" s="409"/>
      <c r="BW136" s="409"/>
      <c r="BX136" s="409"/>
      <c r="BY136" s="409"/>
      <c r="BZ136" s="453">
        <f t="shared" si="61"/>
        <v>0</v>
      </c>
      <c r="CA136" s="454">
        <f t="shared" si="62"/>
        <v>180</v>
      </c>
      <c r="CB136" s="411"/>
      <c r="CC136" s="411"/>
      <c r="CD136" s="411"/>
      <c r="CE136" s="411"/>
      <c r="CF136" s="411"/>
      <c r="CG136" s="412"/>
      <c r="CH136" s="413"/>
      <c r="CI136" s="414" t="s">
        <v>635</v>
      </c>
      <c r="CJ136" s="415"/>
      <c r="CK136" s="415"/>
      <c r="CL136" s="415"/>
      <c r="CM136" s="415"/>
      <c r="CN136" s="415"/>
      <c r="CO136" s="415"/>
      <c r="CP136" s="415"/>
      <c r="CQ136" s="415"/>
      <c r="CR136" s="415"/>
      <c r="CS136" s="415">
        <v>1</v>
      </c>
      <c r="CT136" s="415"/>
      <c r="CU136" s="415"/>
      <c r="CV136" s="410">
        <f t="shared" si="50"/>
        <v>1</v>
      </c>
      <c r="CW136" s="415"/>
      <c r="CX136" s="415"/>
      <c r="CY136" s="415"/>
      <c r="CZ136" s="415"/>
      <c r="DA136" s="415"/>
      <c r="DB136" s="415"/>
      <c r="DC136" s="415"/>
      <c r="DD136" s="415"/>
      <c r="DE136" s="415"/>
      <c r="DF136" s="415"/>
      <c r="DG136" s="415"/>
      <c r="DH136" s="415"/>
      <c r="DI136" s="410">
        <f t="shared" si="51"/>
        <v>0</v>
      </c>
      <c r="DJ136" s="415"/>
      <c r="DK136" s="415">
        <v>1</v>
      </c>
      <c r="DL136" s="415"/>
      <c r="DM136" s="415"/>
      <c r="DN136" s="415"/>
      <c r="DO136" s="415"/>
      <c r="DP136" s="415"/>
      <c r="DQ136" s="415"/>
      <c r="DR136" s="415"/>
      <c r="DS136" s="415"/>
      <c r="DT136" s="415"/>
      <c r="DU136" s="415"/>
      <c r="DV136" s="410">
        <f t="shared" si="52"/>
        <v>1</v>
      </c>
      <c r="DW136" s="415">
        <v>1</v>
      </c>
      <c r="DX136" s="415"/>
      <c r="DY136" s="415"/>
      <c r="DZ136" s="415"/>
      <c r="EA136" s="415"/>
      <c r="EB136" s="415"/>
      <c r="EC136" s="415"/>
      <c r="ED136" s="415"/>
      <c r="EE136" s="415"/>
      <c r="EF136" s="415"/>
      <c r="EG136" s="415"/>
      <c r="EH136" s="415"/>
      <c r="EI136" s="410">
        <f t="shared" si="53"/>
        <v>1</v>
      </c>
      <c r="EJ136" s="415"/>
      <c r="EK136" s="415"/>
      <c r="EL136" s="415"/>
      <c r="EM136" s="415"/>
      <c r="EN136" s="415"/>
      <c r="EO136" s="415"/>
      <c r="EP136" s="415"/>
      <c r="EQ136" s="415"/>
      <c r="ER136" s="415"/>
      <c r="ES136" s="415"/>
      <c r="ET136" s="415"/>
      <c r="EU136" s="415"/>
      <c r="EV136" s="410">
        <f t="shared" si="54"/>
        <v>0</v>
      </c>
      <c r="EW136" s="416">
        <f t="shared" si="55"/>
        <v>3</v>
      </c>
      <c r="EX136" s="417">
        <f>IFERROR(VLOOKUP(H136,CEI_012018!$A$1:$U$509,9,FALSE),0)</f>
        <v>0</v>
      </c>
      <c r="EY136" s="417">
        <f>IFERROR(VLOOKUP(H136,CEI_022018!$A$1:$U$509,9,FALSE),0)</f>
        <v>0</v>
      </c>
      <c r="EZ136" s="417">
        <f>IFERROR(VLOOKUP(H136,CEI_032018!$A$1:$U$509,9,FALSE),0)</f>
        <v>0</v>
      </c>
      <c r="FA136" s="417">
        <f>IFERROR(VLOOKUP(H136,CEI_042018!$A$1:$U$491,9,FALSE),0)</f>
        <v>0</v>
      </c>
      <c r="FB136" s="417">
        <f>IFERROR(VLOOKUP(H136,CEI_052018!$A$1:$U$489,9,FALSE),0)</f>
        <v>0</v>
      </c>
      <c r="FC136" s="417">
        <f>IFERROR(VLOOKUP(H136,CEI_062018!$A$1:$U$489,9,FALSE),0)</f>
        <v>0</v>
      </c>
      <c r="FD136" s="417">
        <f>IFERROR(VLOOKUP(H136,CEI_072018!$A$1:$U$489,9,FALSE),0)</f>
        <v>0</v>
      </c>
      <c r="FE136" s="417">
        <f>IFERROR(VLOOKUP(H136,CEI_082018!$A$1:$U$489,9,FALSE),0)</f>
        <v>0</v>
      </c>
      <c r="FF136" s="417">
        <f>IFERROR(VLOOKUP(H136,CEI_092018!$A$1:$U$489,9,FALSE),0)</f>
        <v>0</v>
      </c>
      <c r="FG136" s="417"/>
      <c r="FH136" s="417"/>
      <c r="FI136" s="417"/>
      <c r="FJ136" s="418">
        <f>IFERROR(VLOOKUP(H136,CEI_092018!$A$1:$U$489,12,FALSE),0)</f>
        <v>0</v>
      </c>
      <c r="FK136" s="418">
        <f t="shared" si="56"/>
        <v>0</v>
      </c>
      <c r="FL136" s="418">
        <f t="shared" si="57"/>
        <v>0</v>
      </c>
      <c r="FM136" s="417"/>
      <c r="FN136" s="417"/>
      <c r="FO136" s="417"/>
      <c r="FP136" s="417"/>
      <c r="FQ136" s="417"/>
      <c r="FR136" s="417"/>
      <c r="FS136" s="417"/>
      <c r="FT136" s="417"/>
      <c r="FU136" s="417"/>
      <c r="FV136" s="417"/>
      <c r="FW136" s="417"/>
      <c r="FX136" s="417"/>
      <c r="FY136" s="418"/>
      <c r="FZ136" s="418"/>
      <c r="GA136" s="418"/>
      <c r="GB136" s="417"/>
      <c r="GC136" s="417"/>
      <c r="GD136" s="417"/>
      <c r="GE136" s="417"/>
      <c r="GF136" s="417"/>
      <c r="GG136" s="417"/>
      <c r="GH136" s="417"/>
      <c r="GI136" s="417"/>
      <c r="GJ136" s="417"/>
      <c r="GK136" s="417"/>
      <c r="GL136" s="417"/>
      <c r="GM136" s="417"/>
      <c r="GN136" s="418"/>
      <c r="GO136" s="418"/>
      <c r="GP136" s="418"/>
      <c r="GQ136" s="417"/>
      <c r="GR136" s="417"/>
      <c r="GS136" s="417"/>
      <c r="GT136" s="417"/>
      <c r="GU136" s="417"/>
      <c r="GV136" s="417"/>
      <c r="GW136" s="417"/>
      <c r="GX136" s="417"/>
      <c r="GY136" s="417"/>
      <c r="GZ136" s="417"/>
      <c r="HA136" s="417"/>
      <c r="HB136" s="417"/>
      <c r="HC136" s="418"/>
      <c r="HD136" s="418"/>
      <c r="HE136" s="418"/>
      <c r="HF136" s="417"/>
      <c r="HG136" s="417"/>
      <c r="HH136" s="417"/>
      <c r="HI136" s="417"/>
      <c r="HJ136" s="417"/>
      <c r="HK136" s="417"/>
      <c r="HL136" s="417"/>
      <c r="HM136" s="417"/>
      <c r="HN136" s="417"/>
      <c r="HO136" s="417"/>
      <c r="HP136" s="417"/>
      <c r="HQ136" s="417"/>
      <c r="HR136" s="418"/>
      <c r="HS136" s="418"/>
      <c r="HT136" s="418"/>
    </row>
    <row r="137" spans="1:228" s="387" customFormat="1" ht="12.75" customHeight="1" x14ac:dyDescent="0.2">
      <c r="A137" s="407" t="s">
        <v>55</v>
      </c>
      <c r="B137" s="407" t="s">
        <v>43</v>
      </c>
      <c r="C137" s="406" t="s">
        <v>56</v>
      </c>
      <c r="D137" s="407" t="s">
        <v>451</v>
      </c>
      <c r="E137" s="407" t="s">
        <v>56</v>
      </c>
      <c r="F137" s="407" t="s">
        <v>451</v>
      </c>
      <c r="G137" s="406" t="s">
        <v>54</v>
      </c>
      <c r="H137" s="408" t="s">
        <v>520</v>
      </c>
      <c r="I137" s="408"/>
      <c r="J137" s="406" t="s">
        <v>1483</v>
      </c>
      <c r="K137" s="406" t="s">
        <v>1485</v>
      </c>
      <c r="L137" s="406" t="s">
        <v>634</v>
      </c>
      <c r="M137" s="406"/>
      <c r="N137" s="452">
        <v>0</v>
      </c>
      <c r="O137" s="452">
        <v>0</v>
      </c>
      <c r="P137" s="452">
        <v>0</v>
      </c>
      <c r="Q137" s="452">
        <v>0</v>
      </c>
      <c r="R137" s="452">
        <v>0</v>
      </c>
      <c r="S137" s="452">
        <v>0</v>
      </c>
      <c r="T137" s="452">
        <v>0</v>
      </c>
      <c r="U137" s="409">
        <v>0</v>
      </c>
      <c r="V137" s="409"/>
      <c r="W137" s="409"/>
      <c r="X137" s="409"/>
      <c r="Y137" s="409"/>
      <c r="Z137" s="453">
        <f t="shared" si="63"/>
        <v>0</v>
      </c>
      <c r="AA137" s="452"/>
      <c r="AB137" s="452"/>
      <c r="AC137" s="452"/>
      <c r="AD137" s="452"/>
      <c r="AE137" s="452"/>
      <c r="AF137" s="452"/>
      <c r="AG137" s="452"/>
      <c r="AH137" s="409"/>
      <c r="AI137" s="409"/>
      <c r="AJ137" s="409"/>
      <c r="AK137" s="409"/>
      <c r="AL137" s="409"/>
      <c r="AM137" s="453">
        <f t="shared" si="58"/>
        <v>0</v>
      </c>
      <c r="AN137" s="452">
        <v>720</v>
      </c>
      <c r="AO137" s="452"/>
      <c r="AP137" s="452"/>
      <c r="AQ137" s="452"/>
      <c r="AR137" s="452"/>
      <c r="AS137" s="452"/>
      <c r="AT137" s="452"/>
      <c r="AU137" s="409"/>
      <c r="AV137" s="409"/>
      <c r="AW137" s="409"/>
      <c r="AX137" s="409"/>
      <c r="AY137" s="409"/>
      <c r="AZ137" s="453">
        <f t="shared" si="59"/>
        <v>720</v>
      </c>
      <c r="BA137" s="452"/>
      <c r="BB137" s="452"/>
      <c r="BC137" s="452"/>
      <c r="BD137" s="452"/>
      <c r="BE137" s="452"/>
      <c r="BF137" s="452"/>
      <c r="BG137" s="452"/>
      <c r="BH137" s="409"/>
      <c r="BI137" s="409"/>
      <c r="BJ137" s="409"/>
      <c r="BK137" s="409"/>
      <c r="BL137" s="409"/>
      <c r="BM137" s="453">
        <f t="shared" si="60"/>
        <v>0</v>
      </c>
      <c r="BN137" s="452"/>
      <c r="BO137" s="452"/>
      <c r="BP137" s="452"/>
      <c r="BQ137" s="452"/>
      <c r="BR137" s="452"/>
      <c r="BS137" s="452"/>
      <c r="BT137" s="452"/>
      <c r="BU137" s="409"/>
      <c r="BV137" s="409"/>
      <c r="BW137" s="409"/>
      <c r="BX137" s="409"/>
      <c r="BY137" s="409"/>
      <c r="BZ137" s="453">
        <f t="shared" si="61"/>
        <v>0</v>
      </c>
      <c r="CA137" s="454">
        <f t="shared" si="62"/>
        <v>720</v>
      </c>
      <c r="CB137" s="411"/>
      <c r="CC137" s="411"/>
      <c r="CD137" s="411"/>
      <c r="CE137" s="411"/>
      <c r="CF137" s="411"/>
      <c r="CG137" s="412"/>
      <c r="CH137" s="413"/>
      <c r="CI137" s="431" t="s">
        <v>71</v>
      </c>
      <c r="CJ137" s="415"/>
      <c r="CK137" s="415"/>
      <c r="CL137" s="415"/>
      <c r="CM137" s="415"/>
      <c r="CN137" s="415"/>
      <c r="CO137" s="415"/>
      <c r="CP137" s="415"/>
      <c r="CQ137" s="415"/>
      <c r="CR137" s="415"/>
      <c r="CS137" s="415">
        <v>0</v>
      </c>
      <c r="CT137" s="415"/>
      <c r="CU137" s="415"/>
      <c r="CV137" s="410">
        <f t="shared" si="50"/>
        <v>0</v>
      </c>
      <c r="CW137" s="415"/>
      <c r="CX137" s="415"/>
      <c r="CY137" s="415"/>
      <c r="CZ137" s="415"/>
      <c r="DA137" s="415"/>
      <c r="DB137" s="415"/>
      <c r="DC137" s="415"/>
      <c r="DD137" s="415"/>
      <c r="DE137" s="415"/>
      <c r="DF137" s="415"/>
      <c r="DG137" s="415"/>
      <c r="DH137" s="415"/>
      <c r="DI137" s="410">
        <f t="shared" si="51"/>
        <v>0</v>
      </c>
      <c r="DJ137" s="415">
        <v>2</v>
      </c>
      <c r="DK137" s="415"/>
      <c r="DL137" s="415"/>
      <c r="DM137" s="415"/>
      <c r="DN137" s="415"/>
      <c r="DO137" s="415"/>
      <c r="DP137" s="415"/>
      <c r="DQ137" s="415"/>
      <c r="DR137" s="415"/>
      <c r="DS137" s="415"/>
      <c r="DT137" s="415"/>
      <c r="DU137" s="415"/>
      <c r="DV137" s="410">
        <f t="shared" si="52"/>
        <v>2</v>
      </c>
      <c r="DW137" s="415"/>
      <c r="DX137" s="415"/>
      <c r="DY137" s="415"/>
      <c r="DZ137" s="415"/>
      <c r="EA137" s="415"/>
      <c r="EB137" s="415"/>
      <c r="EC137" s="415"/>
      <c r="ED137" s="415"/>
      <c r="EE137" s="415"/>
      <c r="EF137" s="415"/>
      <c r="EG137" s="415"/>
      <c r="EH137" s="415"/>
      <c r="EI137" s="410">
        <f t="shared" si="53"/>
        <v>0</v>
      </c>
      <c r="EJ137" s="415"/>
      <c r="EK137" s="415"/>
      <c r="EL137" s="415"/>
      <c r="EM137" s="415"/>
      <c r="EN137" s="415"/>
      <c r="EO137" s="415"/>
      <c r="EP137" s="415"/>
      <c r="EQ137" s="415"/>
      <c r="ER137" s="415"/>
      <c r="ES137" s="415"/>
      <c r="ET137" s="415"/>
      <c r="EU137" s="415"/>
      <c r="EV137" s="410">
        <f t="shared" si="54"/>
        <v>0</v>
      </c>
      <c r="EW137" s="416">
        <f t="shared" si="55"/>
        <v>2</v>
      </c>
      <c r="EX137" s="417">
        <f>IFERROR(VLOOKUP(H137,CEI_012018!$A$1:$U$509,9,FALSE),0)</f>
        <v>0</v>
      </c>
      <c r="EY137" s="417">
        <f>IFERROR(VLOOKUP(H137,CEI_022018!$A$1:$U$509,9,FALSE),0)</f>
        <v>0</v>
      </c>
      <c r="EZ137" s="417">
        <f>IFERROR(VLOOKUP(H137,CEI_032018!$A$1:$U$509,9,FALSE),0)</f>
        <v>0</v>
      </c>
      <c r="FA137" s="417">
        <f>IFERROR(VLOOKUP(H137,CEI_042018!$A$1:$U$491,9,FALSE),0)</f>
        <v>0</v>
      </c>
      <c r="FB137" s="417">
        <f>IFERROR(VLOOKUP(H137,CEI_052018!$A$1:$U$489,9,FALSE),0)</f>
        <v>0</v>
      </c>
      <c r="FC137" s="417">
        <f>IFERROR(VLOOKUP(H137,CEI_062018!$A$1:$U$489,9,FALSE),0)</f>
        <v>0</v>
      </c>
      <c r="FD137" s="417">
        <f>IFERROR(VLOOKUP(H137,CEI_072018!$A$1:$U$489,9,FALSE),0)</f>
        <v>0</v>
      </c>
      <c r="FE137" s="417">
        <f>IFERROR(VLOOKUP(H137,CEI_082018!$A$1:$U$489,9,FALSE),0)</f>
        <v>0</v>
      </c>
      <c r="FF137" s="417">
        <f>IFERROR(VLOOKUP(H137,CEI_092018!$A$1:$U$489,9,FALSE),0)</f>
        <v>0</v>
      </c>
      <c r="FG137" s="417"/>
      <c r="FH137" s="417"/>
      <c r="FI137" s="417"/>
      <c r="FJ137" s="418">
        <f>IFERROR(VLOOKUP(H137,CEI_092018!$A$1:$U$489,12,FALSE),0)</f>
        <v>0</v>
      </c>
      <c r="FK137" s="418">
        <f t="shared" si="56"/>
        <v>0</v>
      </c>
      <c r="FL137" s="418">
        <f t="shared" si="57"/>
        <v>0</v>
      </c>
      <c r="FM137" s="417"/>
      <c r="FN137" s="417"/>
      <c r="FO137" s="417"/>
      <c r="FP137" s="417"/>
      <c r="FQ137" s="417"/>
      <c r="FR137" s="417"/>
      <c r="FS137" s="417"/>
      <c r="FT137" s="417"/>
      <c r="FU137" s="417"/>
      <c r="FV137" s="417"/>
      <c r="FW137" s="417"/>
      <c r="FX137" s="417"/>
      <c r="FY137" s="418"/>
      <c r="FZ137" s="418"/>
      <c r="GA137" s="418"/>
      <c r="GB137" s="417"/>
      <c r="GC137" s="417"/>
      <c r="GD137" s="417"/>
      <c r="GE137" s="417"/>
      <c r="GF137" s="417"/>
      <c r="GG137" s="417"/>
      <c r="GH137" s="417"/>
      <c r="GI137" s="417"/>
      <c r="GJ137" s="417"/>
      <c r="GK137" s="417"/>
      <c r="GL137" s="417"/>
      <c r="GM137" s="417"/>
      <c r="GN137" s="418"/>
      <c r="GO137" s="418"/>
      <c r="GP137" s="418"/>
      <c r="GQ137" s="417"/>
      <c r="GR137" s="417"/>
      <c r="GS137" s="417"/>
      <c r="GT137" s="417"/>
      <c r="GU137" s="417"/>
      <c r="GV137" s="417"/>
      <c r="GW137" s="417"/>
      <c r="GX137" s="417"/>
      <c r="GY137" s="417"/>
      <c r="GZ137" s="417"/>
      <c r="HA137" s="417"/>
      <c r="HB137" s="417"/>
      <c r="HC137" s="418"/>
      <c r="HD137" s="418"/>
      <c r="HE137" s="418"/>
      <c r="HF137" s="417"/>
      <c r="HG137" s="417"/>
      <c r="HH137" s="417"/>
      <c r="HI137" s="417"/>
      <c r="HJ137" s="417"/>
      <c r="HK137" s="417"/>
      <c r="HL137" s="417"/>
      <c r="HM137" s="417"/>
      <c r="HN137" s="417"/>
      <c r="HO137" s="417"/>
      <c r="HP137" s="417"/>
      <c r="HQ137" s="417"/>
      <c r="HR137" s="418"/>
      <c r="HS137" s="418"/>
      <c r="HT137" s="418"/>
    </row>
    <row r="138" spans="1:228" s="387" customFormat="1" ht="12.75" customHeight="1" x14ac:dyDescent="0.2">
      <c r="A138" s="406" t="s">
        <v>55</v>
      </c>
      <c r="B138" s="407" t="s">
        <v>43</v>
      </c>
      <c r="C138" s="406" t="s">
        <v>56</v>
      </c>
      <c r="D138" s="407" t="s">
        <v>451</v>
      </c>
      <c r="E138" s="407" t="s">
        <v>1826</v>
      </c>
      <c r="F138" s="407" t="s">
        <v>1827</v>
      </c>
      <c r="G138" s="406" t="s">
        <v>54</v>
      </c>
      <c r="H138" s="408" t="s">
        <v>1365</v>
      </c>
      <c r="I138" s="408" t="s">
        <v>1451</v>
      </c>
      <c r="J138" s="406" t="s">
        <v>1484</v>
      </c>
      <c r="K138" s="406" t="s">
        <v>1485</v>
      </c>
      <c r="L138" s="406" t="s">
        <v>634</v>
      </c>
      <c r="M138" s="436" t="s">
        <v>1682</v>
      </c>
      <c r="N138" s="452">
        <v>0</v>
      </c>
      <c r="O138" s="452">
        <v>0</v>
      </c>
      <c r="P138" s="452">
        <v>0</v>
      </c>
      <c r="Q138" s="452">
        <v>0</v>
      </c>
      <c r="R138" s="452">
        <v>0</v>
      </c>
      <c r="S138" s="452">
        <v>0</v>
      </c>
      <c r="T138" s="452">
        <v>0</v>
      </c>
      <c r="U138" s="409">
        <v>0</v>
      </c>
      <c r="V138" s="409"/>
      <c r="W138" s="437"/>
      <c r="X138" s="409"/>
      <c r="Y138" s="409"/>
      <c r="Z138" s="453">
        <f t="shared" si="63"/>
        <v>0</v>
      </c>
      <c r="AA138" s="452"/>
      <c r="AB138" s="452"/>
      <c r="AC138" s="452"/>
      <c r="AD138" s="452">
        <v>1656</v>
      </c>
      <c r="AE138" s="452"/>
      <c r="AF138" s="452"/>
      <c r="AG138" s="452"/>
      <c r="AH138" s="409"/>
      <c r="AI138" s="409"/>
      <c r="AJ138" s="437"/>
      <c r="AK138" s="409"/>
      <c r="AL138" s="409"/>
      <c r="AM138" s="453">
        <f t="shared" si="58"/>
        <v>1656</v>
      </c>
      <c r="AN138" s="452">
        <v>0</v>
      </c>
      <c r="AO138" s="452"/>
      <c r="AP138" s="452"/>
      <c r="AQ138" s="452"/>
      <c r="AR138" s="452"/>
      <c r="AS138" s="452"/>
      <c r="AT138" s="452"/>
      <c r="AU138" s="409"/>
      <c r="AV138" s="409"/>
      <c r="AW138" s="437"/>
      <c r="AX138" s="409"/>
      <c r="AY138" s="409"/>
      <c r="AZ138" s="453">
        <f t="shared" si="59"/>
        <v>0</v>
      </c>
      <c r="BA138" s="452"/>
      <c r="BB138" s="452"/>
      <c r="BC138" s="452"/>
      <c r="BD138" s="452"/>
      <c r="BE138" s="452"/>
      <c r="BF138" s="452"/>
      <c r="BG138" s="452"/>
      <c r="BH138" s="409"/>
      <c r="BI138" s="409"/>
      <c r="BJ138" s="437"/>
      <c r="BK138" s="409"/>
      <c r="BL138" s="409"/>
      <c r="BM138" s="453">
        <f t="shared" si="60"/>
        <v>0</v>
      </c>
      <c r="BN138" s="452"/>
      <c r="BO138" s="452"/>
      <c r="BP138" s="452"/>
      <c r="BQ138" s="452"/>
      <c r="BR138" s="452"/>
      <c r="BS138" s="452"/>
      <c r="BT138" s="452"/>
      <c r="BU138" s="409"/>
      <c r="BV138" s="409"/>
      <c r="BW138" s="437"/>
      <c r="BX138" s="409"/>
      <c r="BY138" s="409"/>
      <c r="BZ138" s="453">
        <f t="shared" si="61"/>
        <v>0</v>
      </c>
      <c r="CA138" s="454">
        <f t="shared" si="62"/>
        <v>1656</v>
      </c>
      <c r="CB138" s="411"/>
      <c r="CC138" s="411"/>
      <c r="CD138" s="411"/>
      <c r="CE138" s="411"/>
      <c r="CF138" s="411"/>
      <c r="CG138" s="420">
        <f>IFERROR((FE138/Z138%),0)</f>
        <v>0</v>
      </c>
      <c r="CH138" s="413"/>
      <c r="CI138" s="414" t="s">
        <v>71</v>
      </c>
      <c r="CJ138" s="415"/>
      <c r="CK138" s="415"/>
      <c r="CL138" s="415"/>
      <c r="CM138" s="415"/>
      <c r="CN138" s="415"/>
      <c r="CO138" s="415"/>
      <c r="CP138" s="415"/>
      <c r="CQ138" s="415"/>
      <c r="CR138" s="415"/>
      <c r="CS138" s="415">
        <v>2</v>
      </c>
      <c r="CT138" s="415"/>
      <c r="CU138" s="415"/>
      <c r="CV138" s="410">
        <f t="shared" si="50"/>
        <v>2</v>
      </c>
      <c r="CW138" s="415"/>
      <c r="CX138" s="415"/>
      <c r="CY138" s="415"/>
      <c r="CZ138" s="415"/>
      <c r="DA138" s="415"/>
      <c r="DB138" s="415"/>
      <c r="DC138" s="415"/>
      <c r="DD138" s="415"/>
      <c r="DE138" s="415"/>
      <c r="DF138" s="415"/>
      <c r="DG138" s="415"/>
      <c r="DH138" s="415"/>
      <c r="DI138" s="410">
        <f t="shared" si="51"/>
        <v>0</v>
      </c>
      <c r="DJ138" s="415"/>
      <c r="DK138" s="415"/>
      <c r="DL138" s="415"/>
      <c r="DM138" s="415"/>
      <c r="DN138" s="415"/>
      <c r="DO138" s="415"/>
      <c r="DP138" s="415"/>
      <c r="DQ138" s="415"/>
      <c r="DR138" s="415"/>
      <c r="DS138" s="415"/>
      <c r="DT138" s="415"/>
      <c r="DU138" s="415"/>
      <c r="DV138" s="410">
        <f t="shared" si="52"/>
        <v>0</v>
      </c>
      <c r="DW138" s="415"/>
      <c r="DX138" s="415"/>
      <c r="DY138" s="415"/>
      <c r="DZ138" s="415"/>
      <c r="EA138" s="415"/>
      <c r="EB138" s="415"/>
      <c r="EC138" s="415"/>
      <c r="ED138" s="415"/>
      <c r="EE138" s="415"/>
      <c r="EF138" s="415"/>
      <c r="EG138" s="415"/>
      <c r="EH138" s="415"/>
      <c r="EI138" s="410">
        <f t="shared" si="53"/>
        <v>0</v>
      </c>
      <c r="EJ138" s="415"/>
      <c r="EK138" s="415"/>
      <c r="EL138" s="415"/>
      <c r="EM138" s="415"/>
      <c r="EN138" s="415"/>
      <c r="EO138" s="415"/>
      <c r="EP138" s="415"/>
      <c r="EQ138" s="415"/>
      <c r="ER138" s="415"/>
      <c r="ES138" s="415"/>
      <c r="ET138" s="415"/>
      <c r="EU138" s="415"/>
      <c r="EV138" s="410">
        <f t="shared" si="54"/>
        <v>0</v>
      </c>
      <c r="EW138" s="416">
        <f t="shared" si="55"/>
        <v>2</v>
      </c>
      <c r="EX138" s="417">
        <f>IFERROR(VLOOKUP(H138,CEI_012018!$A$1:$U$509,9,FALSE),0)</f>
        <v>0</v>
      </c>
      <c r="EY138" s="417">
        <f>IFERROR(VLOOKUP(H138,CEI_022018!$A$1:$U$509,9,FALSE),0)</f>
        <v>0</v>
      </c>
      <c r="EZ138" s="417">
        <f>IFERROR(VLOOKUP(H138,CEI_032018!$A$1:$U$509,9,FALSE),0)</f>
        <v>0</v>
      </c>
      <c r="FA138" s="417">
        <f>IFERROR(VLOOKUP(H138,CEI_042018!$A$1:$U$491,9,FALSE),0)</f>
        <v>0</v>
      </c>
      <c r="FB138" s="417">
        <f>IFERROR(VLOOKUP(H138,CEI_052018!$A$1:$U$489,9,FALSE),0)</f>
        <v>0</v>
      </c>
      <c r="FC138" s="417">
        <f>IFERROR(VLOOKUP(H138,CEI_062018!$A$1:$U$489,9,FALSE),0)</f>
        <v>0</v>
      </c>
      <c r="FD138" s="417">
        <f>IFERROR(VLOOKUP(H138,CEI_072018!$A$1:$U$489,9,FALSE),0)</f>
        <v>0</v>
      </c>
      <c r="FE138" s="417">
        <f>IFERROR(VLOOKUP(H138,CEI_082018!$A$1:$U$489,9,FALSE),0)</f>
        <v>0</v>
      </c>
      <c r="FF138" s="417">
        <f>IFERROR(VLOOKUP(H138,CEI_092018!$A$1:$U$489,9,FALSE),0)</f>
        <v>0</v>
      </c>
      <c r="FG138" s="417"/>
      <c r="FH138" s="417"/>
      <c r="FI138" s="417"/>
      <c r="FJ138" s="418">
        <f>IFERROR(VLOOKUP(H138,CEI_092018!$A$1:$U$489,12,FALSE),0)</f>
        <v>0</v>
      </c>
      <c r="FK138" s="418">
        <f t="shared" si="56"/>
        <v>0</v>
      </c>
      <c r="FL138" s="418">
        <f t="shared" si="57"/>
        <v>0</v>
      </c>
      <c r="FM138" s="417"/>
      <c r="FN138" s="417"/>
      <c r="FO138" s="417"/>
      <c r="FP138" s="417"/>
      <c r="FQ138" s="417"/>
      <c r="FR138" s="417"/>
      <c r="FS138" s="417"/>
      <c r="FT138" s="417"/>
      <c r="FU138" s="417"/>
      <c r="FV138" s="417"/>
      <c r="FW138" s="417"/>
      <c r="FX138" s="417"/>
      <c r="FY138" s="418"/>
      <c r="FZ138" s="418"/>
      <c r="GA138" s="418"/>
      <c r="GB138" s="417"/>
      <c r="GC138" s="417"/>
      <c r="GD138" s="417"/>
      <c r="GE138" s="417"/>
      <c r="GF138" s="417"/>
      <c r="GG138" s="417"/>
      <c r="GH138" s="417"/>
      <c r="GI138" s="417"/>
      <c r="GJ138" s="417"/>
      <c r="GK138" s="417"/>
      <c r="GL138" s="417"/>
      <c r="GM138" s="417"/>
      <c r="GN138" s="418"/>
      <c r="GO138" s="418"/>
      <c r="GP138" s="418"/>
      <c r="GQ138" s="417"/>
      <c r="GR138" s="417"/>
      <c r="GS138" s="417"/>
      <c r="GT138" s="417"/>
      <c r="GU138" s="417"/>
      <c r="GV138" s="417"/>
      <c r="GW138" s="417"/>
      <c r="GX138" s="417"/>
      <c r="GY138" s="417"/>
      <c r="GZ138" s="417"/>
      <c r="HA138" s="417"/>
      <c r="HB138" s="417"/>
      <c r="HC138" s="418"/>
      <c r="HD138" s="418"/>
      <c r="HE138" s="418"/>
      <c r="HF138" s="417"/>
      <c r="HG138" s="417"/>
      <c r="HH138" s="417"/>
      <c r="HI138" s="417"/>
      <c r="HJ138" s="417"/>
      <c r="HK138" s="417"/>
      <c r="HL138" s="417"/>
      <c r="HM138" s="417"/>
      <c r="HN138" s="417"/>
      <c r="HO138" s="417"/>
      <c r="HP138" s="417"/>
      <c r="HQ138" s="417"/>
      <c r="HR138" s="418"/>
      <c r="HS138" s="418"/>
      <c r="HT138" s="418"/>
    </row>
    <row r="139" spans="1:228" s="387" customFormat="1" ht="12.75" customHeight="1" x14ac:dyDescent="0.2">
      <c r="A139" s="406" t="s">
        <v>55</v>
      </c>
      <c r="B139" s="407" t="s">
        <v>43</v>
      </c>
      <c r="C139" s="406" t="s">
        <v>56</v>
      </c>
      <c r="D139" s="407" t="s">
        <v>451</v>
      </c>
      <c r="E139" s="407" t="s">
        <v>56</v>
      </c>
      <c r="F139" s="407" t="s">
        <v>451</v>
      </c>
      <c r="G139" s="406" t="s">
        <v>54</v>
      </c>
      <c r="H139" s="408" t="s">
        <v>520</v>
      </c>
      <c r="I139" s="408"/>
      <c r="J139" s="406" t="s">
        <v>452</v>
      </c>
      <c r="K139" s="406" t="s">
        <v>629</v>
      </c>
      <c r="L139" s="406" t="s">
        <v>630</v>
      </c>
      <c r="M139" s="406"/>
      <c r="N139" s="452">
        <v>0</v>
      </c>
      <c r="O139" s="452">
        <v>0</v>
      </c>
      <c r="P139" s="452">
        <v>0</v>
      </c>
      <c r="Q139" s="452">
        <v>0</v>
      </c>
      <c r="R139" s="452">
        <v>0</v>
      </c>
      <c r="S139" s="452">
        <v>0</v>
      </c>
      <c r="T139" s="452">
        <v>0</v>
      </c>
      <c r="U139" s="409">
        <v>0</v>
      </c>
      <c r="V139" s="409"/>
      <c r="W139" s="409"/>
      <c r="X139" s="409"/>
      <c r="Y139" s="409"/>
      <c r="Z139" s="453">
        <f t="shared" si="63"/>
        <v>0</v>
      </c>
      <c r="AA139" s="452"/>
      <c r="AB139" s="452"/>
      <c r="AC139" s="452"/>
      <c r="AD139" s="452"/>
      <c r="AE139" s="452"/>
      <c r="AF139" s="452"/>
      <c r="AG139" s="452"/>
      <c r="AH139" s="409"/>
      <c r="AI139" s="409"/>
      <c r="AJ139" s="409"/>
      <c r="AK139" s="409"/>
      <c r="AL139" s="409"/>
      <c r="AM139" s="453">
        <f t="shared" si="58"/>
        <v>0</v>
      </c>
      <c r="AN139" s="452">
        <v>350</v>
      </c>
      <c r="AO139" s="452"/>
      <c r="AP139" s="452"/>
      <c r="AQ139" s="452"/>
      <c r="AR139" s="452"/>
      <c r="AS139" s="452"/>
      <c r="AT139" s="452"/>
      <c r="AU139" s="409"/>
      <c r="AV139" s="409"/>
      <c r="AW139" s="409"/>
      <c r="AX139" s="409"/>
      <c r="AY139" s="409"/>
      <c r="AZ139" s="453">
        <f t="shared" si="59"/>
        <v>350</v>
      </c>
      <c r="BA139" s="452">
        <v>350</v>
      </c>
      <c r="BB139" s="452"/>
      <c r="BC139" s="452"/>
      <c r="BD139" s="452"/>
      <c r="BE139" s="452"/>
      <c r="BF139" s="452"/>
      <c r="BG139" s="452"/>
      <c r="BH139" s="409"/>
      <c r="BI139" s="409"/>
      <c r="BJ139" s="409"/>
      <c r="BK139" s="409"/>
      <c r="BL139" s="409"/>
      <c r="BM139" s="453">
        <f t="shared" si="60"/>
        <v>350</v>
      </c>
      <c r="BN139" s="452"/>
      <c r="BO139" s="452"/>
      <c r="BP139" s="452"/>
      <c r="BQ139" s="452"/>
      <c r="BR139" s="452"/>
      <c r="BS139" s="452"/>
      <c r="BT139" s="452"/>
      <c r="BU139" s="409"/>
      <c r="BV139" s="409"/>
      <c r="BW139" s="409"/>
      <c r="BX139" s="409"/>
      <c r="BY139" s="409"/>
      <c r="BZ139" s="453">
        <f t="shared" si="61"/>
        <v>0</v>
      </c>
      <c r="CA139" s="454">
        <f t="shared" si="62"/>
        <v>700</v>
      </c>
      <c r="CB139" s="411"/>
      <c r="CC139" s="411"/>
      <c r="CD139" s="411"/>
      <c r="CE139" s="411"/>
      <c r="CF139" s="411"/>
      <c r="CG139" s="412"/>
      <c r="CH139" s="413"/>
      <c r="CI139" s="414" t="s">
        <v>71</v>
      </c>
      <c r="CJ139" s="415"/>
      <c r="CK139" s="415"/>
      <c r="CL139" s="415"/>
      <c r="CM139" s="415"/>
      <c r="CN139" s="415"/>
      <c r="CO139" s="415"/>
      <c r="CP139" s="415"/>
      <c r="CQ139" s="415"/>
      <c r="CR139" s="415"/>
      <c r="CS139" s="415"/>
      <c r="CT139" s="415"/>
      <c r="CU139" s="415"/>
      <c r="CV139" s="410">
        <f t="shared" si="50"/>
        <v>0</v>
      </c>
      <c r="CW139" s="415"/>
      <c r="CX139" s="415"/>
      <c r="CY139" s="415"/>
      <c r="CZ139" s="415"/>
      <c r="DA139" s="415"/>
      <c r="DB139" s="415"/>
      <c r="DC139" s="415"/>
      <c r="DD139" s="415"/>
      <c r="DE139" s="415"/>
      <c r="DF139" s="415"/>
      <c r="DG139" s="415"/>
      <c r="DH139" s="415"/>
      <c r="DI139" s="410">
        <f t="shared" si="51"/>
        <v>0</v>
      </c>
      <c r="DJ139" s="415">
        <v>5</v>
      </c>
      <c r="DK139" s="415"/>
      <c r="DL139" s="415"/>
      <c r="DM139" s="415"/>
      <c r="DN139" s="415"/>
      <c r="DO139" s="415"/>
      <c r="DP139" s="415"/>
      <c r="DQ139" s="415"/>
      <c r="DR139" s="415"/>
      <c r="DS139" s="415"/>
      <c r="DT139" s="415"/>
      <c r="DU139" s="415"/>
      <c r="DV139" s="410">
        <f t="shared" si="52"/>
        <v>5</v>
      </c>
      <c r="DW139" s="415">
        <v>5</v>
      </c>
      <c r="DX139" s="415"/>
      <c r="DY139" s="415"/>
      <c r="DZ139" s="415"/>
      <c r="EA139" s="415"/>
      <c r="EB139" s="415"/>
      <c r="EC139" s="415"/>
      <c r="ED139" s="415"/>
      <c r="EE139" s="415"/>
      <c r="EF139" s="415"/>
      <c r="EG139" s="415"/>
      <c r="EH139" s="415"/>
      <c r="EI139" s="410">
        <f t="shared" si="53"/>
        <v>5</v>
      </c>
      <c r="EJ139" s="415"/>
      <c r="EK139" s="415"/>
      <c r="EL139" s="415"/>
      <c r="EM139" s="415"/>
      <c r="EN139" s="415"/>
      <c r="EO139" s="415"/>
      <c r="EP139" s="415"/>
      <c r="EQ139" s="415"/>
      <c r="ER139" s="415"/>
      <c r="ES139" s="415"/>
      <c r="ET139" s="415"/>
      <c r="EU139" s="415"/>
      <c r="EV139" s="410">
        <f t="shared" si="54"/>
        <v>0</v>
      </c>
      <c r="EW139" s="416">
        <f t="shared" si="55"/>
        <v>10</v>
      </c>
      <c r="EX139" s="417">
        <f>IFERROR(VLOOKUP(H139,CEI_012018!$A$1:$U$509,9,FALSE),0)</f>
        <v>0</v>
      </c>
      <c r="EY139" s="417">
        <f>IFERROR(VLOOKUP(H139,CEI_022018!$A$1:$U$509,9,FALSE),0)</f>
        <v>0</v>
      </c>
      <c r="EZ139" s="417">
        <f>IFERROR(VLOOKUP(H139,CEI_032018!$A$1:$U$509,9,FALSE),0)</f>
        <v>0</v>
      </c>
      <c r="FA139" s="417">
        <f>IFERROR(VLOOKUP(H139,CEI_042018!$A$1:$U$491,9,FALSE),0)</f>
        <v>0</v>
      </c>
      <c r="FB139" s="417">
        <f>IFERROR(VLOOKUP(H139,CEI_052018!$A$1:$U$489,9,FALSE),0)</f>
        <v>0</v>
      </c>
      <c r="FC139" s="417">
        <f>IFERROR(VLOOKUP(H139,CEI_062018!$A$1:$U$489,9,FALSE),0)</f>
        <v>0</v>
      </c>
      <c r="FD139" s="417">
        <f>IFERROR(VLOOKUP(H139,CEI_072018!$A$1:$U$489,9,FALSE),0)</f>
        <v>0</v>
      </c>
      <c r="FE139" s="417">
        <f>IFERROR(VLOOKUP(H139,CEI_082018!$A$1:$U$489,9,FALSE),0)</f>
        <v>0</v>
      </c>
      <c r="FF139" s="417">
        <f>IFERROR(VLOOKUP(H139,CEI_092018!$A$1:$U$489,9,FALSE),0)</f>
        <v>0</v>
      </c>
      <c r="FG139" s="417"/>
      <c r="FH139" s="417"/>
      <c r="FI139" s="417"/>
      <c r="FJ139" s="418">
        <f>IFERROR(VLOOKUP(H139,CEI_092018!$A$1:$U$489,12,FALSE),0)</f>
        <v>0</v>
      </c>
      <c r="FK139" s="418">
        <f t="shared" si="56"/>
        <v>0</v>
      </c>
      <c r="FL139" s="418">
        <f t="shared" si="57"/>
        <v>0</v>
      </c>
      <c r="FM139" s="417"/>
      <c r="FN139" s="417"/>
      <c r="FO139" s="417"/>
      <c r="FP139" s="417"/>
      <c r="FQ139" s="417"/>
      <c r="FR139" s="417"/>
      <c r="FS139" s="417"/>
      <c r="FT139" s="417"/>
      <c r="FU139" s="417"/>
      <c r="FV139" s="417"/>
      <c r="FW139" s="417"/>
      <c r="FX139" s="417"/>
      <c r="FY139" s="418"/>
      <c r="FZ139" s="418"/>
      <c r="GA139" s="418"/>
      <c r="GB139" s="417"/>
      <c r="GC139" s="417"/>
      <c r="GD139" s="417"/>
      <c r="GE139" s="417"/>
      <c r="GF139" s="417"/>
      <c r="GG139" s="417"/>
      <c r="GH139" s="417"/>
      <c r="GI139" s="417"/>
      <c r="GJ139" s="417"/>
      <c r="GK139" s="417"/>
      <c r="GL139" s="417"/>
      <c r="GM139" s="417"/>
      <c r="GN139" s="418"/>
      <c r="GO139" s="418"/>
      <c r="GP139" s="418"/>
      <c r="GQ139" s="417"/>
      <c r="GR139" s="417"/>
      <c r="GS139" s="417"/>
      <c r="GT139" s="417"/>
      <c r="GU139" s="417"/>
      <c r="GV139" s="417"/>
      <c r="GW139" s="417"/>
      <c r="GX139" s="417"/>
      <c r="GY139" s="417"/>
      <c r="GZ139" s="417"/>
      <c r="HA139" s="417"/>
      <c r="HB139" s="417"/>
      <c r="HC139" s="418"/>
      <c r="HD139" s="418"/>
      <c r="HE139" s="418"/>
      <c r="HF139" s="417"/>
      <c r="HG139" s="417"/>
      <c r="HH139" s="417"/>
      <c r="HI139" s="417"/>
      <c r="HJ139" s="417"/>
      <c r="HK139" s="417"/>
      <c r="HL139" s="417"/>
      <c r="HM139" s="417"/>
      <c r="HN139" s="417"/>
      <c r="HO139" s="417"/>
      <c r="HP139" s="417"/>
      <c r="HQ139" s="417"/>
      <c r="HR139" s="418"/>
      <c r="HS139" s="418"/>
      <c r="HT139" s="418"/>
    </row>
    <row r="140" spans="1:228" s="387" customFormat="1" ht="12.75" customHeight="1" x14ac:dyDescent="0.2">
      <c r="A140" s="406" t="s">
        <v>55</v>
      </c>
      <c r="B140" s="407" t="s">
        <v>43</v>
      </c>
      <c r="C140" s="406" t="s">
        <v>56</v>
      </c>
      <c r="D140" s="407" t="s">
        <v>451</v>
      </c>
      <c r="E140" s="407" t="s">
        <v>56</v>
      </c>
      <c r="F140" s="407" t="s">
        <v>451</v>
      </c>
      <c r="G140" s="406" t="s">
        <v>54</v>
      </c>
      <c r="H140" s="408" t="s">
        <v>520</v>
      </c>
      <c r="I140" s="408"/>
      <c r="J140" s="406" t="s">
        <v>640</v>
      </c>
      <c r="K140" s="406" t="s">
        <v>641</v>
      </c>
      <c r="L140" s="406" t="s">
        <v>642</v>
      </c>
      <c r="M140" s="406"/>
      <c r="N140" s="452">
        <v>0</v>
      </c>
      <c r="O140" s="452">
        <v>0</v>
      </c>
      <c r="P140" s="452">
        <v>0</v>
      </c>
      <c r="Q140" s="452">
        <v>0</v>
      </c>
      <c r="R140" s="452">
        <v>0</v>
      </c>
      <c r="S140" s="452">
        <v>0</v>
      </c>
      <c r="T140" s="452">
        <v>0</v>
      </c>
      <c r="U140" s="409">
        <v>0</v>
      </c>
      <c r="V140" s="409"/>
      <c r="W140" s="409"/>
      <c r="X140" s="409"/>
      <c r="Y140" s="409"/>
      <c r="Z140" s="453">
        <f t="shared" si="63"/>
        <v>0</v>
      </c>
      <c r="AA140" s="452"/>
      <c r="AB140" s="452"/>
      <c r="AC140" s="452"/>
      <c r="AD140" s="452"/>
      <c r="AE140" s="452"/>
      <c r="AF140" s="452"/>
      <c r="AG140" s="452"/>
      <c r="AH140" s="409"/>
      <c r="AI140" s="409"/>
      <c r="AJ140" s="409"/>
      <c r="AK140" s="409"/>
      <c r="AL140" s="409"/>
      <c r="AM140" s="453">
        <f t="shared" si="58"/>
        <v>0</v>
      </c>
      <c r="AN140" s="452"/>
      <c r="AO140" s="452"/>
      <c r="AP140" s="452"/>
      <c r="AQ140" s="452"/>
      <c r="AR140" s="452"/>
      <c r="AS140" s="452"/>
      <c r="AT140" s="452"/>
      <c r="AU140" s="409"/>
      <c r="AV140" s="409"/>
      <c r="AW140" s="409"/>
      <c r="AX140" s="409"/>
      <c r="AY140" s="409"/>
      <c r="AZ140" s="453">
        <f t="shared" si="59"/>
        <v>0</v>
      </c>
      <c r="BA140" s="452"/>
      <c r="BB140" s="452"/>
      <c r="BC140" s="452"/>
      <c r="BD140" s="452"/>
      <c r="BE140" s="452"/>
      <c r="BF140" s="452"/>
      <c r="BG140" s="452"/>
      <c r="BH140" s="409"/>
      <c r="BI140" s="409"/>
      <c r="BJ140" s="409"/>
      <c r="BK140" s="409"/>
      <c r="BL140" s="409"/>
      <c r="BM140" s="453">
        <f t="shared" si="60"/>
        <v>0</v>
      </c>
      <c r="BN140" s="452">
        <v>170</v>
      </c>
      <c r="BO140" s="452"/>
      <c r="BP140" s="452"/>
      <c r="BQ140" s="452"/>
      <c r="BR140" s="452"/>
      <c r="BS140" s="452"/>
      <c r="BT140" s="452"/>
      <c r="BU140" s="409"/>
      <c r="BV140" s="409"/>
      <c r="BW140" s="409"/>
      <c r="BX140" s="409"/>
      <c r="BY140" s="409"/>
      <c r="BZ140" s="453">
        <f t="shared" si="61"/>
        <v>170</v>
      </c>
      <c r="CA140" s="454">
        <f t="shared" si="62"/>
        <v>170</v>
      </c>
      <c r="CB140" s="411"/>
      <c r="CC140" s="411"/>
      <c r="CD140" s="411"/>
      <c r="CE140" s="411"/>
      <c r="CF140" s="411"/>
      <c r="CG140" s="412"/>
      <c r="CH140" s="413"/>
      <c r="CI140" s="414" t="s">
        <v>71</v>
      </c>
      <c r="CJ140" s="415"/>
      <c r="CK140" s="415"/>
      <c r="CL140" s="415"/>
      <c r="CM140" s="415"/>
      <c r="CN140" s="415"/>
      <c r="CO140" s="415"/>
      <c r="CP140" s="415"/>
      <c r="CQ140" s="415"/>
      <c r="CR140" s="415"/>
      <c r="CS140" s="415"/>
      <c r="CT140" s="415"/>
      <c r="CU140" s="415"/>
      <c r="CV140" s="410">
        <f t="shared" si="50"/>
        <v>0</v>
      </c>
      <c r="CW140" s="415"/>
      <c r="CX140" s="415"/>
      <c r="CY140" s="415"/>
      <c r="CZ140" s="415"/>
      <c r="DA140" s="415"/>
      <c r="DB140" s="415"/>
      <c r="DC140" s="415"/>
      <c r="DD140" s="415"/>
      <c r="DE140" s="415"/>
      <c r="DF140" s="415"/>
      <c r="DG140" s="415"/>
      <c r="DH140" s="415"/>
      <c r="DI140" s="410">
        <f t="shared" si="51"/>
        <v>0</v>
      </c>
      <c r="DJ140" s="415"/>
      <c r="DK140" s="415"/>
      <c r="DL140" s="415"/>
      <c r="DM140" s="415"/>
      <c r="DN140" s="415"/>
      <c r="DO140" s="415"/>
      <c r="DP140" s="415"/>
      <c r="DQ140" s="415"/>
      <c r="DR140" s="415"/>
      <c r="DS140" s="415"/>
      <c r="DT140" s="415"/>
      <c r="DU140" s="415"/>
      <c r="DV140" s="410">
        <f t="shared" si="52"/>
        <v>0</v>
      </c>
      <c r="DW140" s="415"/>
      <c r="DX140" s="415"/>
      <c r="DY140" s="415"/>
      <c r="DZ140" s="415"/>
      <c r="EA140" s="415"/>
      <c r="EB140" s="415"/>
      <c r="EC140" s="415"/>
      <c r="ED140" s="415"/>
      <c r="EE140" s="415"/>
      <c r="EF140" s="415"/>
      <c r="EG140" s="415"/>
      <c r="EH140" s="415"/>
      <c r="EI140" s="410">
        <f t="shared" si="53"/>
        <v>0</v>
      </c>
      <c r="EJ140" s="415">
        <v>1</v>
      </c>
      <c r="EK140" s="415"/>
      <c r="EL140" s="415"/>
      <c r="EM140" s="415"/>
      <c r="EN140" s="415"/>
      <c r="EO140" s="415"/>
      <c r="EP140" s="415"/>
      <c r="EQ140" s="415"/>
      <c r="ER140" s="415"/>
      <c r="ES140" s="415"/>
      <c r="ET140" s="415"/>
      <c r="EU140" s="415"/>
      <c r="EV140" s="410">
        <f t="shared" si="54"/>
        <v>1</v>
      </c>
      <c r="EW140" s="416">
        <f t="shared" si="55"/>
        <v>1</v>
      </c>
      <c r="EX140" s="417">
        <f>IFERROR(VLOOKUP(H140,CEI_012018!$A$1:$U$509,9,FALSE),0)</f>
        <v>0</v>
      </c>
      <c r="EY140" s="417">
        <f>IFERROR(VLOOKUP(H140,CEI_022018!$A$1:$U$509,9,FALSE),0)</f>
        <v>0</v>
      </c>
      <c r="EZ140" s="417">
        <f>IFERROR(VLOOKUP(H140,CEI_032018!$A$1:$U$509,9,FALSE),0)</f>
        <v>0</v>
      </c>
      <c r="FA140" s="417">
        <f>IFERROR(VLOOKUP(H140,CEI_042018!$A$1:$U$491,9,FALSE),0)</f>
        <v>0</v>
      </c>
      <c r="FB140" s="417">
        <f>IFERROR(VLOOKUP(H140,CEI_052018!$A$1:$U$489,9,FALSE),0)</f>
        <v>0</v>
      </c>
      <c r="FC140" s="417">
        <f>IFERROR(VLOOKUP(H140,CEI_062018!$A$1:$U$489,9,FALSE),0)</f>
        <v>0</v>
      </c>
      <c r="FD140" s="417">
        <f>IFERROR(VLOOKUP(H140,CEI_072018!$A$1:$U$489,9,FALSE),0)</f>
        <v>0</v>
      </c>
      <c r="FE140" s="417">
        <f>IFERROR(VLOOKUP(H140,CEI_082018!$A$1:$U$489,9,FALSE),0)</f>
        <v>0</v>
      </c>
      <c r="FF140" s="417">
        <f>IFERROR(VLOOKUP(H140,CEI_092018!$A$1:$U$489,9,FALSE),0)</f>
        <v>0</v>
      </c>
      <c r="FG140" s="417"/>
      <c r="FH140" s="417"/>
      <c r="FI140" s="417"/>
      <c r="FJ140" s="418">
        <f>IFERROR(VLOOKUP(H140,CEI_092018!$A$1:$U$489,12,FALSE),0)</f>
        <v>0</v>
      </c>
      <c r="FK140" s="418">
        <f t="shared" si="56"/>
        <v>0</v>
      </c>
      <c r="FL140" s="418">
        <f t="shared" si="57"/>
        <v>0</v>
      </c>
      <c r="FM140" s="417"/>
      <c r="FN140" s="417"/>
      <c r="FO140" s="417"/>
      <c r="FP140" s="417"/>
      <c r="FQ140" s="417"/>
      <c r="FR140" s="417"/>
      <c r="FS140" s="417"/>
      <c r="FT140" s="417"/>
      <c r="FU140" s="417"/>
      <c r="FV140" s="417"/>
      <c r="FW140" s="417"/>
      <c r="FX140" s="417"/>
      <c r="FY140" s="418"/>
      <c r="FZ140" s="418"/>
      <c r="GA140" s="418"/>
      <c r="GB140" s="417"/>
      <c r="GC140" s="417"/>
      <c r="GD140" s="417"/>
      <c r="GE140" s="417"/>
      <c r="GF140" s="417"/>
      <c r="GG140" s="417"/>
      <c r="GH140" s="417"/>
      <c r="GI140" s="417"/>
      <c r="GJ140" s="417"/>
      <c r="GK140" s="417"/>
      <c r="GL140" s="417"/>
      <c r="GM140" s="417"/>
      <c r="GN140" s="418"/>
      <c r="GO140" s="418"/>
      <c r="GP140" s="418"/>
      <c r="GQ140" s="417"/>
      <c r="GR140" s="417"/>
      <c r="GS140" s="417"/>
      <c r="GT140" s="417"/>
      <c r="GU140" s="417"/>
      <c r="GV140" s="417"/>
      <c r="GW140" s="417"/>
      <c r="GX140" s="417"/>
      <c r="GY140" s="417"/>
      <c r="GZ140" s="417"/>
      <c r="HA140" s="417"/>
      <c r="HB140" s="417"/>
      <c r="HC140" s="418"/>
      <c r="HD140" s="418"/>
      <c r="HE140" s="418"/>
      <c r="HF140" s="417"/>
      <c r="HG140" s="417"/>
      <c r="HH140" s="417"/>
      <c r="HI140" s="417"/>
      <c r="HJ140" s="417"/>
      <c r="HK140" s="417"/>
      <c r="HL140" s="417"/>
      <c r="HM140" s="417"/>
      <c r="HN140" s="417"/>
      <c r="HO140" s="417"/>
      <c r="HP140" s="417"/>
      <c r="HQ140" s="417"/>
      <c r="HR140" s="418"/>
      <c r="HS140" s="418"/>
      <c r="HT140" s="418"/>
    </row>
    <row r="141" spans="1:228" s="387" customFormat="1" ht="12.75" customHeight="1" x14ac:dyDescent="0.2">
      <c r="A141" s="406" t="s">
        <v>55</v>
      </c>
      <c r="B141" s="407" t="s">
        <v>43</v>
      </c>
      <c r="C141" s="406" t="s">
        <v>56</v>
      </c>
      <c r="D141" s="407" t="s">
        <v>451</v>
      </c>
      <c r="E141" s="407" t="s">
        <v>56</v>
      </c>
      <c r="F141" s="407" t="s">
        <v>451</v>
      </c>
      <c r="G141" s="406" t="s">
        <v>54</v>
      </c>
      <c r="H141" s="408" t="s">
        <v>520</v>
      </c>
      <c r="I141" s="408"/>
      <c r="J141" s="406" t="s">
        <v>453</v>
      </c>
      <c r="K141" s="406" t="s">
        <v>454</v>
      </c>
      <c r="L141" s="406" t="s">
        <v>645</v>
      </c>
      <c r="M141" s="430" t="s">
        <v>1683</v>
      </c>
      <c r="N141" s="452">
        <v>0</v>
      </c>
      <c r="O141" s="452">
        <v>0</v>
      </c>
      <c r="P141" s="452">
        <v>0</v>
      </c>
      <c r="Q141" s="452">
        <v>0</v>
      </c>
      <c r="R141" s="452">
        <v>0</v>
      </c>
      <c r="S141" s="452">
        <v>0</v>
      </c>
      <c r="T141" s="452">
        <v>0</v>
      </c>
      <c r="U141" s="409">
        <v>0</v>
      </c>
      <c r="V141" s="409"/>
      <c r="W141" s="409"/>
      <c r="X141" s="409"/>
      <c r="Y141" s="409"/>
      <c r="Z141" s="453">
        <f t="shared" si="63"/>
        <v>0</v>
      </c>
      <c r="AA141" s="452"/>
      <c r="AB141" s="452"/>
      <c r="AC141" s="452"/>
      <c r="AD141" s="452"/>
      <c r="AE141" s="452"/>
      <c r="AF141" s="452"/>
      <c r="AG141" s="452"/>
      <c r="AH141" s="409"/>
      <c r="AI141" s="409">
        <v>300</v>
      </c>
      <c r="AJ141" s="409"/>
      <c r="AK141" s="409"/>
      <c r="AL141" s="409"/>
      <c r="AM141" s="453">
        <f t="shared" si="58"/>
        <v>300</v>
      </c>
      <c r="AN141" s="452"/>
      <c r="AO141" s="452"/>
      <c r="AP141" s="452"/>
      <c r="AQ141" s="452"/>
      <c r="AR141" s="452"/>
      <c r="AS141" s="452"/>
      <c r="AT141" s="452"/>
      <c r="AU141" s="409"/>
      <c r="AV141" s="409"/>
      <c r="AW141" s="409"/>
      <c r="AX141" s="409"/>
      <c r="AY141" s="409"/>
      <c r="AZ141" s="453">
        <f t="shared" si="59"/>
        <v>0</v>
      </c>
      <c r="BA141" s="452"/>
      <c r="BB141" s="452"/>
      <c r="BC141" s="452"/>
      <c r="BD141" s="452"/>
      <c r="BE141" s="452"/>
      <c r="BF141" s="452"/>
      <c r="BG141" s="452"/>
      <c r="BH141" s="409"/>
      <c r="BI141" s="409"/>
      <c r="BJ141" s="409"/>
      <c r="BK141" s="409"/>
      <c r="BL141" s="409"/>
      <c r="BM141" s="453">
        <f t="shared" si="60"/>
        <v>0</v>
      </c>
      <c r="BN141" s="452"/>
      <c r="BO141" s="452"/>
      <c r="BP141" s="452"/>
      <c r="BQ141" s="452"/>
      <c r="BR141" s="452"/>
      <c r="BS141" s="452"/>
      <c r="BT141" s="452"/>
      <c r="BU141" s="409"/>
      <c r="BV141" s="409"/>
      <c r="BW141" s="409"/>
      <c r="BX141" s="409"/>
      <c r="BY141" s="409"/>
      <c r="BZ141" s="453">
        <f t="shared" si="61"/>
        <v>0</v>
      </c>
      <c r="CA141" s="454">
        <f t="shared" si="62"/>
        <v>300</v>
      </c>
      <c r="CB141" s="411"/>
      <c r="CC141" s="411"/>
      <c r="CD141" s="411"/>
      <c r="CE141" s="411"/>
      <c r="CF141" s="411"/>
      <c r="CG141" s="412"/>
      <c r="CH141" s="413"/>
      <c r="CI141" s="414" t="s">
        <v>71</v>
      </c>
      <c r="CJ141" s="415"/>
      <c r="CK141" s="415"/>
      <c r="CL141" s="415"/>
      <c r="CM141" s="415"/>
      <c r="CN141" s="415"/>
      <c r="CO141" s="415"/>
      <c r="CP141" s="415"/>
      <c r="CQ141" s="415"/>
      <c r="CR141" s="415">
        <v>1</v>
      </c>
      <c r="CS141" s="415"/>
      <c r="CT141" s="415"/>
      <c r="CU141" s="415"/>
      <c r="CV141" s="410">
        <f t="shared" si="50"/>
        <v>1</v>
      </c>
      <c r="CW141" s="415"/>
      <c r="CX141" s="415"/>
      <c r="CY141" s="415"/>
      <c r="CZ141" s="415"/>
      <c r="DA141" s="415"/>
      <c r="DB141" s="415"/>
      <c r="DC141" s="415"/>
      <c r="DD141" s="415"/>
      <c r="DE141" s="415"/>
      <c r="DF141" s="415"/>
      <c r="DG141" s="415"/>
      <c r="DH141" s="415"/>
      <c r="DI141" s="410">
        <f t="shared" si="51"/>
        <v>0</v>
      </c>
      <c r="DJ141" s="415"/>
      <c r="DK141" s="415"/>
      <c r="DL141" s="415"/>
      <c r="DM141" s="415"/>
      <c r="DN141" s="415"/>
      <c r="DO141" s="415"/>
      <c r="DP141" s="415"/>
      <c r="DQ141" s="415"/>
      <c r="DR141" s="415"/>
      <c r="DS141" s="415"/>
      <c r="DT141" s="415"/>
      <c r="DU141" s="415"/>
      <c r="DV141" s="410">
        <f t="shared" si="52"/>
        <v>0</v>
      </c>
      <c r="DW141" s="415"/>
      <c r="DX141" s="415"/>
      <c r="DY141" s="415"/>
      <c r="DZ141" s="415"/>
      <c r="EA141" s="415"/>
      <c r="EB141" s="415"/>
      <c r="EC141" s="415"/>
      <c r="ED141" s="415"/>
      <c r="EE141" s="415"/>
      <c r="EF141" s="415"/>
      <c r="EG141" s="415"/>
      <c r="EH141" s="415"/>
      <c r="EI141" s="410">
        <f t="shared" si="53"/>
        <v>0</v>
      </c>
      <c r="EJ141" s="415"/>
      <c r="EK141" s="415"/>
      <c r="EL141" s="415"/>
      <c r="EM141" s="415"/>
      <c r="EN141" s="415"/>
      <c r="EO141" s="415"/>
      <c r="EP141" s="415"/>
      <c r="EQ141" s="415"/>
      <c r="ER141" s="415"/>
      <c r="ES141" s="415"/>
      <c r="ET141" s="415"/>
      <c r="EU141" s="415"/>
      <c r="EV141" s="410">
        <f t="shared" si="54"/>
        <v>0</v>
      </c>
      <c r="EW141" s="416">
        <f t="shared" si="55"/>
        <v>1</v>
      </c>
      <c r="EX141" s="417">
        <f>IFERROR(VLOOKUP(H141,CEI_012018!$A$1:$U$509,9,FALSE),0)</f>
        <v>0</v>
      </c>
      <c r="EY141" s="417">
        <f>IFERROR(VLOOKUP(H141,CEI_022018!$A$1:$U$509,9,FALSE),0)</f>
        <v>0</v>
      </c>
      <c r="EZ141" s="417">
        <f>IFERROR(VLOOKUP(H141,CEI_032018!$A$1:$U$509,9,FALSE),0)</f>
        <v>0</v>
      </c>
      <c r="FA141" s="417">
        <f>IFERROR(VLOOKUP(H141,CEI_042018!$A$1:$U$491,9,FALSE),0)</f>
        <v>0</v>
      </c>
      <c r="FB141" s="417">
        <f>IFERROR(VLOOKUP(H141,CEI_052018!$A$1:$U$489,9,FALSE),0)</f>
        <v>0</v>
      </c>
      <c r="FC141" s="417">
        <f>IFERROR(VLOOKUP(H141,CEI_062018!$A$1:$U$489,9,FALSE),0)</f>
        <v>0</v>
      </c>
      <c r="FD141" s="417">
        <f>IFERROR(VLOOKUP(H141,CEI_072018!$A$1:$U$489,9,FALSE),0)</f>
        <v>0</v>
      </c>
      <c r="FE141" s="417">
        <f>IFERROR(VLOOKUP(H141,CEI_082018!$A$1:$U$489,9,FALSE),0)</f>
        <v>0</v>
      </c>
      <c r="FF141" s="417">
        <f>IFERROR(VLOOKUP(H141,CEI_092018!$A$1:$U$489,9,FALSE),0)</f>
        <v>0</v>
      </c>
      <c r="FG141" s="417"/>
      <c r="FH141" s="417"/>
      <c r="FI141" s="417"/>
      <c r="FJ141" s="418">
        <f>IFERROR(VLOOKUP(H141,CEI_092018!$A$1:$U$489,12,FALSE),0)</f>
        <v>0</v>
      </c>
      <c r="FK141" s="418">
        <f t="shared" si="56"/>
        <v>0</v>
      </c>
      <c r="FL141" s="418">
        <f t="shared" si="57"/>
        <v>0</v>
      </c>
      <c r="FM141" s="417"/>
      <c r="FN141" s="417"/>
      <c r="FO141" s="417"/>
      <c r="FP141" s="417"/>
      <c r="FQ141" s="417"/>
      <c r="FR141" s="417"/>
      <c r="FS141" s="417"/>
      <c r="FT141" s="417"/>
      <c r="FU141" s="417"/>
      <c r="FV141" s="417"/>
      <c r="FW141" s="417"/>
      <c r="FX141" s="417"/>
      <c r="FY141" s="418"/>
      <c r="FZ141" s="418"/>
      <c r="GA141" s="418"/>
      <c r="GB141" s="417"/>
      <c r="GC141" s="417"/>
      <c r="GD141" s="417"/>
      <c r="GE141" s="417"/>
      <c r="GF141" s="417"/>
      <c r="GG141" s="417"/>
      <c r="GH141" s="417"/>
      <c r="GI141" s="417"/>
      <c r="GJ141" s="417"/>
      <c r="GK141" s="417"/>
      <c r="GL141" s="417"/>
      <c r="GM141" s="417"/>
      <c r="GN141" s="418"/>
      <c r="GO141" s="418"/>
      <c r="GP141" s="418"/>
      <c r="GQ141" s="417"/>
      <c r="GR141" s="417"/>
      <c r="GS141" s="417"/>
      <c r="GT141" s="417"/>
      <c r="GU141" s="417"/>
      <c r="GV141" s="417"/>
      <c r="GW141" s="417"/>
      <c r="GX141" s="417"/>
      <c r="GY141" s="417"/>
      <c r="GZ141" s="417"/>
      <c r="HA141" s="417"/>
      <c r="HB141" s="417"/>
      <c r="HC141" s="418"/>
      <c r="HD141" s="418"/>
      <c r="HE141" s="418"/>
      <c r="HF141" s="417"/>
      <c r="HG141" s="417"/>
      <c r="HH141" s="417"/>
      <c r="HI141" s="417"/>
      <c r="HJ141" s="417"/>
      <c r="HK141" s="417"/>
      <c r="HL141" s="417"/>
      <c r="HM141" s="417"/>
      <c r="HN141" s="417"/>
      <c r="HO141" s="417"/>
      <c r="HP141" s="417"/>
      <c r="HQ141" s="417"/>
      <c r="HR141" s="418"/>
      <c r="HS141" s="418"/>
      <c r="HT141" s="418"/>
    </row>
    <row r="142" spans="1:228" s="387" customFormat="1" ht="12.75" customHeight="1" x14ac:dyDescent="0.2">
      <c r="A142" s="406" t="s">
        <v>55</v>
      </c>
      <c r="B142" s="407" t="s">
        <v>43</v>
      </c>
      <c r="C142" s="406" t="s">
        <v>56</v>
      </c>
      <c r="D142" s="407" t="s">
        <v>451</v>
      </c>
      <c r="E142" s="407" t="s">
        <v>1826</v>
      </c>
      <c r="F142" s="407" t="s">
        <v>1827</v>
      </c>
      <c r="G142" s="406" t="s">
        <v>60</v>
      </c>
      <c r="H142" s="408" t="s">
        <v>1936</v>
      </c>
      <c r="I142" s="408" t="s">
        <v>1938</v>
      </c>
      <c r="J142" s="406" t="s">
        <v>1679</v>
      </c>
      <c r="K142" s="406"/>
      <c r="L142" s="406"/>
      <c r="M142" s="406"/>
      <c r="N142" s="452">
        <v>0</v>
      </c>
      <c r="O142" s="452">
        <v>0</v>
      </c>
      <c r="P142" s="452">
        <v>0</v>
      </c>
      <c r="Q142" s="452">
        <v>0</v>
      </c>
      <c r="R142" s="452">
        <v>0</v>
      </c>
      <c r="S142" s="452">
        <v>0</v>
      </c>
      <c r="T142" s="452">
        <v>0</v>
      </c>
      <c r="U142" s="409">
        <v>0</v>
      </c>
      <c r="V142" s="409"/>
      <c r="W142" s="437"/>
      <c r="X142" s="409"/>
      <c r="Y142" s="409">
        <v>90</v>
      </c>
      <c r="Z142" s="453">
        <f t="shared" si="63"/>
        <v>90</v>
      </c>
      <c r="AA142" s="452"/>
      <c r="AB142" s="452"/>
      <c r="AC142" s="452"/>
      <c r="AD142" s="452"/>
      <c r="AE142" s="452"/>
      <c r="AF142" s="452"/>
      <c r="AG142" s="452"/>
      <c r="AH142" s="409"/>
      <c r="AI142" s="409"/>
      <c r="AJ142" s="437"/>
      <c r="AK142" s="409"/>
      <c r="AL142" s="409"/>
      <c r="AM142" s="453">
        <f t="shared" si="58"/>
        <v>0</v>
      </c>
      <c r="AN142" s="452"/>
      <c r="AO142" s="452"/>
      <c r="AP142" s="452"/>
      <c r="AQ142" s="452"/>
      <c r="AR142" s="452"/>
      <c r="AS142" s="452"/>
      <c r="AT142" s="452"/>
      <c r="AU142" s="409"/>
      <c r="AV142" s="409"/>
      <c r="AW142" s="437"/>
      <c r="AX142" s="409"/>
      <c r="AY142" s="409"/>
      <c r="AZ142" s="453">
        <f t="shared" si="59"/>
        <v>0</v>
      </c>
      <c r="BA142" s="452"/>
      <c r="BB142" s="452"/>
      <c r="BC142" s="452"/>
      <c r="BD142" s="452"/>
      <c r="BE142" s="452"/>
      <c r="BF142" s="452"/>
      <c r="BG142" s="452"/>
      <c r="BH142" s="409"/>
      <c r="BI142" s="409"/>
      <c r="BJ142" s="437"/>
      <c r="BK142" s="409"/>
      <c r="BL142" s="409"/>
      <c r="BM142" s="453">
        <f t="shared" si="60"/>
        <v>0</v>
      </c>
      <c r="BN142" s="452"/>
      <c r="BO142" s="452"/>
      <c r="BP142" s="452"/>
      <c r="BQ142" s="452"/>
      <c r="BR142" s="452"/>
      <c r="BS142" s="452"/>
      <c r="BT142" s="452"/>
      <c r="BU142" s="409"/>
      <c r="BV142" s="409"/>
      <c r="BW142" s="437"/>
      <c r="BX142" s="409"/>
      <c r="BY142" s="409"/>
      <c r="BZ142" s="453">
        <f t="shared" si="61"/>
        <v>0</v>
      </c>
      <c r="CA142" s="454">
        <f t="shared" si="62"/>
        <v>90</v>
      </c>
      <c r="CB142" s="419"/>
      <c r="CC142" s="419">
        <v>1</v>
      </c>
      <c r="CD142" s="419">
        <v>1</v>
      </c>
      <c r="CE142" s="419">
        <v>-1</v>
      </c>
      <c r="CF142" s="419">
        <v>-1</v>
      </c>
      <c r="CG142" s="420">
        <f>IFERROR((FE142/Z142%),0)</f>
        <v>0</v>
      </c>
      <c r="CH142" s="421">
        <f>IFERROR((FK142/Z142%),0)</f>
        <v>99.826363457573777</v>
      </c>
      <c r="CI142" s="414"/>
      <c r="CJ142" s="415"/>
      <c r="CK142" s="415"/>
      <c r="CL142" s="415"/>
      <c r="CM142" s="415"/>
      <c r="CN142" s="415"/>
      <c r="CO142" s="415"/>
      <c r="CP142" s="415"/>
      <c r="CQ142" s="415"/>
      <c r="CR142" s="415"/>
      <c r="CS142" s="415"/>
      <c r="CT142" s="415"/>
      <c r="CU142" s="415"/>
      <c r="CV142" s="410"/>
      <c r="CW142" s="415"/>
      <c r="CX142" s="415"/>
      <c r="CY142" s="415"/>
      <c r="CZ142" s="415"/>
      <c r="DA142" s="415"/>
      <c r="DB142" s="415"/>
      <c r="DC142" s="415"/>
      <c r="DD142" s="415"/>
      <c r="DE142" s="415"/>
      <c r="DF142" s="415"/>
      <c r="DG142" s="415"/>
      <c r="DH142" s="415"/>
      <c r="DI142" s="410"/>
      <c r="DJ142" s="415"/>
      <c r="DK142" s="415"/>
      <c r="DL142" s="415"/>
      <c r="DM142" s="415"/>
      <c r="DN142" s="415"/>
      <c r="DO142" s="415"/>
      <c r="DP142" s="415"/>
      <c r="DQ142" s="415"/>
      <c r="DR142" s="415"/>
      <c r="DS142" s="415"/>
      <c r="DT142" s="415"/>
      <c r="DU142" s="415"/>
      <c r="DV142" s="410"/>
      <c r="DW142" s="415"/>
      <c r="DX142" s="415"/>
      <c r="DY142" s="415"/>
      <c r="DZ142" s="415"/>
      <c r="EA142" s="415"/>
      <c r="EB142" s="415"/>
      <c r="EC142" s="415"/>
      <c r="ED142" s="415"/>
      <c r="EE142" s="415"/>
      <c r="EF142" s="415"/>
      <c r="EG142" s="415"/>
      <c r="EH142" s="415"/>
      <c r="EI142" s="410"/>
      <c r="EJ142" s="415"/>
      <c r="EK142" s="415"/>
      <c r="EL142" s="415"/>
      <c r="EM142" s="415"/>
      <c r="EN142" s="415"/>
      <c r="EO142" s="415"/>
      <c r="EP142" s="415"/>
      <c r="EQ142" s="415"/>
      <c r="ER142" s="415"/>
      <c r="ES142" s="415"/>
      <c r="ET142" s="415"/>
      <c r="EU142" s="415"/>
      <c r="EV142" s="410"/>
      <c r="EW142" s="416"/>
      <c r="EX142" s="417">
        <f>IFERROR(VLOOKUP(H142,CEI_012018!$A$1:$U$509,9,FALSE),0)</f>
        <v>0</v>
      </c>
      <c r="EY142" s="417">
        <f>IFERROR(VLOOKUP(H142,CEI_022018!$A$1:$U$509,9,FALSE),0)</f>
        <v>0</v>
      </c>
      <c r="EZ142" s="417">
        <f>IFERROR(VLOOKUP(H142,CEI_032018!$A$1:$U$509,9,FALSE),0)</f>
        <v>0</v>
      </c>
      <c r="FA142" s="417">
        <f>IFERROR(VLOOKUP(H142,CEI_042018!$A$1:$U$491,9,FALSE),0)</f>
        <v>0</v>
      </c>
      <c r="FB142" s="417">
        <f>IFERROR(VLOOKUP(H142,CEI_052018!$A$1:$U$489,9,FALSE),0)</f>
        <v>0</v>
      </c>
      <c r="FC142" s="417">
        <f>IFERROR(VLOOKUP(H142,CEI_062018!$A$1:$U$489,9,FALSE),0)</f>
        <v>0</v>
      </c>
      <c r="FD142" s="417">
        <f>IFERROR(VLOOKUP(H142,CEI_072018!$A$1:$U$489,9,FALSE),0)</f>
        <v>0</v>
      </c>
      <c r="FE142" s="417">
        <f>IFERROR(VLOOKUP(H142,CEI_082018!$A$1:$U$489,9,FALSE),0)</f>
        <v>0</v>
      </c>
      <c r="FF142" s="417">
        <f>IFERROR(VLOOKUP(H142,CEI_092018!$A$1:$U$489,9,FALSE),0)</f>
        <v>0</v>
      </c>
      <c r="FG142" s="417"/>
      <c r="FH142" s="417"/>
      <c r="FI142" s="417"/>
      <c r="FJ142" s="418">
        <f>IFERROR(VLOOKUP(H142,CEI_092018!$A$1:$U$489,12,FALSE),0)</f>
        <v>89.843727111816406</v>
      </c>
      <c r="FK142" s="418">
        <f t="shared" si="56"/>
        <v>89.843727111816406</v>
      </c>
      <c r="FL142" s="418">
        <f t="shared" si="57"/>
        <v>0.15627288818359375</v>
      </c>
      <c r="FM142" s="417"/>
      <c r="FN142" s="417"/>
      <c r="FO142" s="417"/>
      <c r="FP142" s="417"/>
      <c r="FQ142" s="417"/>
      <c r="FR142" s="417"/>
      <c r="FS142" s="417"/>
      <c r="FT142" s="417"/>
      <c r="FU142" s="417"/>
      <c r="FV142" s="417"/>
      <c r="FW142" s="417"/>
      <c r="FX142" s="417"/>
      <c r="FY142" s="418"/>
      <c r="FZ142" s="418"/>
      <c r="GA142" s="418"/>
      <c r="GB142" s="417"/>
      <c r="GC142" s="417"/>
      <c r="GD142" s="417"/>
      <c r="GE142" s="417"/>
      <c r="GF142" s="417"/>
      <c r="GG142" s="417"/>
      <c r="GH142" s="417"/>
      <c r="GI142" s="417"/>
      <c r="GJ142" s="417"/>
      <c r="GK142" s="417"/>
      <c r="GL142" s="417"/>
      <c r="GM142" s="417"/>
      <c r="GN142" s="418"/>
      <c r="GO142" s="418"/>
      <c r="GP142" s="418"/>
      <c r="GQ142" s="417"/>
      <c r="GR142" s="417"/>
      <c r="GS142" s="417"/>
      <c r="GT142" s="417"/>
      <c r="GU142" s="417"/>
      <c r="GV142" s="417"/>
      <c r="GW142" s="417"/>
      <c r="GX142" s="417"/>
      <c r="GY142" s="417"/>
      <c r="GZ142" s="417"/>
      <c r="HA142" s="417"/>
      <c r="HB142" s="417"/>
      <c r="HC142" s="418"/>
      <c r="HD142" s="418"/>
      <c r="HE142" s="418"/>
      <c r="HF142" s="417"/>
      <c r="HG142" s="417"/>
      <c r="HH142" s="417"/>
      <c r="HI142" s="417"/>
      <c r="HJ142" s="417"/>
      <c r="HK142" s="417"/>
      <c r="HL142" s="417"/>
      <c r="HM142" s="417"/>
      <c r="HN142" s="417"/>
      <c r="HO142" s="417"/>
      <c r="HP142" s="417"/>
      <c r="HQ142" s="417"/>
      <c r="HR142" s="418"/>
      <c r="HS142" s="418"/>
      <c r="HT142" s="418"/>
    </row>
    <row r="143" spans="1:228" s="387" customFormat="1" ht="12.75" customHeight="1" x14ac:dyDescent="0.2">
      <c r="A143" s="406" t="s">
        <v>55</v>
      </c>
      <c r="B143" s="407" t="s">
        <v>43</v>
      </c>
      <c r="C143" s="406" t="s">
        <v>56</v>
      </c>
      <c r="D143" s="407" t="s">
        <v>451</v>
      </c>
      <c r="E143" s="407" t="s">
        <v>56</v>
      </c>
      <c r="F143" s="407" t="s">
        <v>451</v>
      </c>
      <c r="G143" s="406" t="s">
        <v>54</v>
      </c>
      <c r="H143" s="408" t="s">
        <v>520</v>
      </c>
      <c r="I143" s="408"/>
      <c r="J143" s="406" t="s">
        <v>818</v>
      </c>
      <c r="K143" s="406" t="s">
        <v>818</v>
      </c>
      <c r="L143" s="406" t="s">
        <v>819</v>
      </c>
      <c r="M143" s="406"/>
      <c r="N143" s="452">
        <v>0</v>
      </c>
      <c r="O143" s="452">
        <v>0</v>
      </c>
      <c r="P143" s="452">
        <v>0</v>
      </c>
      <c r="Q143" s="452">
        <v>0</v>
      </c>
      <c r="R143" s="452">
        <v>0</v>
      </c>
      <c r="S143" s="452">
        <v>0</v>
      </c>
      <c r="T143" s="452">
        <v>0</v>
      </c>
      <c r="U143" s="409">
        <v>0</v>
      </c>
      <c r="V143" s="409"/>
      <c r="W143" s="409"/>
      <c r="X143" s="409"/>
      <c r="Y143" s="409"/>
      <c r="Z143" s="453">
        <f t="shared" si="63"/>
        <v>0</v>
      </c>
      <c r="AA143" s="452"/>
      <c r="AB143" s="452"/>
      <c r="AC143" s="452"/>
      <c r="AD143" s="452"/>
      <c r="AE143" s="452"/>
      <c r="AF143" s="452"/>
      <c r="AG143" s="452">
        <v>500</v>
      </c>
      <c r="AH143" s="409"/>
      <c r="AI143" s="409"/>
      <c r="AJ143" s="409"/>
      <c r="AK143" s="409"/>
      <c r="AL143" s="409"/>
      <c r="AM143" s="453">
        <f t="shared" si="58"/>
        <v>500</v>
      </c>
      <c r="AN143" s="452"/>
      <c r="AO143" s="452"/>
      <c r="AP143" s="452"/>
      <c r="AQ143" s="452"/>
      <c r="AR143" s="452"/>
      <c r="AS143" s="452"/>
      <c r="AT143" s="452"/>
      <c r="AU143" s="409"/>
      <c r="AV143" s="409"/>
      <c r="AW143" s="409"/>
      <c r="AX143" s="409"/>
      <c r="AY143" s="409"/>
      <c r="AZ143" s="453">
        <f t="shared" si="59"/>
        <v>0</v>
      </c>
      <c r="BA143" s="452"/>
      <c r="BB143" s="452"/>
      <c r="BC143" s="452"/>
      <c r="BD143" s="452"/>
      <c r="BE143" s="452"/>
      <c r="BF143" s="452"/>
      <c r="BG143" s="452"/>
      <c r="BH143" s="409"/>
      <c r="BI143" s="409"/>
      <c r="BJ143" s="409"/>
      <c r="BK143" s="409"/>
      <c r="BL143" s="409"/>
      <c r="BM143" s="453">
        <f t="shared" si="60"/>
        <v>0</v>
      </c>
      <c r="BN143" s="452"/>
      <c r="BO143" s="452"/>
      <c r="BP143" s="452"/>
      <c r="BQ143" s="452"/>
      <c r="BR143" s="452"/>
      <c r="BS143" s="452"/>
      <c r="BT143" s="452"/>
      <c r="BU143" s="409"/>
      <c r="BV143" s="409"/>
      <c r="BW143" s="409"/>
      <c r="BX143" s="409"/>
      <c r="BY143" s="409"/>
      <c r="BZ143" s="453">
        <f t="shared" si="61"/>
        <v>0</v>
      </c>
      <c r="CA143" s="454">
        <f t="shared" si="62"/>
        <v>500</v>
      </c>
      <c r="CB143" s="411"/>
      <c r="CC143" s="411"/>
      <c r="CD143" s="411"/>
      <c r="CE143" s="411"/>
      <c r="CF143" s="411"/>
      <c r="CG143" s="412"/>
      <c r="CH143" s="413"/>
      <c r="CI143" s="414" t="s">
        <v>71</v>
      </c>
      <c r="CJ143" s="415"/>
      <c r="CK143" s="415"/>
      <c r="CL143" s="415"/>
      <c r="CM143" s="415"/>
      <c r="CN143" s="415"/>
      <c r="CO143" s="415"/>
      <c r="CP143" s="415">
        <v>0</v>
      </c>
      <c r="CQ143" s="415"/>
      <c r="CR143" s="415"/>
      <c r="CS143" s="415"/>
      <c r="CT143" s="415"/>
      <c r="CU143" s="415"/>
      <c r="CV143" s="410">
        <f t="shared" ref="CV143:CV174" si="64">SUM(CJ143:CU143)</f>
        <v>0</v>
      </c>
      <c r="CW143" s="415"/>
      <c r="CX143" s="415"/>
      <c r="CY143" s="415"/>
      <c r="CZ143" s="415"/>
      <c r="DA143" s="415"/>
      <c r="DB143" s="415"/>
      <c r="DC143" s="415"/>
      <c r="DD143" s="415"/>
      <c r="DE143" s="415"/>
      <c r="DF143" s="415"/>
      <c r="DG143" s="415"/>
      <c r="DH143" s="415"/>
      <c r="DI143" s="410">
        <f t="shared" ref="DI143:DI174" si="65">SUM(CW143:DH143)</f>
        <v>0</v>
      </c>
      <c r="DJ143" s="415"/>
      <c r="DK143" s="415"/>
      <c r="DL143" s="415"/>
      <c r="DM143" s="415"/>
      <c r="DN143" s="415"/>
      <c r="DO143" s="415"/>
      <c r="DP143" s="415"/>
      <c r="DQ143" s="415"/>
      <c r="DR143" s="415"/>
      <c r="DS143" s="415"/>
      <c r="DT143" s="415"/>
      <c r="DU143" s="415"/>
      <c r="DV143" s="410">
        <f t="shared" ref="DV143:DV174" si="66">SUM(DJ143:DU143)</f>
        <v>0</v>
      </c>
      <c r="DW143" s="415"/>
      <c r="DX143" s="415"/>
      <c r="DY143" s="415"/>
      <c r="DZ143" s="415"/>
      <c r="EA143" s="415"/>
      <c r="EB143" s="415"/>
      <c r="EC143" s="415"/>
      <c r="ED143" s="415"/>
      <c r="EE143" s="415"/>
      <c r="EF143" s="415"/>
      <c r="EG143" s="415"/>
      <c r="EH143" s="415"/>
      <c r="EI143" s="410">
        <f t="shared" ref="EI143:EI174" si="67">SUM(DW143:EH143)</f>
        <v>0</v>
      </c>
      <c r="EJ143" s="415"/>
      <c r="EK143" s="415"/>
      <c r="EL143" s="415"/>
      <c r="EM143" s="415"/>
      <c r="EN143" s="415"/>
      <c r="EO143" s="415"/>
      <c r="EP143" s="415"/>
      <c r="EQ143" s="415"/>
      <c r="ER143" s="415"/>
      <c r="ES143" s="415"/>
      <c r="ET143" s="415"/>
      <c r="EU143" s="415"/>
      <c r="EV143" s="410">
        <f t="shared" ref="EV143:EV174" si="68">SUM(EJ143:EU143)</f>
        <v>0</v>
      </c>
      <c r="EW143" s="416">
        <f t="shared" ref="EW143:EW174" si="69">SUM(EV143,EI143,DV143,DI143,CV143)</f>
        <v>0</v>
      </c>
      <c r="EX143" s="417">
        <f>IFERROR(VLOOKUP(H143,CEI_012018!$A$1:$U$509,9,FALSE),0)</f>
        <v>0</v>
      </c>
      <c r="EY143" s="417">
        <f>IFERROR(VLOOKUP(H143,CEI_022018!$A$1:$U$509,9,FALSE),0)</f>
        <v>0</v>
      </c>
      <c r="EZ143" s="417">
        <f>IFERROR(VLOOKUP(H143,CEI_032018!$A$1:$U$509,9,FALSE),0)</f>
        <v>0</v>
      </c>
      <c r="FA143" s="417">
        <f>IFERROR(VLOOKUP(H143,CEI_042018!$A$1:$U$491,9,FALSE),0)</f>
        <v>0</v>
      </c>
      <c r="FB143" s="417">
        <f>IFERROR(VLOOKUP(H143,CEI_052018!$A$1:$U$489,9,FALSE),0)</f>
        <v>0</v>
      </c>
      <c r="FC143" s="417">
        <f>IFERROR(VLOOKUP(H143,CEI_062018!$A$1:$U$489,9,FALSE),0)</f>
        <v>0</v>
      </c>
      <c r="FD143" s="417">
        <f>IFERROR(VLOOKUP(H143,CEI_072018!$A$1:$U$489,9,FALSE),0)</f>
        <v>0</v>
      </c>
      <c r="FE143" s="417">
        <f>IFERROR(VLOOKUP(H143,CEI_082018!$A$1:$U$489,9,FALSE),0)</f>
        <v>0</v>
      </c>
      <c r="FF143" s="417">
        <f>IFERROR(VLOOKUP(H143,CEI_092018!$A$1:$U$489,9,FALSE),0)</f>
        <v>0</v>
      </c>
      <c r="FG143" s="417"/>
      <c r="FH143" s="417"/>
      <c r="FI143" s="417"/>
      <c r="FJ143" s="418">
        <f>IFERROR(VLOOKUP(H143,CEI_092018!$A$1:$U$489,12,FALSE),0)</f>
        <v>0</v>
      </c>
      <c r="FK143" s="418">
        <f t="shared" si="56"/>
        <v>0</v>
      </c>
      <c r="FL143" s="418">
        <f t="shared" si="57"/>
        <v>0</v>
      </c>
      <c r="FM143" s="417"/>
      <c r="FN143" s="417"/>
      <c r="FO143" s="417"/>
      <c r="FP143" s="417"/>
      <c r="FQ143" s="417"/>
      <c r="FR143" s="417"/>
      <c r="FS143" s="417"/>
      <c r="FT143" s="417"/>
      <c r="FU143" s="417"/>
      <c r="FV143" s="417"/>
      <c r="FW143" s="417"/>
      <c r="FX143" s="417"/>
      <c r="FY143" s="418"/>
      <c r="FZ143" s="418"/>
      <c r="GA143" s="418"/>
      <c r="GB143" s="417"/>
      <c r="GC143" s="417"/>
      <c r="GD143" s="417"/>
      <c r="GE143" s="417"/>
      <c r="GF143" s="417"/>
      <c r="GG143" s="417"/>
      <c r="GH143" s="417"/>
      <c r="GI143" s="417"/>
      <c r="GJ143" s="417"/>
      <c r="GK143" s="417"/>
      <c r="GL143" s="417"/>
      <c r="GM143" s="417"/>
      <c r="GN143" s="418"/>
      <c r="GO143" s="418"/>
      <c r="GP143" s="418"/>
      <c r="GQ143" s="417"/>
      <c r="GR143" s="417"/>
      <c r="GS143" s="417"/>
      <c r="GT143" s="417"/>
      <c r="GU143" s="417"/>
      <c r="GV143" s="417"/>
      <c r="GW143" s="417"/>
      <c r="GX143" s="417"/>
      <c r="GY143" s="417"/>
      <c r="GZ143" s="417"/>
      <c r="HA143" s="417"/>
      <c r="HB143" s="417"/>
      <c r="HC143" s="418"/>
      <c r="HD143" s="418"/>
      <c r="HE143" s="418"/>
      <c r="HF143" s="417"/>
      <c r="HG143" s="417"/>
      <c r="HH143" s="417"/>
      <c r="HI143" s="417"/>
      <c r="HJ143" s="417"/>
      <c r="HK143" s="417"/>
      <c r="HL143" s="417"/>
      <c r="HM143" s="417"/>
      <c r="HN143" s="417"/>
      <c r="HO143" s="417"/>
      <c r="HP143" s="417"/>
      <c r="HQ143" s="417"/>
      <c r="HR143" s="418"/>
      <c r="HS143" s="418"/>
      <c r="HT143" s="418"/>
    </row>
    <row r="144" spans="1:228" s="387" customFormat="1" ht="12.75" customHeight="1" x14ac:dyDescent="0.2">
      <c r="A144" s="406" t="s">
        <v>55</v>
      </c>
      <c r="B144" s="407" t="s">
        <v>43</v>
      </c>
      <c r="C144" s="406" t="s">
        <v>56</v>
      </c>
      <c r="D144" s="407" t="s">
        <v>451</v>
      </c>
      <c r="E144" s="407" t="s">
        <v>56</v>
      </c>
      <c r="F144" s="407" t="s">
        <v>451</v>
      </c>
      <c r="G144" s="406" t="s">
        <v>54</v>
      </c>
      <c r="H144" s="408" t="s">
        <v>520</v>
      </c>
      <c r="I144" s="408"/>
      <c r="J144" s="406" t="s">
        <v>537</v>
      </c>
      <c r="K144" s="406" t="s">
        <v>627</v>
      </c>
      <c r="L144" s="406" t="s">
        <v>628</v>
      </c>
      <c r="M144" s="435" t="s">
        <v>1681</v>
      </c>
      <c r="N144" s="452">
        <v>0</v>
      </c>
      <c r="O144" s="452">
        <v>0</v>
      </c>
      <c r="P144" s="452">
        <v>0</v>
      </c>
      <c r="Q144" s="452">
        <v>0</v>
      </c>
      <c r="R144" s="452">
        <v>0</v>
      </c>
      <c r="S144" s="452">
        <v>0</v>
      </c>
      <c r="T144" s="452">
        <v>0</v>
      </c>
      <c r="U144" s="409">
        <v>0</v>
      </c>
      <c r="V144" s="409"/>
      <c r="W144" s="409"/>
      <c r="X144" s="409"/>
      <c r="Y144" s="409"/>
      <c r="Z144" s="453">
        <f t="shared" si="63"/>
        <v>0</v>
      </c>
      <c r="AA144" s="452"/>
      <c r="AB144" s="452"/>
      <c r="AC144" s="452"/>
      <c r="AD144" s="452"/>
      <c r="AE144" s="452"/>
      <c r="AF144" s="452"/>
      <c r="AG144" s="452">
        <v>1054.4000000000001</v>
      </c>
      <c r="AH144" s="409"/>
      <c r="AI144" s="409"/>
      <c r="AJ144" s="409"/>
      <c r="AK144" s="409"/>
      <c r="AL144" s="409"/>
      <c r="AM144" s="453">
        <f t="shared" si="58"/>
        <v>1054.4000000000001</v>
      </c>
      <c r="AN144" s="452"/>
      <c r="AO144" s="452"/>
      <c r="AP144" s="452"/>
      <c r="AQ144" s="452"/>
      <c r="AR144" s="452"/>
      <c r="AS144" s="452"/>
      <c r="AT144" s="452"/>
      <c r="AU144" s="409"/>
      <c r="AV144" s="409"/>
      <c r="AW144" s="409"/>
      <c r="AX144" s="409"/>
      <c r="AY144" s="409"/>
      <c r="AZ144" s="453">
        <f t="shared" si="59"/>
        <v>0</v>
      </c>
      <c r="BA144" s="452"/>
      <c r="BB144" s="452"/>
      <c r="BC144" s="452"/>
      <c r="BD144" s="452"/>
      <c r="BE144" s="452"/>
      <c r="BF144" s="452"/>
      <c r="BG144" s="452"/>
      <c r="BH144" s="409"/>
      <c r="BI144" s="409"/>
      <c r="BJ144" s="409"/>
      <c r="BK144" s="409"/>
      <c r="BL144" s="409"/>
      <c r="BM144" s="453">
        <f t="shared" si="60"/>
        <v>0</v>
      </c>
      <c r="BN144" s="452"/>
      <c r="BO144" s="452"/>
      <c r="BP144" s="452"/>
      <c r="BQ144" s="452"/>
      <c r="BR144" s="452"/>
      <c r="BS144" s="452"/>
      <c r="BT144" s="452"/>
      <c r="BU144" s="409"/>
      <c r="BV144" s="409"/>
      <c r="BW144" s="409"/>
      <c r="BX144" s="409"/>
      <c r="BY144" s="409"/>
      <c r="BZ144" s="453">
        <f t="shared" si="61"/>
        <v>0</v>
      </c>
      <c r="CA144" s="454">
        <f t="shared" si="62"/>
        <v>1054.4000000000001</v>
      </c>
      <c r="CB144" s="411"/>
      <c r="CC144" s="411"/>
      <c r="CD144" s="411"/>
      <c r="CE144" s="411"/>
      <c r="CF144" s="411"/>
      <c r="CG144" s="412"/>
      <c r="CH144" s="413"/>
      <c r="CI144" s="414" t="s">
        <v>540</v>
      </c>
      <c r="CJ144" s="415"/>
      <c r="CK144" s="415"/>
      <c r="CL144" s="415"/>
      <c r="CM144" s="415"/>
      <c r="CN144" s="415"/>
      <c r="CO144" s="415"/>
      <c r="CP144" s="415"/>
      <c r="CQ144" s="415"/>
      <c r="CR144" s="415"/>
      <c r="CS144" s="415"/>
      <c r="CT144" s="415"/>
      <c r="CU144" s="415">
        <v>10</v>
      </c>
      <c r="CV144" s="410">
        <f t="shared" si="64"/>
        <v>10</v>
      </c>
      <c r="CW144" s="415"/>
      <c r="CX144" s="415"/>
      <c r="CY144" s="415"/>
      <c r="CZ144" s="415"/>
      <c r="DA144" s="415"/>
      <c r="DB144" s="415"/>
      <c r="DC144" s="415"/>
      <c r="DD144" s="415"/>
      <c r="DE144" s="415"/>
      <c r="DF144" s="415"/>
      <c r="DG144" s="415"/>
      <c r="DH144" s="415"/>
      <c r="DI144" s="410">
        <f t="shared" si="65"/>
        <v>0</v>
      </c>
      <c r="DJ144" s="415"/>
      <c r="DK144" s="415"/>
      <c r="DL144" s="415"/>
      <c r="DM144" s="415"/>
      <c r="DN144" s="415"/>
      <c r="DO144" s="415"/>
      <c r="DP144" s="415"/>
      <c r="DQ144" s="415"/>
      <c r="DR144" s="415"/>
      <c r="DS144" s="415"/>
      <c r="DT144" s="415"/>
      <c r="DU144" s="415"/>
      <c r="DV144" s="410">
        <f t="shared" si="66"/>
        <v>0</v>
      </c>
      <c r="DW144" s="415"/>
      <c r="DX144" s="415"/>
      <c r="DY144" s="415"/>
      <c r="DZ144" s="415"/>
      <c r="EA144" s="415"/>
      <c r="EB144" s="415"/>
      <c r="EC144" s="415"/>
      <c r="ED144" s="415"/>
      <c r="EE144" s="415"/>
      <c r="EF144" s="415"/>
      <c r="EG144" s="415"/>
      <c r="EH144" s="415"/>
      <c r="EI144" s="410">
        <f t="shared" si="67"/>
        <v>0</v>
      </c>
      <c r="EJ144" s="415"/>
      <c r="EK144" s="415"/>
      <c r="EL144" s="415"/>
      <c r="EM144" s="415"/>
      <c r="EN144" s="415"/>
      <c r="EO144" s="415"/>
      <c r="EP144" s="415"/>
      <c r="EQ144" s="415"/>
      <c r="ER144" s="415"/>
      <c r="ES144" s="415"/>
      <c r="ET144" s="415"/>
      <c r="EU144" s="415"/>
      <c r="EV144" s="410">
        <f t="shared" si="68"/>
        <v>0</v>
      </c>
      <c r="EW144" s="416">
        <f t="shared" si="69"/>
        <v>10</v>
      </c>
      <c r="EX144" s="417">
        <f>IFERROR(VLOOKUP(H144,CEI_012018!$A$1:$U$509,9,FALSE),0)</f>
        <v>0</v>
      </c>
      <c r="EY144" s="417">
        <f>IFERROR(VLOOKUP(H144,CEI_022018!$A$1:$U$509,9,FALSE),0)</f>
        <v>0</v>
      </c>
      <c r="EZ144" s="417">
        <f>IFERROR(VLOOKUP(H144,CEI_032018!$A$1:$U$509,9,FALSE),0)</f>
        <v>0</v>
      </c>
      <c r="FA144" s="417">
        <f>IFERROR(VLOOKUP(H144,CEI_042018!$A$1:$U$491,9,FALSE),0)</f>
        <v>0</v>
      </c>
      <c r="FB144" s="417">
        <f>IFERROR(VLOOKUP(H144,CEI_052018!$A$1:$U$489,9,FALSE),0)</f>
        <v>0</v>
      </c>
      <c r="FC144" s="417">
        <f>IFERROR(VLOOKUP(H144,CEI_062018!$A$1:$U$489,9,FALSE),0)</f>
        <v>0</v>
      </c>
      <c r="FD144" s="417">
        <f>IFERROR(VLOOKUP(H144,CEI_072018!$A$1:$U$489,9,FALSE),0)</f>
        <v>0</v>
      </c>
      <c r="FE144" s="417">
        <f>IFERROR(VLOOKUP(H144,CEI_082018!$A$1:$U$489,9,FALSE),0)</f>
        <v>0</v>
      </c>
      <c r="FF144" s="417">
        <f>IFERROR(VLOOKUP(H144,CEI_092018!$A$1:$U$489,9,FALSE),0)</f>
        <v>0</v>
      </c>
      <c r="FG144" s="417"/>
      <c r="FH144" s="417"/>
      <c r="FI144" s="417"/>
      <c r="FJ144" s="418">
        <f>IFERROR(VLOOKUP(H144,CEI_092018!$A$1:$U$489,12,FALSE),0)</f>
        <v>0</v>
      </c>
      <c r="FK144" s="418">
        <f t="shared" si="56"/>
        <v>0</v>
      </c>
      <c r="FL144" s="418">
        <f t="shared" si="57"/>
        <v>0</v>
      </c>
      <c r="FM144" s="417"/>
      <c r="FN144" s="417"/>
      <c r="FO144" s="417"/>
      <c r="FP144" s="417"/>
      <c r="FQ144" s="417"/>
      <c r="FR144" s="417"/>
      <c r="FS144" s="417"/>
      <c r="FT144" s="417"/>
      <c r="FU144" s="417"/>
      <c r="FV144" s="417"/>
      <c r="FW144" s="417"/>
      <c r="FX144" s="417"/>
      <c r="FY144" s="418"/>
      <c r="FZ144" s="418"/>
      <c r="GA144" s="418"/>
      <c r="GB144" s="417"/>
      <c r="GC144" s="417"/>
      <c r="GD144" s="417"/>
      <c r="GE144" s="417"/>
      <c r="GF144" s="417"/>
      <c r="GG144" s="417"/>
      <c r="GH144" s="417"/>
      <c r="GI144" s="417"/>
      <c r="GJ144" s="417"/>
      <c r="GK144" s="417"/>
      <c r="GL144" s="417"/>
      <c r="GM144" s="417"/>
      <c r="GN144" s="418"/>
      <c r="GO144" s="418"/>
      <c r="GP144" s="418"/>
      <c r="GQ144" s="417"/>
      <c r="GR144" s="417"/>
      <c r="GS144" s="417"/>
      <c r="GT144" s="417"/>
      <c r="GU144" s="417"/>
      <c r="GV144" s="417"/>
      <c r="GW144" s="417"/>
      <c r="GX144" s="417"/>
      <c r="GY144" s="417"/>
      <c r="GZ144" s="417"/>
      <c r="HA144" s="417"/>
      <c r="HB144" s="417"/>
      <c r="HC144" s="418"/>
      <c r="HD144" s="418"/>
      <c r="HE144" s="418"/>
      <c r="HF144" s="417"/>
      <c r="HG144" s="417"/>
      <c r="HH144" s="417"/>
      <c r="HI144" s="417"/>
      <c r="HJ144" s="417"/>
      <c r="HK144" s="417"/>
      <c r="HL144" s="417"/>
      <c r="HM144" s="417"/>
      <c r="HN144" s="417"/>
      <c r="HO144" s="417"/>
      <c r="HP144" s="417"/>
      <c r="HQ144" s="417"/>
      <c r="HR144" s="418"/>
      <c r="HS144" s="418"/>
      <c r="HT144" s="418"/>
    </row>
    <row r="145" spans="1:228" s="387" customFormat="1" ht="12.75" customHeight="1" x14ac:dyDescent="0.2">
      <c r="A145" s="406" t="s">
        <v>52</v>
      </c>
      <c r="B145" s="407" t="s">
        <v>29</v>
      </c>
      <c r="C145" s="406" t="s">
        <v>999</v>
      </c>
      <c r="D145" s="407" t="s">
        <v>1003</v>
      </c>
      <c r="E145" s="407" t="s">
        <v>165</v>
      </c>
      <c r="F145" s="407" t="s">
        <v>1738</v>
      </c>
      <c r="G145" s="406" t="s">
        <v>63</v>
      </c>
      <c r="H145" s="408" t="s">
        <v>1407</v>
      </c>
      <c r="I145" s="408" t="s">
        <v>1409</v>
      </c>
      <c r="J145" s="406" t="s">
        <v>1539</v>
      </c>
      <c r="K145" s="406" t="s">
        <v>970</v>
      </c>
      <c r="L145" s="406" t="s">
        <v>57</v>
      </c>
      <c r="M145" s="406" t="s">
        <v>57</v>
      </c>
      <c r="N145" s="452">
        <v>0</v>
      </c>
      <c r="O145" s="452">
        <v>0</v>
      </c>
      <c r="P145" s="452">
        <v>0</v>
      </c>
      <c r="Q145" s="452">
        <v>0</v>
      </c>
      <c r="R145" s="452">
        <v>0</v>
      </c>
      <c r="S145" s="452">
        <v>0</v>
      </c>
      <c r="T145" s="452">
        <v>0</v>
      </c>
      <c r="U145" s="409">
        <v>0</v>
      </c>
      <c r="V145" s="409">
        <v>0</v>
      </c>
      <c r="W145" s="409"/>
      <c r="X145" s="409">
        <v>58.6</v>
      </c>
      <c r="Y145" s="409"/>
      <c r="Z145" s="453">
        <f t="shared" si="63"/>
        <v>58.6</v>
      </c>
      <c r="AA145" s="452">
        <v>0</v>
      </c>
      <c r="AB145" s="452">
        <v>0</v>
      </c>
      <c r="AC145" s="452">
        <v>0</v>
      </c>
      <c r="AD145" s="452">
        <v>0</v>
      </c>
      <c r="AE145" s="452">
        <v>0</v>
      </c>
      <c r="AF145" s="452">
        <v>0</v>
      </c>
      <c r="AG145" s="452">
        <v>0</v>
      </c>
      <c r="AH145" s="409">
        <v>0</v>
      </c>
      <c r="AI145" s="409">
        <v>0</v>
      </c>
      <c r="AJ145" s="409">
        <v>0</v>
      </c>
      <c r="AK145" s="409">
        <v>0</v>
      </c>
      <c r="AL145" s="409">
        <v>0</v>
      </c>
      <c r="AM145" s="453">
        <f t="shared" si="58"/>
        <v>0</v>
      </c>
      <c r="AN145" s="452">
        <v>0</v>
      </c>
      <c r="AO145" s="452">
        <v>0</v>
      </c>
      <c r="AP145" s="452">
        <v>0</v>
      </c>
      <c r="AQ145" s="452">
        <v>0</v>
      </c>
      <c r="AR145" s="452">
        <v>0</v>
      </c>
      <c r="AS145" s="452">
        <v>0</v>
      </c>
      <c r="AT145" s="452">
        <v>0</v>
      </c>
      <c r="AU145" s="409">
        <v>0</v>
      </c>
      <c r="AV145" s="409">
        <v>0</v>
      </c>
      <c r="AW145" s="409">
        <v>0</v>
      </c>
      <c r="AX145" s="409">
        <v>0</v>
      </c>
      <c r="AY145" s="409">
        <v>0</v>
      </c>
      <c r="AZ145" s="453">
        <f t="shared" si="59"/>
        <v>0</v>
      </c>
      <c r="BA145" s="452">
        <v>0</v>
      </c>
      <c r="BB145" s="452">
        <v>0</v>
      </c>
      <c r="BC145" s="452">
        <v>0</v>
      </c>
      <c r="BD145" s="452">
        <v>0</v>
      </c>
      <c r="BE145" s="452">
        <v>0</v>
      </c>
      <c r="BF145" s="452">
        <v>0</v>
      </c>
      <c r="BG145" s="452">
        <v>0</v>
      </c>
      <c r="BH145" s="409">
        <v>0</v>
      </c>
      <c r="BI145" s="409">
        <v>0</v>
      </c>
      <c r="BJ145" s="409">
        <v>0</v>
      </c>
      <c r="BK145" s="409">
        <v>0</v>
      </c>
      <c r="BL145" s="409">
        <v>0</v>
      </c>
      <c r="BM145" s="453">
        <f t="shared" si="60"/>
        <v>0</v>
      </c>
      <c r="BN145" s="452">
        <v>0</v>
      </c>
      <c r="BO145" s="452">
        <v>0</v>
      </c>
      <c r="BP145" s="452">
        <v>0</v>
      </c>
      <c r="BQ145" s="452">
        <v>0</v>
      </c>
      <c r="BR145" s="452">
        <v>0</v>
      </c>
      <c r="BS145" s="452">
        <v>0</v>
      </c>
      <c r="BT145" s="452">
        <v>0</v>
      </c>
      <c r="BU145" s="409">
        <v>0</v>
      </c>
      <c r="BV145" s="409">
        <v>0</v>
      </c>
      <c r="BW145" s="409">
        <v>0</v>
      </c>
      <c r="BX145" s="409">
        <v>0</v>
      </c>
      <c r="BY145" s="409">
        <v>0</v>
      </c>
      <c r="BZ145" s="453">
        <f t="shared" si="61"/>
        <v>0</v>
      </c>
      <c r="CA145" s="454">
        <f t="shared" si="62"/>
        <v>58.6</v>
      </c>
      <c r="CB145" s="419"/>
      <c r="CC145" s="419">
        <v>1</v>
      </c>
      <c r="CD145" s="419">
        <v>1</v>
      </c>
      <c r="CE145" s="419">
        <v>1</v>
      </c>
      <c r="CF145" s="419">
        <v>-1</v>
      </c>
      <c r="CG145" s="420">
        <f>IFERROR((FE145/Z145%),0)</f>
        <v>0</v>
      </c>
      <c r="CH145" s="421">
        <f>IFERROR((FK145/Z145%),0)</f>
        <v>81.568259021121079</v>
      </c>
      <c r="CI145" s="414" t="s">
        <v>1603</v>
      </c>
      <c r="CJ145" s="415">
        <v>0</v>
      </c>
      <c r="CK145" s="415">
        <v>0</v>
      </c>
      <c r="CL145" s="415">
        <v>0</v>
      </c>
      <c r="CM145" s="415">
        <v>0</v>
      </c>
      <c r="CN145" s="415">
        <v>0</v>
      </c>
      <c r="CO145" s="415">
        <v>0</v>
      </c>
      <c r="CP145" s="415">
        <v>0</v>
      </c>
      <c r="CQ145" s="415">
        <v>0</v>
      </c>
      <c r="CR145" s="415">
        <v>14.65</v>
      </c>
      <c r="CS145" s="415">
        <v>0</v>
      </c>
      <c r="CT145" s="415">
        <v>0</v>
      </c>
      <c r="CU145" s="415">
        <v>0</v>
      </c>
      <c r="CV145" s="410">
        <f t="shared" si="64"/>
        <v>14.65</v>
      </c>
      <c r="CW145" s="415">
        <v>0</v>
      </c>
      <c r="CX145" s="415">
        <v>0</v>
      </c>
      <c r="CY145" s="415">
        <v>0</v>
      </c>
      <c r="CZ145" s="415">
        <v>0</v>
      </c>
      <c r="DA145" s="415">
        <v>0</v>
      </c>
      <c r="DB145" s="415">
        <v>0</v>
      </c>
      <c r="DC145" s="415">
        <v>0</v>
      </c>
      <c r="DD145" s="415">
        <v>0</v>
      </c>
      <c r="DE145" s="415">
        <v>0</v>
      </c>
      <c r="DF145" s="415">
        <v>0</v>
      </c>
      <c r="DG145" s="415">
        <v>0</v>
      </c>
      <c r="DH145" s="415">
        <v>0</v>
      </c>
      <c r="DI145" s="410">
        <f t="shared" si="65"/>
        <v>0</v>
      </c>
      <c r="DJ145" s="415">
        <v>0</v>
      </c>
      <c r="DK145" s="415">
        <v>0</v>
      </c>
      <c r="DL145" s="415">
        <v>0</v>
      </c>
      <c r="DM145" s="415">
        <v>0</v>
      </c>
      <c r="DN145" s="415">
        <v>0</v>
      </c>
      <c r="DO145" s="415">
        <v>0</v>
      </c>
      <c r="DP145" s="415">
        <v>0</v>
      </c>
      <c r="DQ145" s="415">
        <v>0</v>
      </c>
      <c r="DR145" s="415">
        <v>0</v>
      </c>
      <c r="DS145" s="415">
        <v>0</v>
      </c>
      <c r="DT145" s="415">
        <v>0</v>
      </c>
      <c r="DU145" s="415">
        <v>0</v>
      </c>
      <c r="DV145" s="410">
        <f t="shared" si="66"/>
        <v>0</v>
      </c>
      <c r="DW145" s="415">
        <v>0</v>
      </c>
      <c r="DX145" s="415">
        <v>0</v>
      </c>
      <c r="DY145" s="415">
        <v>0</v>
      </c>
      <c r="DZ145" s="415">
        <v>0</v>
      </c>
      <c r="EA145" s="415">
        <v>0</v>
      </c>
      <c r="EB145" s="415">
        <v>0</v>
      </c>
      <c r="EC145" s="415">
        <v>0</v>
      </c>
      <c r="ED145" s="415">
        <v>0</v>
      </c>
      <c r="EE145" s="415">
        <v>0</v>
      </c>
      <c r="EF145" s="415">
        <v>0</v>
      </c>
      <c r="EG145" s="415">
        <v>0</v>
      </c>
      <c r="EH145" s="415">
        <v>0</v>
      </c>
      <c r="EI145" s="410">
        <f t="shared" si="67"/>
        <v>0</v>
      </c>
      <c r="EJ145" s="415">
        <v>0</v>
      </c>
      <c r="EK145" s="415">
        <v>0</v>
      </c>
      <c r="EL145" s="415">
        <v>0</v>
      </c>
      <c r="EM145" s="415">
        <v>0</v>
      </c>
      <c r="EN145" s="415">
        <v>0</v>
      </c>
      <c r="EO145" s="415">
        <v>0</v>
      </c>
      <c r="EP145" s="415">
        <v>0</v>
      </c>
      <c r="EQ145" s="415">
        <v>0</v>
      </c>
      <c r="ER145" s="415">
        <v>0</v>
      </c>
      <c r="ES145" s="415">
        <v>0</v>
      </c>
      <c r="ET145" s="415">
        <v>0</v>
      </c>
      <c r="EU145" s="415">
        <v>0</v>
      </c>
      <c r="EV145" s="410">
        <f t="shared" si="68"/>
        <v>0</v>
      </c>
      <c r="EW145" s="416">
        <f t="shared" si="69"/>
        <v>14.65</v>
      </c>
      <c r="EX145" s="417">
        <f>IFERROR(VLOOKUP(H145,CEI_012018!$A$1:$U$509,9,FALSE),0)</f>
        <v>0</v>
      </c>
      <c r="EY145" s="417">
        <f>IFERROR(VLOOKUP(H145,CEI_022018!$A$1:$U$509,9,FALSE),0)</f>
        <v>0</v>
      </c>
      <c r="EZ145" s="417">
        <f>IFERROR(VLOOKUP(H145,CEI_032018!$A$1:$U$509,9,FALSE),0)</f>
        <v>0</v>
      </c>
      <c r="FA145" s="417">
        <f>IFERROR(VLOOKUP(H145,CEI_042018!$A$1:$U$491,9,FALSE),0)</f>
        <v>0</v>
      </c>
      <c r="FB145" s="417">
        <f>IFERROR(VLOOKUP(H145,CEI_052018!$A$1:$U$489,9,FALSE),0)</f>
        <v>0</v>
      </c>
      <c r="FC145" s="417">
        <f>IFERROR(VLOOKUP(H145,CEI_062018!$A$1:$U$489,9,FALSE),0)</f>
        <v>0</v>
      </c>
      <c r="FD145" s="417">
        <f>IFERROR(VLOOKUP(H145,CEI_072018!$A$1:$U$489,9,FALSE),0)</f>
        <v>0</v>
      </c>
      <c r="FE145" s="417">
        <f>IFERROR(VLOOKUP(H145,CEI_082018!$A$1:$U$489,9,FALSE),0)</f>
        <v>0</v>
      </c>
      <c r="FF145" s="417">
        <f>IFERROR(VLOOKUP(H145,CEI_092018!$A$1:$U$489,9,FALSE),0)</f>
        <v>0</v>
      </c>
      <c r="FG145" s="417"/>
      <c r="FH145" s="417"/>
      <c r="FI145" s="417"/>
      <c r="FJ145" s="418">
        <f>IFERROR(VLOOKUP(H145,CEI_092018!$A$1:$U$489,12,FALSE),0)</f>
        <v>47.798999786376953</v>
      </c>
      <c r="FK145" s="418">
        <f t="shared" si="56"/>
        <v>47.798999786376953</v>
      </c>
      <c r="FL145" s="418">
        <f t="shared" si="57"/>
        <v>10.801000213623048</v>
      </c>
      <c r="FM145" s="417"/>
      <c r="FN145" s="417"/>
      <c r="FO145" s="417"/>
      <c r="FP145" s="417"/>
      <c r="FQ145" s="417"/>
      <c r="FR145" s="417"/>
      <c r="FS145" s="417"/>
      <c r="FT145" s="417"/>
      <c r="FU145" s="417"/>
      <c r="FV145" s="417"/>
      <c r="FW145" s="417"/>
      <c r="FX145" s="417"/>
      <c r="FY145" s="418"/>
      <c r="FZ145" s="418"/>
      <c r="GA145" s="418"/>
      <c r="GB145" s="417"/>
      <c r="GC145" s="417"/>
      <c r="GD145" s="417"/>
      <c r="GE145" s="417"/>
      <c r="GF145" s="417"/>
      <c r="GG145" s="417"/>
      <c r="GH145" s="417"/>
      <c r="GI145" s="417"/>
      <c r="GJ145" s="417"/>
      <c r="GK145" s="417"/>
      <c r="GL145" s="417"/>
      <c r="GM145" s="417"/>
      <c r="GN145" s="418"/>
      <c r="GO145" s="418"/>
      <c r="GP145" s="418"/>
      <c r="GQ145" s="417"/>
      <c r="GR145" s="417"/>
      <c r="GS145" s="417"/>
      <c r="GT145" s="417"/>
      <c r="GU145" s="417"/>
      <c r="GV145" s="417"/>
      <c r="GW145" s="417"/>
      <c r="GX145" s="417"/>
      <c r="GY145" s="417"/>
      <c r="GZ145" s="417"/>
      <c r="HA145" s="417"/>
      <c r="HB145" s="417"/>
      <c r="HC145" s="418"/>
      <c r="HD145" s="418"/>
      <c r="HE145" s="418"/>
      <c r="HF145" s="417"/>
      <c r="HG145" s="417"/>
      <c r="HH145" s="417"/>
      <c r="HI145" s="417"/>
      <c r="HJ145" s="417"/>
      <c r="HK145" s="417"/>
      <c r="HL145" s="417"/>
      <c r="HM145" s="417"/>
      <c r="HN145" s="417"/>
      <c r="HO145" s="417"/>
      <c r="HP145" s="417"/>
      <c r="HQ145" s="417"/>
      <c r="HR145" s="418"/>
      <c r="HS145" s="418"/>
      <c r="HT145" s="418"/>
    </row>
    <row r="146" spans="1:228" s="387" customFormat="1" ht="12.75" customHeight="1" x14ac:dyDescent="0.2">
      <c r="A146" s="406" t="s">
        <v>52</v>
      </c>
      <c r="B146" s="407" t="s">
        <v>29</v>
      </c>
      <c r="C146" s="406" t="s">
        <v>999</v>
      </c>
      <c r="D146" s="407" t="s">
        <v>1003</v>
      </c>
      <c r="E146" s="407" t="s">
        <v>999</v>
      </c>
      <c r="F146" s="407" t="s">
        <v>1003</v>
      </c>
      <c r="G146" s="406" t="s">
        <v>54</v>
      </c>
      <c r="H146" s="408" t="s">
        <v>520</v>
      </c>
      <c r="I146" s="408" t="s">
        <v>57</v>
      </c>
      <c r="J146" s="406" t="s">
        <v>1640</v>
      </c>
      <c r="K146" s="406" t="s">
        <v>374</v>
      </c>
      <c r="L146" s="406" t="s">
        <v>57</v>
      </c>
      <c r="M146" s="406" t="s">
        <v>57</v>
      </c>
      <c r="N146" s="452">
        <v>0</v>
      </c>
      <c r="O146" s="452">
        <v>0</v>
      </c>
      <c r="P146" s="452">
        <v>0</v>
      </c>
      <c r="Q146" s="452">
        <v>0</v>
      </c>
      <c r="R146" s="452">
        <v>0</v>
      </c>
      <c r="S146" s="452">
        <v>0</v>
      </c>
      <c r="T146" s="452">
        <v>0</v>
      </c>
      <c r="U146" s="409">
        <v>0</v>
      </c>
      <c r="V146" s="409">
        <v>0</v>
      </c>
      <c r="W146" s="409">
        <v>0</v>
      </c>
      <c r="X146" s="409">
        <v>0</v>
      </c>
      <c r="Y146" s="409">
        <v>0</v>
      </c>
      <c r="Z146" s="453">
        <f t="shared" si="63"/>
        <v>0</v>
      </c>
      <c r="AA146" s="452">
        <v>0</v>
      </c>
      <c r="AB146" s="452">
        <v>0</v>
      </c>
      <c r="AC146" s="452">
        <v>0</v>
      </c>
      <c r="AD146" s="452">
        <v>0</v>
      </c>
      <c r="AE146" s="452">
        <v>0</v>
      </c>
      <c r="AF146" s="452">
        <v>0</v>
      </c>
      <c r="AG146" s="452">
        <v>0</v>
      </c>
      <c r="AH146" s="409">
        <v>0</v>
      </c>
      <c r="AI146" s="409">
        <v>351.9</v>
      </c>
      <c r="AJ146" s="409">
        <v>0</v>
      </c>
      <c r="AK146" s="409">
        <v>0</v>
      </c>
      <c r="AL146" s="409">
        <v>0</v>
      </c>
      <c r="AM146" s="453">
        <f t="shared" si="58"/>
        <v>351.9</v>
      </c>
      <c r="AN146" s="452">
        <v>0</v>
      </c>
      <c r="AO146" s="452">
        <v>0</v>
      </c>
      <c r="AP146" s="452">
        <v>0</v>
      </c>
      <c r="AQ146" s="452">
        <v>0</v>
      </c>
      <c r="AR146" s="452">
        <v>0</v>
      </c>
      <c r="AS146" s="452">
        <v>0</v>
      </c>
      <c r="AT146" s="452">
        <v>0</v>
      </c>
      <c r="AU146" s="409">
        <v>214.7</v>
      </c>
      <c r="AV146" s="409">
        <v>0</v>
      </c>
      <c r="AW146" s="409">
        <v>0</v>
      </c>
      <c r="AX146" s="409">
        <v>0</v>
      </c>
      <c r="AY146" s="409">
        <v>0</v>
      </c>
      <c r="AZ146" s="453">
        <f t="shared" si="59"/>
        <v>214.7</v>
      </c>
      <c r="BA146" s="452">
        <v>0</v>
      </c>
      <c r="BB146" s="452">
        <v>0</v>
      </c>
      <c r="BC146" s="452">
        <v>0</v>
      </c>
      <c r="BD146" s="452">
        <v>0</v>
      </c>
      <c r="BE146" s="452">
        <v>0</v>
      </c>
      <c r="BF146" s="452">
        <v>0</v>
      </c>
      <c r="BG146" s="452">
        <v>0</v>
      </c>
      <c r="BH146" s="409">
        <v>51.5</v>
      </c>
      <c r="BI146" s="409">
        <v>0</v>
      </c>
      <c r="BJ146" s="409">
        <v>0</v>
      </c>
      <c r="BK146" s="409">
        <v>0</v>
      </c>
      <c r="BL146" s="409">
        <v>0</v>
      </c>
      <c r="BM146" s="453">
        <f t="shared" si="60"/>
        <v>51.5</v>
      </c>
      <c r="BN146" s="452">
        <v>0</v>
      </c>
      <c r="BO146" s="452">
        <v>0</v>
      </c>
      <c r="BP146" s="452">
        <v>0</v>
      </c>
      <c r="BQ146" s="452">
        <v>0</v>
      </c>
      <c r="BR146" s="452">
        <v>0</v>
      </c>
      <c r="BS146" s="452">
        <v>0</v>
      </c>
      <c r="BT146" s="452">
        <v>0</v>
      </c>
      <c r="BU146" s="409">
        <v>278.5</v>
      </c>
      <c r="BV146" s="409">
        <v>0</v>
      </c>
      <c r="BW146" s="409">
        <v>0</v>
      </c>
      <c r="BX146" s="409">
        <v>0</v>
      </c>
      <c r="BY146" s="409">
        <v>0</v>
      </c>
      <c r="BZ146" s="453">
        <f t="shared" si="61"/>
        <v>278.5</v>
      </c>
      <c r="CA146" s="454">
        <f t="shared" si="62"/>
        <v>896.6</v>
      </c>
      <c r="CB146" s="411"/>
      <c r="CC146" s="411"/>
      <c r="CD146" s="411"/>
      <c r="CE146" s="411"/>
      <c r="CF146" s="411"/>
      <c r="CG146" s="412"/>
      <c r="CH146" s="413"/>
      <c r="CI146" s="414" t="s">
        <v>1603</v>
      </c>
      <c r="CJ146" s="415">
        <v>0</v>
      </c>
      <c r="CK146" s="415">
        <v>0</v>
      </c>
      <c r="CL146" s="415">
        <v>0</v>
      </c>
      <c r="CM146" s="415">
        <v>0</v>
      </c>
      <c r="CN146" s="415">
        <v>0</v>
      </c>
      <c r="CO146" s="415">
        <v>0</v>
      </c>
      <c r="CP146" s="415">
        <v>0</v>
      </c>
      <c r="CQ146" s="415">
        <v>0</v>
      </c>
      <c r="CR146" s="415">
        <v>0</v>
      </c>
      <c r="CS146" s="415">
        <v>0</v>
      </c>
      <c r="CT146" s="415">
        <v>0</v>
      </c>
      <c r="CU146" s="415">
        <v>0</v>
      </c>
      <c r="CV146" s="410">
        <f t="shared" si="64"/>
        <v>0</v>
      </c>
      <c r="CW146" s="415">
        <v>0</v>
      </c>
      <c r="CX146" s="415">
        <v>0</v>
      </c>
      <c r="CY146" s="415">
        <v>0</v>
      </c>
      <c r="CZ146" s="415">
        <v>0</v>
      </c>
      <c r="DA146" s="415">
        <v>0</v>
      </c>
      <c r="DB146" s="415">
        <v>0</v>
      </c>
      <c r="DC146" s="415">
        <v>0</v>
      </c>
      <c r="DD146" s="415">
        <v>0</v>
      </c>
      <c r="DE146" s="415">
        <v>70.38</v>
      </c>
      <c r="DF146" s="415">
        <v>0</v>
      </c>
      <c r="DG146" s="415">
        <v>0</v>
      </c>
      <c r="DH146" s="415">
        <v>0</v>
      </c>
      <c r="DI146" s="410">
        <f t="shared" si="65"/>
        <v>70.38</v>
      </c>
      <c r="DJ146" s="415">
        <v>0</v>
      </c>
      <c r="DK146" s="415">
        <v>0</v>
      </c>
      <c r="DL146" s="415">
        <v>0</v>
      </c>
      <c r="DM146" s="415">
        <v>0</v>
      </c>
      <c r="DN146" s="415">
        <v>0</v>
      </c>
      <c r="DO146" s="415">
        <v>0</v>
      </c>
      <c r="DP146" s="415">
        <v>0</v>
      </c>
      <c r="DQ146" s="415">
        <v>42.94</v>
      </c>
      <c r="DR146" s="415">
        <v>0</v>
      </c>
      <c r="DS146" s="415">
        <v>0</v>
      </c>
      <c r="DT146" s="415">
        <v>0</v>
      </c>
      <c r="DU146" s="415">
        <v>0</v>
      </c>
      <c r="DV146" s="410">
        <f t="shared" si="66"/>
        <v>42.94</v>
      </c>
      <c r="DW146" s="415">
        <v>0</v>
      </c>
      <c r="DX146" s="415">
        <v>0</v>
      </c>
      <c r="DY146" s="415">
        <v>0</v>
      </c>
      <c r="DZ146" s="415">
        <v>0</v>
      </c>
      <c r="EA146" s="415">
        <v>0</v>
      </c>
      <c r="EB146" s="415">
        <v>0</v>
      </c>
      <c r="EC146" s="415">
        <v>0</v>
      </c>
      <c r="ED146" s="415">
        <v>10.3</v>
      </c>
      <c r="EE146" s="415">
        <v>0</v>
      </c>
      <c r="EF146" s="415">
        <v>0</v>
      </c>
      <c r="EG146" s="415">
        <v>0</v>
      </c>
      <c r="EH146" s="415">
        <v>0</v>
      </c>
      <c r="EI146" s="410">
        <f t="shared" si="67"/>
        <v>10.3</v>
      </c>
      <c r="EJ146" s="415">
        <v>0</v>
      </c>
      <c r="EK146" s="415">
        <v>0</v>
      </c>
      <c r="EL146" s="415">
        <v>0</v>
      </c>
      <c r="EM146" s="415">
        <v>0</v>
      </c>
      <c r="EN146" s="415">
        <v>0</v>
      </c>
      <c r="EO146" s="415">
        <v>0</v>
      </c>
      <c r="EP146" s="415">
        <v>0</v>
      </c>
      <c r="EQ146" s="415">
        <v>55.7</v>
      </c>
      <c r="ER146" s="415">
        <v>0</v>
      </c>
      <c r="ES146" s="415">
        <v>0</v>
      </c>
      <c r="ET146" s="415">
        <v>0</v>
      </c>
      <c r="EU146" s="415">
        <v>0</v>
      </c>
      <c r="EV146" s="410">
        <f t="shared" si="68"/>
        <v>55.7</v>
      </c>
      <c r="EW146" s="416">
        <f t="shared" si="69"/>
        <v>179.32</v>
      </c>
      <c r="EX146" s="417">
        <f>IFERROR(VLOOKUP(H146,CEI_012018!$A$1:$U$509,9,FALSE),0)</f>
        <v>0</v>
      </c>
      <c r="EY146" s="417">
        <f>IFERROR(VLOOKUP(H146,CEI_022018!$A$1:$U$509,9,FALSE),0)</f>
        <v>0</v>
      </c>
      <c r="EZ146" s="417">
        <f>IFERROR(VLOOKUP(H146,CEI_032018!$A$1:$U$509,9,FALSE),0)</f>
        <v>0</v>
      </c>
      <c r="FA146" s="417">
        <f>IFERROR(VLOOKUP(H146,CEI_042018!$A$1:$U$491,9,FALSE),0)</f>
        <v>0</v>
      </c>
      <c r="FB146" s="417">
        <f>IFERROR(VLOOKUP(H146,CEI_052018!$A$1:$U$489,9,FALSE),0)</f>
        <v>0</v>
      </c>
      <c r="FC146" s="417">
        <f>IFERROR(VLOOKUP(H146,CEI_062018!$A$1:$U$489,9,FALSE),0)</f>
        <v>0</v>
      </c>
      <c r="FD146" s="417">
        <f>IFERROR(VLOOKUP(H146,CEI_072018!$A$1:$U$489,9,FALSE),0)</f>
        <v>0</v>
      </c>
      <c r="FE146" s="417">
        <f>IFERROR(VLOOKUP(H146,CEI_082018!$A$1:$U$489,9,FALSE),0)</f>
        <v>0</v>
      </c>
      <c r="FF146" s="417">
        <f>IFERROR(VLOOKUP(H146,CEI_092018!$A$1:$U$489,9,FALSE),0)</f>
        <v>0</v>
      </c>
      <c r="FG146" s="417"/>
      <c r="FH146" s="417"/>
      <c r="FI146" s="417"/>
      <c r="FJ146" s="418">
        <f>IFERROR(VLOOKUP(H146,CEI_092018!$A$1:$U$489,12,FALSE),0)</f>
        <v>0</v>
      </c>
      <c r="FK146" s="418">
        <f t="shared" si="56"/>
        <v>0</v>
      </c>
      <c r="FL146" s="418">
        <f t="shared" si="57"/>
        <v>0</v>
      </c>
      <c r="FM146" s="417"/>
      <c r="FN146" s="417"/>
      <c r="FO146" s="417"/>
      <c r="FP146" s="417"/>
      <c r="FQ146" s="417"/>
      <c r="FR146" s="417"/>
      <c r="FS146" s="417"/>
      <c r="FT146" s="417"/>
      <c r="FU146" s="417"/>
      <c r="FV146" s="417"/>
      <c r="FW146" s="417"/>
      <c r="FX146" s="417"/>
      <c r="FY146" s="418"/>
      <c r="FZ146" s="418"/>
      <c r="GA146" s="418"/>
      <c r="GB146" s="417"/>
      <c r="GC146" s="417"/>
      <c r="GD146" s="417"/>
      <c r="GE146" s="417"/>
      <c r="GF146" s="417"/>
      <c r="GG146" s="417"/>
      <c r="GH146" s="417"/>
      <c r="GI146" s="417"/>
      <c r="GJ146" s="417"/>
      <c r="GK146" s="417"/>
      <c r="GL146" s="417"/>
      <c r="GM146" s="417"/>
      <c r="GN146" s="418"/>
      <c r="GO146" s="418"/>
      <c r="GP146" s="418"/>
      <c r="GQ146" s="417"/>
      <c r="GR146" s="417"/>
      <c r="GS146" s="417"/>
      <c r="GT146" s="417"/>
      <c r="GU146" s="417"/>
      <c r="GV146" s="417"/>
      <c r="GW146" s="417"/>
      <c r="GX146" s="417"/>
      <c r="GY146" s="417"/>
      <c r="GZ146" s="417"/>
      <c r="HA146" s="417"/>
      <c r="HB146" s="417"/>
      <c r="HC146" s="418"/>
      <c r="HD146" s="418"/>
      <c r="HE146" s="418"/>
      <c r="HF146" s="417"/>
      <c r="HG146" s="417"/>
      <c r="HH146" s="417"/>
      <c r="HI146" s="417"/>
      <c r="HJ146" s="417"/>
      <c r="HK146" s="417"/>
      <c r="HL146" s="417"/>
      <c r="HM146" s="417"/>
      <c r="HN146" s="417"/>
      <c r="HO146" s="417"/>
      <c r="HP146" s="417"/>
      <c r="HQ146" s="417"/>
      <c r="HR146" s="418"/>
      <c r="HS146" s="418"/>
      <c r="HT146" s="418"/>
    </row>
    <row r="147" spans="1:228" s="387" customFormat="1" ht="12.75" customHeight="1" x14ac:dyDescent="0.2">
      <c r="A147" s="406" t="s">
        <v>52</v>
      </c>
      <c r="B147" s="407" t="s">
        <v>30</v>
      </c>
      <c r="C147" s="406" t="s">
        <v>999</v>
      </c>
      <c r="D147" s="407" t="s">
        <v>1003</v>
      </c>
      <c r="E147" s="407" t="s">
        <v>1741</v>
      </c>
      <c r="F147" s="407" t="s">
        <v>1742</v>
      </c>
      <c r="G147" s="406" t="s">
        <v>63</v>
      </c>
      <c r="H147" s="408" t="s">
        <v>1413</v>
      </c>
      <c r="I147" s="408" t="s">
        <v>1415</v>
      </c>
      <c r="J147" s="406" t="s">
        <v>1509</v>
      </c>
      <c r="K147" s="406" t="s">
        <v>132</v>
      </c>
      <c r="L147" s="406" t="s">
        <v>133</v>
      </c>
      <c r="M147" s="406" t="s">
        <v>1771</v>
      </c>
      <c r="N147" s="452">
        <v>0</v>
      </c>
      <c r="O147" s="452">
        <v>0</v>
      </c>
      <c r="P147" s="452">
        <v>0</v>
      </c>
      <c r="Q147" s="452">
        <v>0</v>
      </c>
      <c r="R147" s="452">
        <v>0</v>
      </c>
      <c r="S147" s="452">
        <v>0</v>
      </c>
      <c r="T147" s="452">
        <v>0</v>
      </c>
      <c r="U147" s="409">
        <v>0</v>
      </c>
      <c r="V147" s="409">
        <v>32.383310000000002</v>
      </c>
      <c r="W147" s="409">
        <v>0</v>
      </c>
      <c r="X147" s="409">
        <v>0</v>
      </c>
      <c r="Y147" s="409"/>
      <c r="Z147" s="453">
        <f t="shared" si="63"/>
        <v>32.383310000000002</v>
      </c>
      <c r="AA147" s="452">
        <v>0</v>
      </c>
      <c r="AB147" s="452">
        <v>0</v>
      </c>
      <c r="AC147" s="452">
        <v>0</v>
      </c>
      <c r="AD147" s="452">
        <v>0</v>
      </c>
      <c r="AE147" s="452">
        <v>0</v>
      </c>
      <c r="AF147" s="452">
        <v>0</v>
      </c>
      <c r="AG147" s="452">
        <v>0</v>
      </c>
      <c r="AH147" s="409">
        <v>0</v>
      </c>
      <c r="AI147" s="409">
        <v>0</v>
      </c>
      <c r="AJ147" s="409">
        <v>0</v>
      </c>
      <c r="AK147" s="409">
        <v>0</v>
      </c>
      <c r="AL147" s="409">
        <v>0</v>
      </c>
      <c r="AM147" s="453">
        <f t="shared" si="58"/>
        <v>0</v>
      </c>
      <c r="AN147" s="452">
        <v>0</v>
      </c>
      <c r="AO147" s="452">
        <v>0</v>
      </c>
      <c r="AP147" s="452">
        <v>0</v>
      </c>
      <c r="AQ147" s="452">
        <v>0</v>
      </c>
      <c r="AR147" s="452">
        <v>0</v>
      </c>
      <c r="AS147" s="452">
        <v>0</v>
      </c>
      <c r="AT147" s="452">
        <v>0</v>
      </c>
      <c r="AU147" s="409">
        <v>0</v>
      </c>
      <c r="AV147" s="409">
        <v>0</v>
      </c>
      <c r="AW147" s="409">
        <v>0</v>
      </c>
      <c r="AX147" s="409">
        <v>0</v>
      </c>
      <c r="AY147" s="409">
        <v>0</v>
      </c>
      <c r="AZ147" s="453">
        <f t="shared" si="59"/>
        <v>0</v>
      </c>
      <c r="BA147" s="452">
        <v>0</v>
      </c>
      <c r="BB147" s="452">
        <v>0</v>
      </c>
      <c r="BC147" s="452">
        <v>0</v>
      </c>
      <c r="BD147" s="452">
        <v>0</v>
      </c>
      <c r="BE147" s="452">
        <v>0</v>
      </c>
      <c r="BF147" s="452">
        <v>0</v>
      </c>
      <c r="BG147" s="452">
        <v>0</v>
      </c>
      <c r="BH147" s="409">
        <v>0</v>
      </c>
      <c r="BI147" s="409">
        <v>0</v>
      </c>
      <c r="BJ147" s="409">
        <v>0</v>
      </c>
      <c r="BK147" s="409">
        <v>0</v>
      </c>
      <c r="BL147" s="409">
        <v>0</v>
      </c>
      <c r="BM147" s="453">
        <f t="shared" si="60"/>
        <v>0</v>
      </c>
      <c r="BN147" s="452">
        <v>0</v>
      </c>
      <c r="BO147" s="452">
        <v>0</v>
      </c>
      <c r="BP147" s="452">
        <v>0</v>
      </c>
      <c r="BQ147" s="452">
        <v>0</v>
      </c>
      <c r="BR147" s="452">
        <v>0</v>
      </c>
      <c r="BS147" s="452">
        <v>0</v>
      </c>
      <c r="BT147" s="452">
        <v>0</v>
      </c>
      <c r="BU147" s="409">
        <v>0</v>
      </c>
      <c r="BV147" s="409">
        <v>0</v>
      </c>
      <c r="BW147" s="409">
        <v>0</v>
      </c>
      <c r="BX147" s="409">
        <v>0</v>
      </c>
      <c r="BY147" s="409">
        <v>0</v>
      </c>
      <c r="BZ147" s="453">
        <f t="shared" si="61"/>
        <v>0</v>
      </c>
      <c r="CA147" s="454">
        <f t="shared" si="62"/>
        <v>32.383310000000002</v>
      </c>
      <c r="CB147" s="419"/>
      <c r="CC147" s="419">
        <v>1</v>
      </c>
      <c r="CD147" s="419">
        <v>1</v>
      </c>
      <c r="CE147" s="419">
        <v>1</v>
      </c>
      <c r="CF147" s="419">
        <v>1</v>
      </c>
      <c r="CG147" s="420">
        <f>IFERROR((FE147/Z147%),0)</f>
        <v>0</v>
      </c>
      <c r="CH147" s="421">
        <f>IFERROR((FK147/Z147%),0)</f>
        <v>88.495585289966215</v>
      </c>
      <c r="CI147" s="414" t="s">
        <v>1624</v>
      </c>
      <c r="CJ147" s="415">
        <v>0</v>
      </c>
      <c r="CK147" s="415">
        <v>0</v>
      </c>
      <c r="CL147" s="415">
        <v>0</v>
      </c>
      <c r="CM147" s="415">
        <v>0</v>
      </c>
      <c r="CN147" s="415">
        <v>0</v>
      </c>
      <c r="CO147" s="415">
        <v>0</v>
      </c>
      <c r="CP147" s="415">
        <v>0</v>
      </c>
      <c r="CQ147" s="415">
        <v>1</v>
      </c>
      <c r="CR147" s="415">
        <v>0</v>
      </c>
      <c r="CS147" s="415">
        <v>0</v>
      </c>
      <c r="CT147" s="415">
        <v>0</v>
      </c>
      <c r="CU147" s="415">
        <v>0</v>
      </c>
      <c r="CV147" s="410">
        <f t="shared" si="64"/>
        <v>1</v>
      </c>
      <c r="CW147" s="415">
        <v>0</v>
      </c>
      <c r="CX147" s="415">
        <v>0</v>
      </c>
      <c r="CY147" s="415">
        <v>0</v>
      </c>
      <c r="CZ147" s="415">
        <v>0</v>
      </c>
      <c r="DA147" s="415">
        <v>0</v>
      </c>
      <c r="DB147" s="415">
        <v>0</v>
      </c>
      <c r="DC147" s="415">
        <v>0</v>
      </c>
      <c r="DD147" s="415">
        <v>0</v>
      </c>
      <c r="DE147" s="415">
        <v>0</v>
      </c>
      <c r="DF147" s="415">
        <v>0</v>
      </c>
      <c r="DG147" s="415">
        <v>0</v>
      </c>
      <c r="DH147" s="415">
        <v>0</v>
      </c>
      <c r="DI147" s="410">
        <f t="shared" si="65"/>
        <v>0</v>
      </c>
      <c r="DJ147" s="415">
        <v>0</v>
      </c>
      <c r="DK147" s="415">
        <v>0</v>
      </c>
      <c r="DL147" s="415">
        <v>0</v>
      </c>
      <c r="DM147" s="415">
        <v>0</v>
      </c>
      <c r="DN147" s="415">
        <v>0</v>
      </c>
      <c r="DO147" s="415">
        <v>0</v>
      </c>
      <c r="DP147" s="415">
        <v>0</v>
      </c>
      <c r="DQ147" s="415">
        <v>0</v>
      </c>
      <c r="DR147" s="415">
        <v>0</v>
      </c>
      <c r="DS147" s="415">
        <v>0</v>
      </c>
      <c r="DT147" s="415">
        <v>0</v>
      </c>
      <c r="DU147" s="415">
        <v>0</v>
      </c>
      <c r="DV147" s="410">
        <f t="shared" si="66"/>
        <v>0</v>
      </c>
      <c r="DW147" s="415">
        <v>0</v>
      </c>
      <c r="DX147" s="415">
        <v>0</v>
      </c>
      <c r="DY147" s="415">
        <v>0</v>
      </c>
      <c r="DZ147" s="415">
        <v>0</v>
      </c>
      <c r="EA147" s="415">
        <v>0</v>
      </c>
      <c r="EB147" s="415">
        <v>0</v>
      </c>
      <c r="EC147" s="415">
        <v>0</v>
      </c>
      <c r="ED147" s="415">
        <v>0</v>
      </c>
      <c r="EE147" s="415">
        <v>0</v>
      </c>
      <c r="EF147" s="415">
        <v>0</v>
      </c>
      <c r="EG147" s="415">
        <v>0</v>
      </c>
      <c r="EH147" s="415">
        <v>0</v>
      </c>
      <c r="EI147" s="410">
        <f t="shared" si="67"/>
        <v>0</v>
      </c>
      <c r="EJ147" s="415">
        <v>0</v>
      </c>
      <c r="EK147" s="415">
        <v>0</v>
      </c>
      <c r="EL147" s="415">
        <v>0</v>
      </c>
      <c r="EM147" s="415">
        <v>0</v>
      </c>
      <c r="EN147" s="415">
        <v>0</v>
      </c>
      <c r="EO147" s="415">
        <v>0</v>
      </c>
      <c r="EP147" s="415">
        <v>0</v>
      </c>
      <c r="EQ147" s="415">
        <v>0</v>
      </c>
      <c r="ER147" s="415">
        <v>0</v>
      </c>
      <c r="ES147" s="415">
        <v>0</v>
      </c>
      <c r="ET147" s="415">
        <v>0</v>
      </c>
      <c r="EU147" s="415">
        <v>0</v>
      </c>
      <c r="EV147" s="410">
        <f t="shared" si="68"/>
        <v>0</v>
      </c>
      <c r="EW147" s="416">
        <f t="shared" si="69"/>
        <v>1</v>
      </c>
      <c r="EX147" s="417">
        <f>IFERROR(VLOOKUP(H147,CEI_012018!$A$1:$U$509,9,FALSE),0)</f>
        <v>0</v>
      </c>
      <c r="EY147" s="417">
        <f>IFERROR(VLOOKUP(H147,CEI_022018!$A$1:$U$509,9,FALSE),0)</f>
        <v>0</v>
      </c>
      <c r="EZ147" s="417">
        <f>IFERROR(VLOOKUP(H147,CEI_032018!$A$1:$U$509,9,FALSE),0)</f>
        <v>0</v>
      </c>
      <c r="FA147" s="417">
        <f>IFERROR(VLOOKUP(H147,CEI_042018!$A$1:$U$491,9,FALSE),0)</f>
        <v>0</v>
      </c>
      <c r="FB147" s="417">
        <f>IFERROR(VLOOKUP(H147,CEI_052018!$A$1:$U$489,9,FALSE),0)</f>
        <v>0</v>
      </c>
      <c r="FC147" s="417">
        <f>IFERROR(VLOOKUP(H147,CEI_062018!$A$1:$U$489,9,FALSE),0)</f>
        <v>0</v>
      </c>
      <c r="FD147" s="417">
        <f>IFERROR(VLOOKUP(H147,CEI_072018!$A$1:$U$489,9,FALSE),0)</f>
        <v>0</v>
      </c>
      <c r="FE147" s="417">
        <f>IFERROR(VLOOKUP(H147,CEI_082018!$A$1:$U$489,9,FALSE),0)</f>
        <v>0</v>
      </c>
      <c r="FF147" s="417">
        <f>IFERROR(VLOOKUP(H147,CEI_092018!$A$1:$U$489,9,FALSE),0)</f>
        <v>28.65779972076416</v>
      </c>
      <c r="FG147" s="417"/>
      <c r="FH147" s="417"/>
      <c r="FI147" s="417"/>
      <c r="FJ147" s="418">
        <f>IFERROR(VLOOKUP(H147,CEI_092018!$A$1:$U$489,12,FALSE),0)</f>
        <v>0</v>
      </c>
      <c r="FK147" s="418">
        <f t="shared" si="56"/>
        <v>28.65779972076416</v>
      </c>
      <c r="FL147" s="418">
        <f t="shared" si="57"/>
        <v>3.7255102792358414</v>
      </c>
      <c r="FM147" s="417"/>
      <c r="FN147" s="417"/>
      <c r="FO147" s="417"/>
      <c r="FP147" s="417"/>
      <c r="FQ147" s="417"/>
      <c r="FR147" s="417"/>
      <c r="FS147" s="417"/>
      <c r="FT147" s="417"/>
      <c r="FU147" s="417"/>
      <c r="FV147" s="417"/>
      <c r="FW147" s="417"/>
      <c r="FX147" s="417"/>
      <c r="FY147" s="418"/>
      <c r="FZ147" s="418"/>
      <c r="GA147" s="418"/>
      <c r="GB147" s="417"/>
      <c r="GC147" s="417"/>
      <c r="GD147" s="417"/>
      <c r="GE147" s="417"/>
      <c r="GF147" s="417"/>
      <c r="GG147" s="417"/>
      <c r="GH147" s="417"/>
      <c r="GI147" s="417"/>
      <c r="GJ147" s="417"/>
      <c r="GK147" s="417"/>
      <c r="GL147" s="417"/>
      <c r="GM147" s="417"/>
      <c r="GN147" s="418"/>
      <c r="GO147" s="418"/>
      <c r="GP147" s="418"/>
      <c r="GQ147" s="417"/>
      <c r="GR147" s="417"/>
      <c r="GS147" s="417"/>
      <c r="GT147" s="417"/>
      <c r="GU147" s="417"/>
      <c r="GV147" s="417"/>
      <c r="GW147" s="417"/>
      <c r="GX147" s="417"/>
      <c r="GY147" s="417"/>
      <c r="GZ147" s="417"/>
      <c r="HA147" s="417"/>
      <c r="HB147" s="417"/>
      <c r="HC147" s="418"/>
      <c r="HD147" s="418"/>
      <c r="HE147" s="418"/>
      <c r="HF147" s="417"/>
      <c r="HG147" s="417"/>
      <c r="HH147" s="417"/>
      <c r="HI147" s="417"/>
      <c r="HJ147" s="417"/>
      <c r="HK147" s="417"/>
      <c r="HL147" s="417"/>
      <c r="HM147" s="417"/>
      <c r="HN147" s="417"/>
      <c r="HO147" s="417"/>
      <c r="HP147" s="417"/>
      <c r="HQ147" s="417"/>
      <c r="HR147" s="418"/>
      <c r="HS147" s="418"/>
      <c r="HT147" s="418"/>
    </row>
    <row r="148" spans="1:228" s="387" customFormat="1" ht="12.75" customHeight="1" x14ac:dyDescent="0.2">
      <c r="A148" s="406" t="s">
        <v>52</v>
      </c>
      <c r="B148" s="407" t="s">
        <v>30</v>
      </c>
      <c r="C148" s="406" t="s">
        <v>999</v>
      </c>
      <c r="D148" s="407" t="s">
        <v>1003</v>
      </c>
      <c r="E148" s="407" t="s">
        <v>173</v>
      </c>
      <c r="F148" s="407" t="s">
        <v>1744</v>
      </c>
      <c r="G148" s="406" t="s">
        <v>63</v>
      </c>
      <c r="H148" s="408" t="s">
        <v>520</v>
      </c>
      <c r="I148" s="408" t="s">
        <v>57</v>
      </c>
      <c r="J148" s="406" t="s">
        <v>183</v>
      </c>
      <c r="K148" s="406" t="s">
        <v>184</v>
      </c>
      <c r="L148" s="406" t="s">
        <v>185</v>
      </c>
      <c r="M148" s="406" t="s">
        <v>57</v>
      </c>
      <c r="N148" s="452">
        <v>0</v>
      </c>
      <c r="O148" s="452">
        <v>0</v>
      </c>
      <c r="P148" s="452">
        <v>0</v>
      </c>
      <c r="Q148" s="452">
        <v>0</v>
      </c>
      <c r="R148" s="452">
        <v>0</v>
      </c>
      <c r="S148" s="452">
        <v>0</v>
      </c>
      <c r="T148" s="452">
        <v>0</v>
      </c>
      <c r="U148" s="409">
        <v>0</v>
      </c>
      <c r="V148" s="409">
        <v>0</v>
      </c>
      <c r="W148" s="409">
        <v>0</v>
      </c>
      <c r="X148" s="409">
        <v>69</v>
      </c>
      <c r="Y148" s="409">
        <v>0</v>
      </c>
      <c r="Z148" s="453">
        <f t="shared" si="63"/>
        <v>69</v>
      </c>
      <c r="AA148" s="452">
        <v>0</v>
      </c>
      <c r="AB148" s="452">
        <v>44</v>
      </c>
      <c r="AC148" s="452">
        <v>0</v>
      </c>
      <c r="AD148" s="452">
        <v>0</v>
      </c>
      <c r="AE148" s="452">
        <v>0</v>
      </c>
      <c r="AF148" s="452">
        <v>0</v>
      </c>
      <c r="AG148" s="452">
        <v>0</v>
      </c>
      <c r="AH148" s="409">
        <v>0</v>
      </c>
      <c r="AI148" s="409">
        <v>0</v>
      </c>
      <c r="AJ148" s="409">
        <v>0</v>
      </c>
      <c r="AK148" s="409">
        <v>0</v>
      </c>
      <c r="AL148" s="409">
        <v>0</v>
      </c>
      <c r="AM148" s="453">
        <f t="shared" si="58"/>
        <v>44</v>
      </c>
      <c r="AN148" s="452">
        <v>0</v>
      </c>
      <c r="AO148" s="452">
        <v>0</v>
      </c>
      <c r="AP148" s="452">
        <v>0</v>
      </c>
      <c r="AQ148" s="452">
        <v>0</v>
      </c>
      <c r="AR148" s="452">
        <v>0</v>
      </c>
      <c r="AS148" s="452">
        <v>0</v>
      </c>
      <c r="AT148" s="452">
        <v>0</v>
      </c>
      <c r="AU148" s="409">
        <v>0</v>
      </c>
      <c r="AV148" s="409">
        <v>0</v>
      </c>
      <c r="AW148" s="409">
        <v>0</v>
      </c>
      <c r="AX148" s="409">
        <v>0</v>
      </c>
      <c r="AY148" s="409">
        <v>0</v>
      </c>
      <c r="AZ148" s="453">
        <f t="shared" si="59"/>
        <v>0</v>
      </c>
      <c r="BA148" s="452">
        <v>0</v>
      </c>
      <c r="BB148" s="452">
        <v>0</v>
      </c>
      <c r="BC148" s="452">
        <v>0</v>
      </c>
      <c r="BD148" s="452">
        <v>0</v>
      </c>
      <c r="BE148" s="452">
        <v>0</v>
      </c>
      <c r="BF148" s="452">
        <v>0</v>
      </c>
      <c r="BG148" s="452">
        <v>0</v>
      </c>
      <c r="BH148" s="409">
        <v>0</v>
      </c>
      <c r="BI148" s="409">
        <v>0</v>
      </c>
      <c r="BJ148" s="409">
        <v>0</v>
      </c>
      <c r="BK148" s="409">
        <v>0</v>
      </c>
      <c r="BL148" s="409">
        <v>0</v>
      </c>
      <c r="BM148" s="453">
        <f t="shared" si="60"/>
        <v>0</v>
      </c>
      <c r="BN148" s="452">
        <v>0</v>
      </c>
      <c r="BO148" s="452">
        <v>0</v>
      </c>
      <c r="BP148" s="452">
        <v>0</v>
      </c>
      <c r="BQ148" s="452">
        <v>0</v>
      </c>
      <c r="BR148" s="452">
        <v>0</v>
      </c>
      <c r="BS148" s="452">
        <v>0</v>
      </c>
      <c r="BT148" s="452">
        <v>0</v>
      </c>
      <c r="BU148" s="409">
        <v>0</v>
      </c>
      <c r="BV148" s="409">
        <v>0</v>
      </c>
      <c r="BW148" s="409">
        <v>0</v>
      </c>
      <c r="BX148" s="409">
        <v>0</v>
      </c>
      <c r="BY148" s="409">
        <v>0</v>
      </c>
      <c r="BZ148" s="453">
        <f t="shared" si="61"/>
        <v>0</v>
      </c>
      <c r="CA148" s="454">
        <f t="shared" si="62"/>
        <v>113</v>
      </c>
      <c r="CB148" s="419"/>
      <c r="CC148" s="419">
        <v>-1</v>
      </c>
      <c r="CD148" s="419">
        <v>-1</v>
      </c>
      <c r="CE148" s="419">
        <v>-1</v>
      </c>
      <c r="CF148" s="419">
        <v>-1</v>
      </c>
      <c r="CG148" s="420">
        <f>IFERROR((FE148/Z148%),0)</f>
        <v>0</v>
      </c>
      <c r="CH148" s="421">
        <f>IFERROR((FK148/Z148%),0)</f>
        <v>0</v>
      </c>
      <c r="CI148" s="414" t="s">
        <v>1624</v>
      </c>
      <c r="CJ148" s="415">
        <v>0</v>
      </c>
      <c r="CK148" s="415">
        <v>0</v>
      </c>
      <c r="CL148" s="415">
        <v>0</v>
      </c>
      <c r="CM148" s="415">
        <v>0</v>
      </c>
      <c r="CN148" s="415">
        <v>0</v>
      </c>
      <c r="CO148" s="415">
        <v>0</v>
      </c>
      <c r="CP148" s="415">
        <v>0</v>
      </c>
      <c r="CQ148" s="415">
        <v>0</v>
      </c>
      <c r="CR148" s="415">
        <v>0</v>
      </c>
      <c r="CS148" s="415">
        <v>1</v>
      </c>
      <c r="CT148" s="415">
        <v>0</v>
      </c>
      <c r="CU148" s="415">
        <v>0</v>
      </c>
      <c r="CV148" s="410">
        <f t="shared" si="64"/>
        <v>1</v>
      </c>
      <c r="CW148" s="415">
        <v>0</v>
      </c>
      <c r="CX148" s="415">
        <v>1</v>
      </c>
      <c r="CY148" s="415">
        <v>0</v>
      </c>
      <c r="CZ148" s="415">
        <v>0</v>
      </c>
      <c r="DA148" s="415">
        <v>0</v>
      </c>
      <c r="DB148" s="415">
        <v>0</v>
      </c>
      <c r="DC148" s="415">
        <v>0</v>
      </c>
      <c r="DD148" s="415">
        <v>0</v>
      </c>
      <c r="DE148" s="415">
        <v>0</v>
      </c>
      <c r="DF148" s="415">
        <v>0</v>
      </c>
      <c r="DG148" s="415">
        <v>0</v>
      </c>
      <c r="DH148" s="415">
        <v>0</v>
      </c>
      <c r="DI148" s="410">
        <f t="shared" si="65"/>
        <v>1</v>
      </c>
      <c r="DJ148" s="415">
        <v>0</v>
      </c>
      <c r="DK148" s="415">
        <v>0</v>
      </c>
      <c r="DL148" s="415">
        <v>0</v>
      </c>
      <c r="DM148" s="415">
        <v>0</v>
      </c>
      <c r="DN148" s="415">
        <v>0</v>
      </c>
      <c r="DO148" s="415">
        <v>0</v>
      </c>
      <c r="DP148" s="415">
        <v>0</v>
      </c>
      <c r="DQ148" s="415">
        <v>0</v>
      </c>
      <c r="DR148" s="415">
        <v>0</v>
      </c>
      <c r="DS148" s="415">
        <v>0</v>
      </c>
      <c r="DT148" s="415">
        <v>0</v>
      </c>
      <c r="DU148" s="415">
        <v>0</v>
      </c>
      <c r="DV148" s="410">
        <f t="shared" si="66"/>
        <v>0</v>
      </c>
      <c r="DW148" s="415">
        <v>0</v>
      </c>
      <c r="DX148" s="415">
        <v>0</v>
      </c>
      <c r="DY148" s="415">
        <v>0</v>
      </c>
      <c r="DZ148" s="415">
        <v>0</v>
      </c>
      <c r="EA148" s="415">
        <v>0</v>
      </c>
      <c r="EB148" s="415">
        <v>0</v>
      </c>
      <c r="EC148" s="415">
        <v>0</v>
      </c>
      <c r="ED148" s="415">
        <v>0</v>
      </c>
      <c r="EE148" s="415">
        <v>0</v>
      </c>
      <c r="EF148" s="415">
        <v>0</v>
      </c>
      <c r="EG148" s="415">
        <v>0</v>
      </c>
      <c r="EH148" s="415">
        <v>0</v>
      </c>
      <c r="EI148" s="410">
        <f t="shared" si="67"/>
        <v>0</v>
      </c>
      <c r="EJ148" s="415">
        <v>0</v>
      </c>
      <c r="EK148" s="415">
        <v>0</v>
      </c>
      <c r="EL148" s="415">
        <v>0</v>
      </c>
      <c r="EM148" s="415">
        <v>0</v>
      </c>
      <c r="EN148" s="415">
        <v>0</v>
      </c>
      <c r="EO148" s="415">
        <v>0</v>
      </c>
      <c r="EP148" s="415">
        <v>0</v>
      </c>
      <c r="EQ148" s="415">
        <v>0</v>
      </c>
      <c r="ER148" s="415">
        <v>0</v>
      </c>
      <c r="ES148" s="415">
        <v>0</v>
      </c>
      <c r="ET148" s="415">
        <v>0</v>
      </c>
      <c r="EU148" s="415">
        <v>0</v>
      </c>
      <c r="EV148" s="410">
        <f t="shared" si="68"/>
        <v>0</v>
      </c>
      <c r="EW148" s="416">
        <f t="shared" si="69"/>
        <v>2</v>
      </c>
      <c r="EX148" s="417">
        <f>IFERROR(VLOOKUP(H148,CEI_012018!$A$1:$U$509,9,FALSE),0)</f>
        <v>0</v>
      </c>
      <c r="EY148" s="417">
        <f>IFERROR(VLOOKUP(H148,CEI_022018!$A$1:$U$509,9,FALSE),0)</f>
        <v>0</v>
      </c>
      <c r="EZ148" s="417">
        <f>IFERROR(VLOOKUP(H148,CEI_032018!$A$1:$U$509,9,FALSE),0)</f>
        <v>0</v>
      </c>
      <c r="FA148" s="417">
        <f>IFERROR(VLOOKUP(H148,CEI_042018!$A$1:$U$491,9,FALSE),0)</f>
        <v>0</v>
      </c>
      <c r="FB148" s="417">
        <f>IFERROR(VLOOKUP(H148,CEI_052018!$A$1:$U$489,9,FALSE),0)</f>
        <v>0</v>
      </c>
      <c r="FC148" s="417">
        <f>IFERROR(VLOOKUP(H148,CEI_062018!$A$1:$U$489,9,FALSE),0)</f>
        <v>0</v>
      </c>
      <c r="FD148" s="417">
        <f>IFERROR(VLOOKUP(H148,CEI_072018!$A$1:$U$489,9,FALSE),0)</f>
        <v>0</v>
      </c>
      <c r="FE148" s="417">
        <f>IFERROR(VLOOKUP(H148,CEI_082018!$A$1:$U$489,9,FALSE),0)</f>
        <v>0</v>
      </c>
      <c r="FF148" s="417">
        <f>IFERROR(VLOOKUP(H148,CEI_092018!$A$1:$U$489,9,FALSE),0)</f>
        <v>0</v>
      </c>
      <c r="FG148" s="417"/>
      <c r="FH148" s="417"/>
      <c r="FI148" s="417"/>
      <c r="FJ148" s="418">
        <f>IFERROR(VLOOKUP(H148,CEI_092018!$A$1:$U$489,12,FALSE),0)</f>
        <v>0</v>
      </c>
      <c r="FK148" s="418">
        <f t="shared" si="56"/>
        <v>0</v>
      </c>
      <c r="FL148" s="418">
        <f t="shared" si="57"/>
        <v>69</v>
      </c>
      <c r="FM148" s="417"/>
      <c r="FN148" s="417"/>
      <c r="FO148" s="417"/>
      <c r="FP148" s="417"/>
      <c r="FQ148" s="417"/>
      <c r="FR148" s="417"/>
      <c r="FS148" s="417"/>
      <c r="FT148" s="417"/>
      <c r="FU148" s="417"/>
      <c r="FV148" s="417"/>
      <c r="FW148" s="417"/>
      <c r="FX148" s="417"/>
      <c r="FY148" s="418"/>
      <c r="FZ148" s="418"/>
      <c r="GA148" s="418"/>
      <c r="GB148" s="417"/>
      <c r="GC148" s="417"/>
      <c r="GD148" s="417"/>
      <c r="GE148" s="417"/>
      <c r="GF148" s="417"/>
      <c r="GG148" s="417"/>
      <c r="GH148" s="417"/>
      <c r="GI148" s="417"/>
      <c r="GJ148" s="417"/>
      <c r="GK148" s="417"/>
      <c r="GL148" s="417"/>
      <c r="GM148" s="417"/>
      <c r="GN148" s="418"/>
      <c r="GO148" s="418"/>
      <c r="GP148" s="418"/>
      <c r="GQ148" s="417"/>
      <c r="GR148" s="417"/>
      <c r="GS148" s="417"/>
      <c r="GT148" s="417"/>
      <c r="GU148" s="417"/>
      <c r="GV148" s="417"/>
      <c r="GW148" s="417"/>
      <c r="GX148" s="417"/>
      <c r="GY148" s="417"/>
      <c r="GZ148" s="417"/>
      <c r="HA148" s="417"/>
      <c r="HB148" s="417"/>
      <c r="HC148" s="418"/>
      <c r="HD148" s="418"/>
      <c r="HE148" s="418"/>
      <c r="HF148" s="417"/>
      <c r="HG148" s="417"/>
      <c r="HH148" s="417"/>
      <c r="HI148" s="417"/>
      <c r="HJ148" s="417"/>
      <c r="HK148" s="417"/>
      <c r="HL148" s="417"/>
      <c r="HM148" s="417"/>
      <c r="HN148" s="417"/>
      <c r="HO148" s="417"/>
      <c r="HP148" s="417"/>
      <c r="HQ148" s="417"/>
      <c r="HR148" s="418"/>
      <c r="HS148" s="418"/>
      <c r="HT148" s="418"/>
    </row>
    <row r="149" spans="1:228" s="387" customFormat="1" ht="12.75" customHeight="1" x14ac:dyDescent="0.2">
      <c r="A149" s="406" t="s">
        <v>52</v>
      </c>
      <c r="B149" s="407" t="s">
        <v>30</v>
      </c>
      <c r="C149" s="406" t="s">
        <v>999</v>
      </c>
      <c r="D149" s="407" t="s">
        <v>1003</v>
      </c>
      <c r="E149" s="407" t="s">
        <v>999</v>
      </c>
      <c r="F149" s="407" t="s">
        <v>1003</v>
      </c>
      <c r="G149" s="406" t="s">
        <v>54</v>
      </c>
      <c r="H149" s="408" t="s">
        <v>520</v>
      </c>
      <c r="I149" s="408" t="s">
        <v>57</v>
      </c>
      <c r="J149" s="406" t="s">
        <v>971</v>
      </c>
      <c r="K149" s="406" t="s">
        <v>375</v>
      </c>
      <c r="L149" s="406" t="s">
        <v>57</v>
      </c>
      <c r="M149" s="406" t="s">
        <v>1773</v>
      </c>
      <c r="N149" s="452">
        <v>0</v>
      </c>
      <c r="O149" s="452">
        <v>0</v>
      </c>
      <c r="P149" s="452">
        <v>0</v>
      </c>
      <c r="Q149" s="452">
        <v>0</v>
      </c>
      <c r="R149" s="452">
        <v>0</v>
      </c>
      <c r="S149" s="452">
        <v>0</v>
      </c>
      <c r="T149" s="452">
        <v>0</v>
      </c>
      <c r="U149" s="409">
        <v>0</v>
      </c>
      <c r="V149" s="409">
        <v>0</v>
      </c>
      <c r="W149" s="409">
        <v>0</v>
      </c>
      <c r="X149" s="409">
        <v>0</v>
      </c>
      <c r="Y149" s="409">
        <v>0</v>
      </c>
      <c r="Z149" s="453">
        <f t="shared" si="63"/>
        <v>0</v>
      </c>
      <c r="AA149" s="452">
        <v>0</v>
      </c>
      <c r="AB149" s="452">
        <v>0</v>
      </c>
      <c r="AC149" s="452">
        <v>0</v>
      </c>
      <c r="AD149" s="452">
        <v>0</v>
      </c>
      <c r="AE149" s="452">
        <v>0</v>
      </c>
      <c r="AF149" s="452">
        <v>0</v>
      </c>
      <c r="AG149" s="452">
        <v>0</v>
      </c>
      <c r="AH149" s="409">
        <v>0</v>
      </c>
      <c r="AI149" s="409">
        <v>97</v>
      </c>
      <c r="AJ149" s="409">
        <v>0</v>
      </c>
      <c r="AK149" s="409">
        <v>0</v>
      </c>
      <c r="AL149" s="409">
        <v>0</v>
      </c>
      <c r="AM149" s="453">
        <f t="shared" si="58"/>
        <v>97</v>
      </c>
      <c r="AN149" s="452">
        <v>0</v>
      </c>
      <c r="AO149" s="452">
        <v>0</v>
      </c>
      <c r="AP149" s="452">
        <v>0</v>
      </c>
      <c r="AQ149" s="452">
        <v>0</v>
      </c>
      <c r="AR149" s="452">
        <v>0</v>
      </c>
      <c r="AS149" s="452">
        <v>0</v>
      </c>
      <c r="AT149" s="452">
        <v>0</v>
      </c>
      <c r="AU149" s="409">
        <v>0</v>
      </c>
      <c r="AV149" s="409">
        <v>0</v>
      </c>
      <c r="AW149" s="409">
        <v>0</v>
      </c>
      <c r="AX149" s="409">
        <v>0</v>
      </c>
      <c r="AY149" s="409">
        <v>0</v>
      </c>
      <c r="AZ149" s="453">
        <f t="shared" si="59"/>
        <v>0</v>
      </c>
      <c r="BA149" s="452">
        <v>0</v>
      </c>
      <c r="BB149" s="452">
        <v>0</v>
      </c>
      <c r="BC149" s="452">
        <v>0</v>
      </c>
      <c r="BD149" s="452">
        <v>0</v>
      </c>
      <c r="BE149" s="452">
        <v>0</v>
      </c>
      <c r="BF149" s="452">
        <v>0</v>
      </c>
      <c r="BG149" s="452">
        <v>0</v>
      </c>
      <c r="BH149" s="409">
        <v>0</v>
      </c>
      <c r="BI149" s="409">
        <v>0</v>
      </c>
      <c r="BJ149" s="409">
        <v>0</v>
      </c>
      <c r="BK149" s="409">
        <v>0</v>
      </c>
      <c r="BL149" s="409">
        <v>0</v>
      </c>
      <c r="BM149" s="453">
        <f t="shared" si="60"/>
        <v>0</v>
      </c>
      <c r="BN149" s="452">
        <v>0</v>
      </c>
      <c r="BO149" s="452">
        <v>0</v>
      </c>
      <c r="BP149" s="452">
        <v>0</v>
      </c>
      <c r="BQ149" s="452">
        <v>0</v>
      </c>
      <c r="BR149" s="452">
        <v>0</v>
      </c>
      <c r="BS149" s="452">
        <v>0</v>
      </c>
      <c r="BT149" s="452">
        <v>0</v>
      </c>
      <c r="BU149" s="409">
        <v>0</v>
      </c>
      <c r="BV149" s="409">
        <v>0</v>
      </c>
      <c r="BW149" s="409">
        <v>0</v>
      </c>
      <c r="BX149" s="409">
        <v>142</v>
      </c>
      <c r="BY149" s="409">
        <v>0</v>
      </c>
      <c r="BZ149" s="453">
        <f t="shared" si="61"/>
        <v>142</v>
      </c>
      <c r="CA149" s="454">
        <f t="shared" si="62"/>
        <v>239</v>
      </c>
      <c r="CB149" s="411"/>
      <c r="CC149" s="411"/>
      <c r="CD149" s="411"/>
      <c r="CE149" s="411"/>
      <c r="CF149" s="411"/>
      <c r="CG149" s="412"/>
      <c r="CH149" s="413"/>
      <c r="CI149" s="414" t="s">
        <v>1603</v>
      </c>
      <c r="CJ149" s="415">
        <v>0</v>
      </c>
      <c r="CK149" s="415">
        <v>0</v>
      </c>
      <c r="CL149" s="415">
        <v>0</v>
      </c>
      <c r="CM149" s="415">
        <v>0</v>
      </c>
      <c r="CN149" s="415">
        <v>0</v>
      </c>
      <c r="CO149" s="415">
        <v>0</v>
      </c>
      <c r="CP149" s="415">
        <v>0</v>
      </c>
      <c r="CQ149" s="415">
        <v>0</v>
      </c>
      <c r="CR149" s="415">
        <v>0</v>
      </c>
      <c r="CS149" s="415">
        <v>0</v>
      </c>
      <c r="CT149" s="415">
        <v>0</v>
      </c>
      <c r="CU149" s="415">
        <v>0</v>
      </c>
      <c r="CV149" s="410">
        <f t="shared" si="64"/>
        <v>0</v>
      </c>
      <c r="CW149" s="415">
        <v>0</v>
      </c>
      <c r="CX149" s="415">
        <v>0</v>
      </c>
      <c r="CY149" s="415">
        <v>0</v>
      </c>
      <c r="CZ149" s="415">
        <v>0</v>
      </c>
      <c r="DA149" s="415">
        <v>0</v>
      </c>
      <c r="DB149" s="415">
        <v>0</v>
      </c>
      <c r="DC149" s="415">
        <v>0</v>
      </c>
      <c r="DD149" s="415">
        <v>0</v>
      </c>
      <c r="DE149" s="415">
        <v>4.8499999999999996</v>
      </c>
      <c r="DF149" s="415">
        <v>0</v>
      </c>
      <c r="DG149" s="415">
        <v>0</v>
      </c>
      <c r="DH149" s="415">
        <v>0</v>
      </c>
      <c r="DI149" s="410">
        <f t="shared" si="65"/>
        <v>4.8499999999999996</v>
      </c>
      <c r="DJ149" s="415">
        <v>0</v>
      </c>
      <c r="DK149" s="415">
        <v>0</v>
      </c>
      <c r="DL149" s="415">
        <v>0</v>
      </c>
      <c r="DM149" s="415">
        <v>0</v>
      </c>
      <c r="DN149" s="415">
        <v>0</v>
      </c>
      <c r="DO149" s="415">
        <v>0</v>
      </c>
      <c r="DP149" s="415">
        <v>0</v>
      </c>
      <c r="DQ149" s="415">
        <v>0</v>
      </c>
      <c r="DR149" s="415">
        <v>0</v>
      </c>
      <c r="DS149" s="415">
        <v>0</v>
      </c>
      <c r="DT149" s="415">
        <v>0</v>
      </c>
      <c r="DU149" s="415">
        <v>0</v>
      </c>
      <c r="DV149" s="410">
        <f t="shared" si="66"/>
        <v>0</v>
      </c>
      <c r="DW149" s="415">
        <v>0</v>
      </c>
      <c r="DX149" s="415">
        <v>0</v>
      </c>
      <c r="DY149" s="415">
        <v>0</v>
      </c>
      <c r="DZ149" s="415">
        <v>0</v>
      </c>
      <c r="EA149" s="415">
        <v>0</v>
      </c>
      <c r="EB149" s="415">
        <v>0</v>
      </c>
      <c r="EC149" s="415">
        <v>0</v>
      </c>
      <c r="ED149" s="415">
        <v>0</v>
      </c>
      <c r="EE149" s="415">
        <v>0</v>
      </c>
      <c r="EF149" s="415">
        <v>0</v>
      </c>
      <c r="EG149" s="415">
        <v>0</v>
      </c>
      <c r="EH149" s="415">
        <v>0</v>
      </c>
      <c r="EI149" s="410">
        <f t="shared" si="67"/>
        <v>0</v>
      </c>
      <c r="EJ149" s="415">
        <v>0</v>
      </c>
      <c r="EK149" s="415">
        <v>0</v>
      </c>
      <c r="EL149" s="415">
        <v>0</v>
      </c>
      <c r="EM149" s="415">
        <v>0</v>
      </c>
      <c r="EN149" s="415">
        <v>0</v>
      </c>
      <c r="EO149" s="415">
        <v>0</v>
      </c>
      <c r="EP149" s="415">
        <v>0</v>
      </c>
      <c r="EQ149" s="415">
        <v>0</v>
      </c>
      <c r="ER149" s="415">
        <v>0</v>
      </c>
      <c r="ES149" s="415">
        <v>0</v>
      </c>
      <c r="ET149" s="415">
        <v>7.1</v>
      </c>
      <c r="EU149" s="415">
        <v>0</v>
      </c>
      <c r="EV149" s="410">
        <f t="shared" si="68"/>
        <v>7.1</v>
      </c>
      <c r="EW149" s="416">
        <f t="shared" si="69"/>
        <v>11.95</v>
      </c>
      <c r="EX149" s="417">
        <f>IFERROR(VLOOKUP(H149,CEI_012018!$A$1:$U$509,9,FALSE),0)</f>
        <v>0</v>
      </c>
      <c r="EY149" s="417">
        <f>IFERROR(VLOOKUP(H149,CEI_022018!$A$1:$U$509,9,FALSE),0)</f>
        <v>0</v>
      </c>
      <c r="EZ149" s="417">
        <f>IFERROR(VLOOKUP(H149,CEI_032018!$A$1:$U$509,9,FALSE),0)</f>
        <v>0</v>
      </c>
      <c r="FA149" s="417">
        <f>IFERROR(VLOOKUP(H149,CEI_042018!$A$1:$U$491,9,FALSE),0)</f>
        <v>0</v>
      </c>
      <c r="FB149" s="417">
        <f>IFERROR(VLOOKUP(H149,CEI_052018!$A$1:$U$489,9,FALSE),0)</f>
        <v>0</v>
      </c>
      <c r="FC149" s="417">
        <f>IFERROR(VLOOKUP(H149,CEI_062018!$A$1:$U$489,9,FALSE),0)</f>
        <v>0</v>
      </c>
      <c r="FD149" s="417">
        <f>IFERROR(VLOOKUP(H149,CEI_072018!$A$1:$U$489,9,FALSE),0)</f>
        <v>0</v>
      </c>
      <c r="FE149" s="417">
        <f>IFERROR(VLOOKUP(H149,CEI_082018!$A$1:$U$489,9,FALSE),0)</f>
        <v>0</v>
      </c>
      <c r="FF149" s="417">
        <f>IFERROR(VLOOKUP(H149,CEI_092018!$A$1:$U$489,9,FALSE),0)</f>
        <v>0</v>
      </c>
      <c r="FG149" s="417"/>
      <c r="FH149" s="417"/>
      <c r="FI149" s="417"/>
      <c r="FJ149" s="418">
        <f>IFERROR(VLOOKUP(H149,CEI_092018!$A$1:$U$489,12,FALSE),0)</f>
        <v>0</v>
      </c>
      <c r="FK149" s="418">
        <f t="shared" si="56"/>
        <v>0</v>
      </c>
      <c r="FL149" s="418">
        <f t="shared" si="57"/>
        <v>0</v>
      </c>
      <c r="FM149" s="417"/>
      <c r="FN149" s="417"/>
      <c r="FO149" s="417"/>
      <c r="FP149" s="417"/>
      <c r="FQ149" s="417"/>
      <c r="FR149" s="417"/>
      <c r="FS149" s="417"/>
      <c r="FT149" s="417"/>
      <c r="FU149" s="417"/>
      <c r="FV149" s="417"/>
      <c r="FW149" s="417"/>
      <c r="FX149" s="417"/>
      <c r="FY149" s="418"/>
      <c r="FZ149" s="418"/>
      <c r="GA149" s="418"/>
      <c r="GB149" s="417"/>
      <c r="GC149" s="417"/>
      <c r="GD149" s="417"/>
      <c r="GE149" s="417"/>
      <c r="GF149" s="417"/>
      <c r="GG149" s="417"/>
      <c r="GH149" s="417"/>
      <c r="GI149" s="417"/>
      <c r="GJ149" s="417"/>
      <c r="GK149" s="417"/>
      <c r="GL149" s="417"/>
      <c r="GM149" s="417"/>
      <c r="GN149" s="418"/>
      <c r="GO149" s="418"/>
      <c r="GP149" s="418"/>
      <c r="GQ149" s="417"/>
      <c r="GR149" s="417"/>
      <c r="GS149" s="417"/>
      <c r="GT149" s="417"/>
      <c r="GU149" s="417"/>
      <c r="GV149" s="417"/>
      <c r="GW149" s="417"/>
      <c r="GX149" s="417"/>
      <c r="GY149" s="417"/>
      <c r="GZ149" s="417"/>
      <c r="HA149" s="417"/>
      <c r="HB149" s="417"/>
      <c r="HC149" s="418"/>
      <c r="HD149" s="418"/>
      <c r="HE149" s="418"/>
      <c r="HF149" s="417"/>
      <c r="HG149" s="417"/>
      <c r="HH149" s="417"/>
      <c r="HI149" s="417"/>
      <c r="HJ149" s="417"/>
      <c r="HK149" s="417"/>
      <c r="HL149" s="417"/>
      <c r="HM149" s="417"/>
      <c r="HN149" s="417"/>
      <c r="HO149" s="417"/>
      <c r="HP149" s="417"/>
      <c r="HQ149" s="417"/>
      <c r="HR149" s="418"/>
      <c r="HS149" s="418"/>
      <c r="HT149" s="418"/>
    </row>
    <row r="150" spans="1:228" s="387" customFormat="1" ht="12.75" customHeight="1" x14ac:dyDescent="0.2">
      <c r="A150" s="406" t="s">
        <v>52</v>
      </c>
      <c r="B150" s="407" t="s">
        <v>30</v>
      </c>
      <c r="C150" s="406" t="s">
        <v>999</v>
      </c>
      <c r="D150" s="407" t="s">
        <v>1003</v>
      </c>
      <c r="E150" s="407" t="s">
        <v>1741</v>
      </c>
      <c r="F150" s="407" t="s">
        <v>1742</v>
      </c>
      <c r="G150" s="406" t="s">
        <v>63</v>
      </c>
      <c r="H150" s="408" t="s">
        <v>1410</v>
      </c>
      <c r="I150" s="408" t="s">
        <v>1412</v>
      </c>
      <c r="J150" s="406" t="s">
        <v>853</v>
      </c>
      <c r="K150" s="406" t="s">
        <v>1540</v>
      </c>
      <c r="L150" s="406" t="s">
        <v>1542</v>
      </c>
      <c r="M150" s="406" t="s">
        <v>1771</v>
      </c>
      <c r="N150" s="452">
        <v>0</v>
      </c>
      <c r="O150" s="452">
        <v>0</v>
      </c>
      <c r="P150" s="452">
        <v>0</v>
      </c>
      <c r="Q150" s="452">
        <v>0</v>
      </c>
      <c r="R150" s="452">
        <v>0</v>
      </c>
      <c r="S150" s="452">
        <v>0</v>
      </c>
      <c r="T150" s="452">
        <v>0</v>
      </c>
      <c r="U150" s="409">
        <v>0</v>
      </c>
      <c r="V150" s="409">
        <v>27.390999999999998</v>
      </c>
      <c r="W150" s="409">
        <v>0</v>
      </c>
      <c r="X150" s="409">
        <v>0</v>
      </c>
      <c r="Y150" s="409">
        <v>0</v>
      </c>
      <c r="Z150" s="453">
        <f t="shared" si="63"/>
        <v>27.390999999999998</v>
      </c>
      <c r="AA150" s="452">
        <v>0</v>
      </c>
      <c r="AB150" s="452">
        <v>0</v>
      </c>
      <c r="AC150" s="452">
        <v>0</v>
      </c>
      <c r="AD150" s="452">
        <v>0</v>
      </c>
      <c r="AE150" s="452">
        <v>0</v>
      </c>
      <c r="AF150" s="452">
        <v>0</v>
      </c>
      <c r="AG150" s="452">
        <v>0</v>
      </c>
      <c r="AH150" s="409">
        <v>0</v>
      </c>
      <c r="AI150" s="409">
        <v>0</v>
      </c>
      <c r="AJ150" s="409">
        <v>0</v>
      </c>
      <c r="AK150" s="409">
        <v>0</v>
      </c>
      <c r="AL150" s="409">
        <v>0</v>
      </c>
      <c r="AM150" s="453">
        <f t="shared" si="58"/>
        <v>0</v>
      </c>
      <c r="AN150" s="452">
        <v>0</v>
      </c>
      <c r="AO150" s="452">
        <v>0</v>
      </c>
      <c r="AP150" s="452">
        <v>0</v>
      </c>
      <c r="AQ150" s="452">
        <v>0</v>
      </c>
      <c r="AR150" s="452">
        <v>0</v>
      </c>
      <c r="AS150" s="452">
        <v>0</v>
      </c>
      <c r="AT150" s="452">
        <v>0</v>
      </c>
      <c r="AU150" s="409">
        <v>0</v>
      </c>
      <c r="AV150" s="409">
        <v>0</v>
      </c>
      <c r="AW150" s="409">
        <v>0</v>
      </c>
      <c r="AX150" s="409">
        <v>0</v>
      </c>
      <c r="AY150" s="409">
        <v>0</v>
      </c>
      <c r="AZ150" s="453">
        <f t="shared" si="59"/>
        <v>0</v>
      </c>
      <c r="BA150" s="452">
        <v>0</v>
      </c>
      <c r="BB150" s="452">
        <v>0</v>
      </c>
      <c r="BC150" s="452">
        <v>0</v>
      </c>
      <c r="BD150" s="452">
        <v>0</v>
      </c>
      <c r="BE150" s="452">
        <v>0</v>
      </c>
      <c r="BF150" s="452">
        <v>0</v>
      </c>
      <c r="BG150" s="452">
        <v>0</v>
      </c>
      <c r="BH150" s="409">
        <v>0</v>
      </c>
      <c r="BI150" s="409">
        <v>0</v>
      </c>
      <c r="BJ150" s="409">
        <v>0</v>
      </c>
      <c r="BK150" s="409">
        <v>0</v>
      </c>
      <c r="BL150" s="409">
        <v>0</v>
      </c>
      <c r="BM150" s="453">
        <f t="shared" si="60"/>
        <v>0</v>
      </c>
      <c r="BN150" s="452">
        <v>0</v>
      </c>
      <c r="BO150" s="452">
        <v>0</v>
      </c>
      <c r="BP150" s="452">
        <v>0</v>
      </c>
      <c r="BQ150" s="452">
        <v>0</v>
      </c>
      <c r="BR150" s="452">
        <v>0</v>
      </c>
      <c r="BS150" s="452">
        <v>0</v>
      </c>
      <c r="BT150" s="452">
        <v>0</v>
      </c>
      <c r="BU150" s="409">
        <v>0</v>
      </c>
      <c r="BV150" s="409">
        <v>0</v>
      </c>
      <c r="BW150" s="409">
        <v>0</v>
      </c>
      <c r="BX150" s="409">
        <v>0</v>
      </c>
      <c r="BY150" s="409">
        <v>0</v>
      </c>
      <c r="BZ150" s="453">
        <f t="shared" si="61"/>
        <v>0</v>
      </c>
      <c r="CA150" s="454">
        <f t="shared" si="62"/>
        <v>27.390999999999998</v>
      </c>
      <c r="CB150" s="419"/>
      <c r="CC150" s="419">
        <v>1</v>
      </c>
      <c r="CD150" s="419">
        <v>1</v>
      </c>
      <c r="CE150" s="419">
        <v>1</v>
      </c>
      <c r="CF150" s="419">
        <v>1</v>
      </c>
      <c r="CG150" s="420">
        <f>IFERROR((FE150/Z150%),0)</f>
        <v>0</v>
      </c>
      <c r="CH150" s="421">
        <f>IFERROR((FK150/Z150%),0)</f>
        <v>78.4117422326363</v>
      </c>
      <c r="CI150" s="414" t="s">
        <v>1624</v>
      </c>
      <c r="CJ150" s="415">
        <v>0</v>
      </c>
      <c r="CK150" s="415">
        <v>0</v>
      </c>
      <c r="CL150" s="415">
        <v>0</v>
      </c>
      <c r="CM150" s="415">
        <v>0</v>
      </c>
      <c r="CN150" s="415">
        <v>0</v>
      </c>
      <c r="CO150" s="415">
        <v>0</v>
      </c>
      <c r="CP150" s="415">
        <v>0</v>
      </c>
      <c r="CQ150" s="415">
        <v>0</v>
      </c>
      <c r="CR150" s="415">
        <v>1</v>
      </c>
      <c r="CS150" s="415">
        <v>0</v>
      </c>
      <c r="CT150" s="415">
        <v>0</v>
      </c>
      <c r="CU150" s="415">
        <v>0</v>
      </c>
      <c r="CV150" s="410">
        <f t="shared" si="64"/>
        <v>1</v>
      </c>
      <c r="CW150" s="415">
        <v>0</v>
      </c>
      <c r="CX150" s="415">
        <v>0</v>
      </c>
      <c r="CY150" s="415">
        <v>0</v>
      </c>
      <c r="CZ150" s="415">
        <v>0</v>
      </c>
      <c r="DA150" s="415">
        <v>0</v>
      </c>
      <c r="DB150" s="415">
        <v>0</v>
      </c>
      <c r="DC150" s="415">
        <v>0</v>
      </c>
      <c r="DD150" s="415">
        <v>0</v>
      </c>
      <c r="DE150" s="415">
        <v>0</v>
      </c>
      <c r="DF150" s="415">
        <v>0</v>
      </c>
      <c r="DG150" s="415">
        <v>0</v>
      </c>
      <c r="DH150" s="415">
        <v>0</v>
      </c>
      <c r="DI150" s="410">
        <f t="shared" si="65"/>
        <v>0</v>
      </c>
      <c r="DJ150" s="415">
        <v>0</v>
      </c>
      <c r="DK150" s="415">
        <v>0</v>
      </c>
      <c r="DL150" s="415">
        <v>0</v>
      </c>
      <c r="DM150" s="415">
        <v>0</v>
      </c>
      <c r="DN150" s="415">
        <v>0</v>
      </c>
      <c r="DO150" s="415">
        <v>0</v>
      </c>
      <c r="DP150" s="415">
        <v>0</v>
      </c>
      <c r="DQ150" s="415">
        <v>0</v>
      </c>
      <c r="DR150" s="415">
        <v>0</v>
      </c>
      <c r="DS150" s="415">
        <v>0</v>
      </c>
      <c r="DT150" s="415">
        <v>0</v>
      </c>
      <c r="DU150" s="415">
        <v>0</v>
      </c>
      <c r="DV150" s="410">
        <f t="shared" si="66"/>
        <v>0</v>
      </c>
      <c r="DW150" s="415">
        <v>0</v>
      </c>
      <c r="DX150" s="415">
        <v>0</v>
      </c>
      <c r="DY150" s="415">
        <v>0</v>
      </c>
      <c r="DZ150" s="415">
        <v>0</v>
      </c>
      <c r="EA150" s="415">
        <v>0</v>
      </c>
      <c r="EB150" s="415">
        <v>0</v>
      </c>
      <c r="EC150" s="415">
        <v>0</v>
      </c>
      <c r="ED150" s="415">
        <v>0</v>
      </c>
      <c r="EE150" s="415">
        <v>0</v>
      </c>
      <c r="EF150" s="415">
        <v>0</v>
      </c>
      <c r="EG150" s="415">
        <v>0</v>
      </c>
      <c r="EH150" s="415">
        <v>0</v>
      </c>
      <c r="EI150" s="410">
        <f t="shared" si="67"/>
        <v>0</v>
      </c>
      <c r="EJ150" s="415">
        <v>0</v>
      </c>
      <c r="EK150" s="415">
        <v>0</v>
      </c>
      <c r="EL150" s="415">
        <v>0</v>
      </c>
      <c r="EM150" s="415">
        <v>0</v>
      </c>
      <c r="EN150" s="415">
        <v>0</v>
      </c>
      <c r="EO150" s="415">
        <v>0</v>
      </c>
      <c r="EP150" s="415">
        <v>0</v>
      </c>
      <c r="EQ150" s="415">
        <v>0</v>
      </c>
      <c r="ER150" s="415">
        <v>0</v>
      </c>
      <c r="ES150" s="415">
        <v>0</v>
      </c>
      <c r="ET150" s="415">
        <v>0</v>
      </c>
      <c r="EU150" s="415">
        <v>0</v>
      </c>
      <c r="EV150" s="410">
        <f t="shared" si="68"/>
        <v>0</v>
      </c>
      <c r="EW150" s="416">
        <f t="shared" si="69"/>
        <v>1</v>
      </c>
      <c r="EX150" s="417">
        <f>IFERROR(VLOOKUP(H150,CEI_012018!$A$1:$U$509,9,FALSE),0)</f>
        <v>0</v>
      </c>
      <c r="EY150" s="417">
        <f>IFERROR(VLOOKUP(H150,CEI_022018!$A$1:$U$509,9,FALSE),0)</f>
        <v>0</v>
      </c>
      <c r="EZ150" s="417">
        <f>IFERROR(VLOOKUP(H150,CEI_032018!$A$1:$U$509,9,FALSE),0)</f>
        <v>0</v>
      </c>
      <c r="FA150" s="417">
        <f>IFERROR(VLOOKUP(H150,CEI_042018!$A$1:$U$491,9,FALSE),0)</f>
        <v>0</v>
      </c>
      <c r="FB150" s="417">
        <f>IFERROR(VLOOKUP(H150,CEI_052018!$A$1:$U$489,9,FALSE),0)</f>
        <v>0</v>
      </c>
      <c r="FC150" s="417">
        <f>IFERROR(VLOOKUP(H150,CEI_062018!$A$1:$U$489,9,FALSE),0)</f>
        <v>0</v>
      </c>
      <c r="FD150" s="417">
        <f>IFERROR(VLOOKUP(H150,CEI_072018!$A$1:$U$489,9,FALSE),0)</f>
        <v>0</v>
      </c>
      <c r="FE150" s="417">
        <f>IFERROR(VLOOKUP(H150,CEI_082018!$A$1:$U$489,9,FALSE),0)</f>
        <v>0</v>
      </c>
      <c r="FF150" s="417">
        <f>IFERROR(VLOOKUP(H150,CEI_092018!$A$1:$U$489,9,FALSE),0)</f>
        <v>0</v>
      </c>
      <c r="FG150" s="417"/>
      <c r="FH150" s="417"/>
      <c r="FI150" s="417"/>
      <c r="FJ150" s="418">
        <f>IFERROR(VLOOKUP(H150,CEI_092018!$A$1:$U$489,12,FALSE),0)</f>
        <v>21.477760314941406</v>
      </c>
      <c r="FK150" s="418">
        <f t="shared" si="56"/>
        <v>21.477760314941406</v>
      </c>
      <c r="FL150" s="418">
        <f t="shared" si="57"/>
        <v>5.913239685058592</v>
      </c>
      <c r="FM150" s="417"/>
      <c r="FN150" s="417"/>
      <c r="FO150" s="417"/>
      <c r="FP150" s="417"/>
      <c r="FQ150" s="417"/>
      <c r="FR150" s="417"/>
      <c r="FS150" s="417"/>
      <c r="FT150" s="417"/>
      <c r="FU150" s="417"/>
      <c r="FV150" s="417"/>
      <c r="FW150" s="417"/>
      <c r="FX150" s="417"/>
      <c r="FY150" s="418"/>
      <c r="FZ150" s="418"/>
      <c r="GA150" s="418"/>
      <c r="GB150" s="417"/>
      <c r="GC150" s="417"/>
      <c r="GD150" s="417"/>
      <c r="GE150" s="417"/>
      <c r="GF150" s="417"/>
      <c r="GG150" s="417"/>
      <c r="GH150" s="417"/>
      <c r="GI150" s="417"/>
      <c r="GJ150" s="417"/>
      <c r="GK150" s="417"/>
      <c r="GL150" s="417"/>
      <c r="GM150" s="417"/>
      <c r="GN150" s="418"/>
      <c r="GO150" s="418"/>
      <c r="GP150" s="418"/>
      <c r="GQ150" s="417"/>
      <c r="GR150" s="417"/>
      <c r="GS150" s="417"/>
      <c r="GT150" s="417"/>
      <c r="GU150" s="417"/>
      <c r="GV150" s="417"/>
      <c r="GW150" s="417"/>
      <c r="GX150" s="417"/>
      <c r="GY150" s="417"/>
      <c r="GZ150" s="417"/>
      <c r="HA150" s="417"/>
      <c r="HB150" s="417"/>
      <c r="HC150" s="418"/>
      <c r="HD150" s="418"/>
      <c r="HE150" s="418"/>
      <c r="HF150" s="417"/>
      <c r="HG150" s="417"/>
      <c r="HH150" s="417"/>
      <c r="HI150" s="417"/>
      <c r="HJ150" s="417"/>
      <c r="HK150" s="417"/>
      <c r="HL150" s="417"/>
      <c r="HM150" s="417"/>
      <c r="HN150" s="417"/>
      <c r="HO150" s="417"/>
      <c r="HP150" s="417"/>
      <c r="HQ150" s="417"/>
      <c r="HR150" s="418"/>
      <c r="HS150" s="418"/>
      <c r="HT150" s="418"/>
    </row>
    <row r="151" spans="1:228" s="387" customFormat="1" ht="12.75" customHeight="1" x14ac:dyDescent="0.2">
      <c r="A151" s="406" t="s">
        <v>52</v>
      </c>
      <c r="B151" s="407" t="s">
        <v>30</v>
      </c>
      <c r="C151" s="406" t="s">
        <v>999</v>
      </c>
      <c r="D151" s="407" t="s">
        <v>1075</v>
      </c>
      <c r="E151" s="407" t="s">
        <v>999</v>
      </c>
      <c r="F151" s="407" t="s">
        <v>1003</v>
      </c>
      <c r="G151" s="406" t="s">
        <v>54</v>
      </c>
      <c r="H151" s="408" t="s">
        <v>1705</v>
      </c>
      <c r="I151" s="408" t="s">
        <v>1707</v>
      </c>
      <c r="J151" s="406" t="s">
        <v>1634</v>
      </c>
      <c r="K151" s="406" t="s">
        <v>376</v>
      </c>
      <c r="L151" s="406" t="s">
        <v>57</v>
      </c>
      <c r="M151" s="406" t="s">
        <v>1776</v>
      </c>
      <c r="N151" s="452">
        <v>0</v>
      </c>
      <c r="O151" s="452">
        <v>0</v>
      </c>
      <c r="P151" s="452">
        <v>0</v>
      </c>
      <c r="Q151" s="452">
        <v>0</v>
      </c>
      <c r="R151" s="452">
        <v>0</v>
      </c>
      <c r="S151" s="452">
        <v>0</v>
      </c>
      <c r="T151" s="452">
        <v>0</v>
      </c>
      <c r="U151" s="409">
        <v>0</v>
      </c>
      <c r="V151" s="409">
        <v>22</v>
      </c>
      <c r="W151" s="409">
        <v>0</v>
      </c>
      <c r="X151" s="409">
        <v>0</v>
      </c>
      <c r="Y151" s="409"/>
      <c r="Z151" s="453">
        <f t="shared" si="63"/>
        <v>22</v>
      </c>
      <c r="AA151" s="452">
        <v>0</v>
      </c>
      <c r="AB151" s="452">
        <v>0</v>
      </c>
      <c r="AC151" s="452">
        <v>0</v>
      </c>
      <c r="AD151" s="452">
        <v>0</v>
      </c>
      <c r="AE151" s="452">
        <v>0</v>
      </c>
      <c r="AF151" s="452">
        <v>0</v>
      </c>
      <c r="AG151" s="452">
        <v>0</v>
      </c>
      <c r="AH151" s="409">
        <v>22</v>
      </c>
      <c r="AI151" s="409">
        <v>0</v>
      </c>
      <c r="AJ151" s="409">
        <v>0</v>
      </c>
      <c r="AK151" s="409">
        <v>0</v>
      </c>
      <c r="AL151" s="409">
        <v>0</v>
      </c>
      <c r="AM151" s="453">
        <f t="shared" si="58"/>
        <v>22</v>
      </c>
      <c r="AN151" s="452">
        <v>0</v>
      </c>
      <c r="AO151" s="452">
        <v>0</v>
      </c>
      <c r="AP151" s="452">
        <v>0</v>
      </c>
      <c r="AQ151" s="452">
        <v>0</v>
      </c>
      <c r="AR151" s="452">
        <v>0</v>
      </c>
      <c r="AS151" s="452">
        <v>0</v>
      </c>
      <c r="AT151" s="452">
        <v>0</v>
      </c>
      <c r="AU151" s="409">
        <v>22</v>
      </c>
      <c r="AV151" s="409">
        <v>0</v>
      </c>
      <c r="AW151" s="409">
        <v>0</v>
      </c>
      <c r="AX151" s="409">
        <v>0</v>
      </c>
      <c r="AY151" s="409">
        <v>0</v>
      </c>
      <c r="AZ151" s="453">
        <f t="shared" si="59"/>
        <v>22</v>
      </c>
      <c r="BA151" s="452">
        <v>0</v>
      </c>
      <c r="BB151" s="452">
        <v>0</v>
      </c>
      <c r="BC151" s="452">
        <v>0</v>
      </c>
      <c r="BD151" s="452">
        <v>0</v>
      </c>
      <c r="BE151" s="452">
        <v>0</v>
      </c>
      <c r="BF151" s="452">
        <v>0</v>
      </c>
      <c r="BG151" s="452">
        <v>0</v>
      </c>
      <c r="BH151" s="409">
        <v>716.5</v>
      </c>
      <c r="BI151" s="409">
        <v>0</v>
      </c>
      <c r="BJ151" s="409">
        <v>0</v>
      </c>
      <c r="BK151" s="409">
        <v>0</v>
      </c>
      <c r="BL151" s="409">
        <v>0</v>
      </c>
      <c r="BM151" s="453">
        <f t="shared" si="60"/>
        <v>716.5</v>
      </c>
      <c r="BN151" s="452">
        <v>0</v>
      </c>
      <c r="BO151" s="452">
        <v>0</v>
      </c>
      <c r="BP151" s="452">
        <v>0</v>
      </c>
      <c r="BQ151" s="452">
        <v>0</v>
      </c>
      <c r="BR151" s="452">
        <v>0</v>
      </c>
      <c r="BS151" s="452">
        <v>0</v>
      </c>
      <c r="BT151" s="452">
        <v>0</v>
      </c>
      <c r="BU151" s="409">
        <v>716.5</v>
      </c>
      <c r="BV151" s="409">
        <v>0</v>
      </c>
      <c r="BW151" s="409">
        <v>0</v>
      </c>
      <c r="BX151" s="409">
        <v>0</v>
      </c>
      <c r="BY151" s="409">
        <v>0</v>
      </c>
      <c r="BZ151" s="453">
        <f t="shared" si="61"/>
        <v>716.5</v>
      </c>
      <c r="CA151" s="454">
        <f t="shared" si="62"/>
        <v>1499</v>
      </c>
      <c r="CB151" s="419"/>
      <c r="CC151" s="419">
        <v>1</v>
      </c>
      <c r="CD151" s="419">
        <v>1</v>
      </c>
      <c r="CE151" s="419">
        <v>1</v>
      </c>
      <c r="CF151" s="419">
        <v>-1</v>
      </c>
      <c r="CG151" s="420">
        <f>IFERROR((FE151/Z151%),0)</f>
        <v>0</v>
      </c>
      <c r="CH151" s="421">
        <f>IFERROR((FK151/Z151%),0)</f>
        <v>99.372274225408376</v>
      </c>
      <c r="CI151" s="414" t="s">
        <v>1623</v>
      </c>
      <c r="CJ151" s="415">
        <v>0</v>
      </c>
      <c r="CK151" s="415">
        <v>0</v>
      </c>
      <c r="CL151" s="415">
        <v>0</v>
      </c>
      <c r="CM151" s="415">
        <v>0</v>
      </c>
      <c r="CN151" s="415">
        <v>0</v>
      </c>
      <c r="CO151" s="415">
        <v>0</v>
      </c>
      <c r="CP151" s="415">
        <v>0</v>
      </c>
      <c r="CQ151" s="415">
        <v>1</v>
      </c>
      <c r="CR151" s="415">
        <v>0</v>
      </c>
      <c r="CS151" s="415">
        <v>0</v>
      </c>
      <c r="CT151" s="415">
        <v>0</v>
      </c>
      <c r="CU151" s="415">
        <v>0</v>
      </c>
      <c r="CV151" s="410">
        <f t="shared" si="64"/>
        <v>1</v>
      </c>
      <c r="CW151" s="415">
        <v>0</v>
      </c>
      <c r="CX151" s="415">
        <v>0</v>
      </c>
      <c r="CY151" s="415">
        <v>0</v>
      </c>
      <c r="CZ151" s="415">
        <v>0</v>
      </c>
      <c r="DA151" s="415">
        <v>0</v>
      </c>
      <c r="DB151" s="415">
        <v>0</v>
      </c>
      <c r="DC151" s="415">
        <v>0</v>
      </c>
      <c r="DD151" s="415">
        <v>1</v>
      </c>
      <c r="DE151" s="415">
        <v>0</v>
      </c>
      <c r="DF151" s="415">
        <v>0</v>
      </c>
      <c r="DG151" s="415">
        <v>0</v>
      </c>
      <c r="DH151" s="415">
        <v>0</v>
      </c>
      <c r="DI151" s="410">
        <f t="shared" si="65"/>
        <v>1</v>
      </c>
      <c r="DJ151" s="415">
        <v>0</v>
      </c>
      <c r="DK151" s="415">
        <v>0</v>
      </c>
      <c r="DL151" s="415">
        <v>0</v>
      </c>
      <c r="DM151" s="415">
        <v>0</v>
      </c>
      <c r="DN151" s="415">
        <v>0</v>
      </c>
      <c r="DO151" s="415">
        <v>0</v>
      </c>
      <c r="DP151" s="415">
        <v>0</v>
      </c>
      <c r="DQ151" s="415">
        <v>1</v>
      </c>
      <c r="DR151" s="415">
        <v>0</v>
      </c>
      <c r="DS151" s="415">
        <v>0</v>
      </c>
      <c r="DT151" s="415">
        <v>0</v>
      </c>
      <c r="DU151" s="415">
        <v>0</v>
      </c>
      <c r="DV151" s="410">
        <f t="shared" si="66"/>
        <v>1</v>
      </c>
      <c r="DW151" s="415">
        <v>0</v>
      </c>
      <c r="DX151" s="415">
        <v>0</v>
      </c>
      <c r="DY151" s="415">
        <v>0</v>
      </c>
      <c r="DZ151" s="415">
        <v>0</v>
      </c>
      <c r="EA151" s="415">
        <v>0</v>
      </c>
      <c r="EB151" s="415">
        <v>0</v>
      </c>
      <c r="EC151" s="415">
        <v>0</v>
      </c>
      <c r="ED151" s="415">
        <v>1</v>
      </c>
      <c r="EE151" s="415">
        <v>0</v>
      </c>
      <c r="EF151" s="415">
        <v>0</v>
      </c>
      <c r="EG151" s="415">
        <v>0</v>
      </c>
      <c r="EH151" s="415">
        <v>0</v>
      </c>
      <c r="EI151" s="410">
        <f t="shared" si="67"/>
        <v>1</v>
      </c>
      <c r="EJ151" s="415">
        <v>0</v>
      </c>
      <c r="EK151" s="415">
        <v>0</v>
      </c>
      <c r="EL151" s="415">
        <v>0</v>
      </c>
      <c r="EM151" s="415">
        <v>0</v>
      </c>
      <c r="EN151" s="415">
        <v>0</v>
      </c>
      <c r="EO151" s="415">
        <v>0</v>
      </c>
      <c r="EP151" s="415">
        <v>0</v>
      </c>
      <c r="EQ151" s="415">
        <v>1</v>
      </c>
      <c r="ER151" s="415">
        <v>0</v>
      </c>
      <c r="ES151" s="415">
        <v>0</v>
      </c>
      <c r="ET151" s="415">
        <v>0</v>
      </c>
      <c r="EU151" s="415">
        <v>0</v>
      </c>
      <c r="EV151" s="410">
        <f t="shared" si="68"/>
        <v>1</v>
      </c>
      <c r="EW151" s="416">
        <f t="shared" si="69"/>
        <v>5</v>
      </c>
      <c r="EX151" s="417">
        <f>IFERROR(VLOOKUP(H151,CEI_012018!$A$1:$U$509,9,FALSE),0)</f>
        <v>0</v>
      </c>
      <c r="EY151" s="417">
        <f>IFERROR(VLOOKUP(H151,CEI_022018!$A$1:$U$509,9,FALSE),0)</f>
        <v>0</v>
      </c>
      <c r="EZ151" s="417">
        <f>IFERROR(VLOOKUP(H151,CEI_032018!$A$1:$U$509,9,FALSE),0)</f>
        <v>0</v>
      </c>
      <c r="FA151" s="417">
        <f>IFERROR(VLOOKUP(H151,CEI_042018!$A$1:$U$491,9,FALSE),0)</f>
        <v>0</v>
      </c>
      <c r="FB151" s="417">
        <f>IFERROR(VLOOKUP(H151,CEI_052018!$A$1:$U$489,9,FALSE),0)</f>
        <v>0</v>
      </c>
      <c r="FC151" s="417">
        <f>IFERROR(VLOOKUP(H151,CEI_062018!$A$1:$U$489,9,FALSE),0)</f>
        <v>0</v>
      </c>
      <c r="FD151" s="417">
        <f>IFERROR(VLOOKUP(H151,CEI_072018!$A$1:$U$489,9,FALSE),0)</f>
        <v>0</v>
      </c>
      <c r="FE151" s="417">
        <f>IFERROR(VLOOKUP(H151,CEI_082018!$A$1:$U$489,9,FALSE),0)</f>
        <v>0</v>
      </c>
      <c r="FF151" s="417">
        <f>IFERROR(VLOOKUP(H151,CEI_092018!$A$1:$U$489,9,FALSE),0)</f>
        <v>0</v>
      </c>
      <c r="FG151" s="417"/>
      <c r="FH151" s="417"/>
      <c r="FI151" s="417"/>
      <c r="FJ151" s="418">
        <f>IFERROR(VLOOKUP(H151,CEI_092018!$A$1:$U$489,12,FALSE),0)</f>
        <v>21.861900329589844</v>
      </c>
      <c r="FK151" s="418">
        <f t="shared" si="56"/>
        <v>21.861900329589844</v>
      </c>
      <c r="FL151" s="418">
        <f t="shared" si="57"/>
        <v>0.13809967041015625</v>
      </c>
      <c r="FM151" s="417"/>
      <c r="FN151" s="417"/>
      <c r="FO151" s="417"/>
      <c r="FP151" s="417"/>
      <c r="FQ151" s="417"/>
      <c r="FR151" s="417"/>
      <c r="FS151" s="417"/>
      <c r="FT151" s="417"/>
      <c r="FU151" s="417"/>
      <c r="FV151" s="417"/>
      <c r="FW151" s="417"/>
      <c r="FX151" s="417"/>
      <c r="FY151" s="418"/>
      <c r="FZ151" s="418"/>
      <c r="GA151" s="418"/>
      <c r="GB151" s="417"/>
      <c r="GC151" s="417"/>
      <c r="GD151" s="417"/>
      <c r="GE151" s="417"/>
      <c r="GF151" s="417"/>
      <c r="GG151" s="417"/>
      <c r="GH151" s="417"/>
      <c r="GI151" s="417"/>
      <c r="GJ151" s="417"/>
      <c r="GK151" s="417"/>
      <c r="GL151" s="417"/>
      <c r="GM151" s="417"/>
      <c r="GN151" s="418"/>
      <c r="GO151" s="418"/>
      <c r="GP151" s="418"/>
      <c r="GQ151" s="417"/>
      <c r="GR151" s="417"/>
      <c r="GS151" s="417"/>
      <c r="GT151" s="417"/>
      <c r="GU151" s="417"/>
      <c r="GV151" s="417"/>
      <c r="GW151" s="417"/>
      <c r="GX151" s="417"/>
      <c r="GY151" s="417"/>
      <c r="GZ151" s="417"/>
      <c r="HA151" s="417"/>
      <c r="HB151" s="417"/>
      <c r="HC151" s="418"/>
      <c r="HD151" s="418"/>
      <c r="HE151" s="418"/>
      <c r="HF151" s="417"/>
      <c r="HG151" s="417"/>
      <c r="HH151" s="417"/>
      <c r="HI151" s="417"/>
      <c r="HJ151" s="417"/>
      <c r="HK151" s="417"/>
      <c r="HL151" s="417"/>
      <c r="HM151" s="417"/>
      <c r="HN151" s="417"/>
      <c r="HO151" s="417"/>
      <c r="HP151" s="417"/>
      <c r="HQ151" s="417"/>
      <c r="HR151" s="418"/>
      <c r="HS151" s="418"/>
      <c r="HT151" s="418"/>
    </row>
    <row r="152" spans="1:228" s="387" customFormat="1" ht="12.75" customHeight="1" x14ac:dyDescent="0.2">
      <c r="A152" s="406" t="s">
        <v>52</v>
      </c>
      <c r="B152" s="407" t="s">
        <v>30</v>
      </c>
      <c r="C152" s="406" t="s">
        <v>999</v>
      </c>
      <c r="D152" s="407" t="s">
        <v>1003</v>
      </c>
      <c r="E152" s="407" t="s">
        <v>165</v>
      </c>
      <c r="F152" s="407" t="s">
        <v>1749</v>
      </c>
      <c r="G152" s="406" t="s">
        <v>63</v>
      </c>
      <c r="H152" s="408" t="s">
        <v>520</v>
      </c>
      <c r="I152" s="408" t="s">
        <v>57</v>
      </c>
      <c r="J152" s="406" t="s">
        <v>187</v>
      </c>
      <c r="K152" s="406" t="s">
        <v>188</v>
      </c>
      <c r="L152" s="406" t="s">
        <v>189</v>
      </c>
      <c r="M152" s="406" t="s">
        <v>57</v>
      </c>
      <c r="N152" s="452">
        <v>0</v>
      </c>
      <c r="O152" s="452">
        <v>0</v>
      </c>
      <c r="P152" s="452">
        <v>0</v>
      </c>
      <c r="Q152" s="452">
        <v>0</v>
      </c>
      <c r="R152" s="452">
        <v>0</v>
      </c>
      <c r="S152" s="452">
        <v>0</v>
      </c>
      <c r="T152" s="452">
        <v>0</v>
      </c>
      <c r="U152" s="409">
        <v>0</v>
      </c>
      <c r="V152" s="409">
        <v>0</v>
      </c>
      <c r="W152" s="409">
        <v>0</v>
      </c>
      <c r="X152" s="409">
        <v>0</v>
      </c>
      <c r="Y152" s="409">
        <v>0</v>
      </c>
      <c r="Z152" s="453">
        <f t="shared" si="63"/>
        <v>0</v>
      </c>
      <c r="AA152" s="452">
        <v>0</v>
      </c>
      <c r="AB152" s="452">
        <v>0</v>
      </c>
      <c r="AC152" s="452">
        <v>0</v>
      </c>
      <c r="AD152" s="452">
        <v>0</v>
      </c>
      <c r="AE152" s="452">
        <v>0</v>
      </c>
      <c r="AF152" s="452">
        <v>0</v>
      </c>
      <c r="AG152" s="452">
        <v>0</v>
      </c>
      <c r="AH152" s="409">
        <v>0</v>
      </c>
      <c r="AI152" s="409">
        <v>0</v>
      </c>
      <c r="AJ152" s="409">
        <v>0</v>
      </c>
      <c r="AK152" s="409">
        <v>0</v>
      </c>
      <c r="AL152" s="409">
        <v>0</v>
      </c>
      <c r="AM152" s="453">
        <f t="shared" si="58"/>
        <v>0</v>
      </c>
      <c r="AN152" s="452">
        <v>0</v>
      </c>
      <c r="AO152" s="452">
        <v>0</v>
      </c>
      <c r="AP152" s="452">
        <v>0</v>
      </c>
      <c r="AQ152" s="452">
        <v>0</v>
      </c>
      <c r="AR152" s="452">
        <v>0</v>
      </c>
      <c r="AS152" s="452">
        <v>35</v>
      </c>
      <c r="AT152" s="452">
        <v>0</v>
      </c>
      <c r="AU152" s="409">
        <v>0</v>
      </c>
      <c r="AV152" s="409">
        <v>0</v>
      </c>
      <c r="AW152" s="409">
        <v>0</v>
      </c>
      <c r="AX152" s="409">
        <v>0</v>
      </c>
      <c r="AY152" s="409">
        <v>0</v>
      </c>
      <c r="AZ152" s="453">
        <f t="shared" si="59"/>
        <v>35</v>
      </c>
      <c r="BA152" s="452">
        <v>0</v>
      </c>
      <c r="BB152" s="452">
        <v>0</v>
      </c>
      <c r="BC152" s="452">
        <v>0</v>
      </c>
      <c r="BD152" s="452">
        <v>0</v>
      </c>
      <c r="BE152" s="452">
        <v>0</v>
      </c>
      <c r="BF152" s="452">
        <v>0</v>
      </c>
      <c r="BG152" s="452">
        <v>0</v>
      </c>
      <c r="BH152" s="409">
        <v>0</v>
      </c>
      <c r="BI152" s="409">
        <v>0</v>
      </c>
      <c r="BJ152" s="409">
        <v>0</v>
      </c>
      <c r="BK152" s="409">
        <v>0</v>
      </c>
      <c r="BL152" s="409">
        <v>0</v>
      </c>
      <c r="BM152" s="453">
        <f t="shared" si="60"/>
        <v>0</v>
      </c>
      <c r="BN152" s="452">
        <v>0</v>
      </c>
      <c r="BO152" s="452">
        <v>0</v>
      </c>
      <c r="BP152" s="452">
        <v>0</v>
      </c>
      <c r="BQ152" s="452">
        <v>0</v>
      </c>
      <c r="BR152" s="452">
        <v>0</v>
      </c>
      <c r="BS152" s="452">
        <v>0</v>
      </c>
      <c r="BT152" s="452">
        <v>0</v>
      </c>
      <c r="BU152" s="409">
        <v>0</v>
      </c>
      <c r="BV152" s="409">
        <v>0</v>
      </c>
      <c r="BW152" s="409">
        <v>0</v>
      </c>
      <c r="BX152" s="409">
        <v>0</v>
      </c>
      <c r="BY152" s="409">
        <v>0</v>
      </c>
      <c r="BZ152" s="453">
        <f t="shared" si="61"/>
        <v>0</v>
      </c>
      <c r="CA152" s="454">
        <f t="shared" si="62"/>
        <v>35</v>
      </c>
      <c r="CB152" s="411"/>
      <c r="CC152" s="411"/>
      <c r="CD152" s="411"/>
      <c r="CE152" s="411"/>
      <c r="CF152" s="411"/>
      <c r="CG152" s="412"/>
      <c r="CH152" s="413"/>
      <c r="CI152" s="414" t="s">
        <v>1624</v>
      </c>
      <c r="CJ152" s="415">
        <v>0</v>
      </c>
      <c r="CK152" s="415">
        <v>0</v>
      </c>
      <c r="CL152" s="415">
        <v>0</v>
      </c>
      <c r="CM152" s="415">
        <v>0</v>
      </c>
      <c r="CN152" s="415">
        <v>0</v>
      </c>
      <c r="CO152" s="415">
        <v>0</v>
      </c>
      <c r="CP152" s="415">
        <v>0</v>
      </c>
      <c r="CQ152" s="415">
        <v>0</v>
      </c>
      <c r="CR152" s="415">
        <v>0</v>
      </c>
      <c r="CS152" s="415">
        <v>0</v>
      </c>
      <c r="CT152" s="415">
        <v>0</v>
      </c>
      <c r="CU152" s="415">
        <v>0</v>
      </c>
      <c r="CV152" s="410">
        <f t="shared" si="64"/>
        <v>0</v>
      </c>
      <c r="CW152" s="415">
        <v>0</v>
      </c>
      <c r="CX152" s="415">
        <v>0</v>
      </c>
      <c r="CY152" s="415">
        <v>0</v>
      </c>
      <c r="CZ152" s="415">
        <v>0</v>
      </c>
      <c r="DA152" s="415">
        <v>0</v>
      </c>
      <c r="DB152" s="415">
        <v>0</v>
      </c>
      <c r="DC152" s="415">
        <v>0</v>
      </c>
      <c r="DD152" s="415">
        <v>0</v>
      </c>
      <c r="DE152" s="415">
        <v>0</v>
      </c>
      <c r="DF152" s="415">
        <v>0</v>
      </c>
      <c r="DG152" s="415">
        <v>0</v>
      </c>
      <c r="DH152" s="415">
        <v>0</v>
      </c>
      <c r="DI152" s="410">
        <f t="shared" si="65"/>
        <v>0</v>
      </c>
      <c r="DJ152" s="415">
        <v>0</v>
      </c>
      <c r="DK152" s="415">
        <v>0</v>
      </c>
      <c r="DL152" s="415">
        <v>0</v>
      </c>
      <c r="DM152" s="415">
        <v>0</v>
      </c>
      <c r="DN152" s="415">
        <v>0</v>
      </c>
      <c r="DO152" s="415">
        <v>1</v>
      </c>
      <c r="DP152" s="415">
        <v>0</v>
      </c>
      <c r="DQ152" s="415">
        <v>0</v>
      </c>
      <c r="DR152" s="415">
        <v>0</v>
      </c>
      <c r="DS152" s="415">
        <v>0</v>
      </c>
      <c r="DT152" s="415">
        <v>0</v>
      </c>
      <c r="DU152" s="415">
        <v>0</v>
      </c>
      <c r="DV152" s="410">
        <f t="shared" si="66"/>
        <v>1</v>
      </c>
      <c r="DW152" s="415">
        <v>0</v>
      </c>
      <c r="DX152" s="415">
        <v>0</v>
      </c>
      <c r="DY152" s="415">
        <v>0</v>
      </c>
      <c r="DZ152" s="415">
        <v>0</v>
      </c>
      <c r="EA152" s="415">
        <v>0</v>
      </c>
      <c r="EB152" s="415">
        <v>0</v>
      </c>
      <c r="EC152" s="415">
        <v>0</v>
      </c>
      <c r="ED152" s="415">
        <v>0</v>
      </c>
      <c r="EE152" s="415">
        <v>0</v>
      </c>
      <c r="EF152" s="415">
        <v>0</v>
      </c>
      <c r="EG152" s="415">
        <v>0</v>
      </c>
      <c r="EH152" s="415">
        <v>0</v>
      </c>
      <c r="EI152" s="410">
        <f t="shared" si="67"/>
        <v>0</v>
      </c>
      <c r="EJ152" s="415">
        <v>0</v>
      </c>
      <c r="EK152" s="415">
        <v>0</v>
      </c>
      <c r="EL152" s="415">
        <v>0</v>
      </c>
      <c r="EM152" s="415">
        <v>0</v>
      </c>
      <c r="EN152" s="415">
        <v>0</v>
      </c>
      <c r="EO152" s="415">
        <v>0</v>
      </c>
      <c r="EP152" s="415">
        <v>0</v>
      </c>
      <c r="EQ152" s="415">
        <v>0</v>
      </c>
      <c r="ER152" s="415">
        <v>0</v>
      </c>
      <c r="ES152" s="415">
        <v>0</v>
      </c>
      <c r="ET152" s="415">
        <v>0</v>
      </c>
      <c r="EU152" s="415">
        <v>0</v>
      </c>
      <c r="EV152" s="410">
        <f t="shared" si="68"/>
        <v>0</v>
      </c>
      <c r="EW152" s="416">
        <f t="shared" si="69"/>
        <v>1</v>
      </c>
      <c r="EX152" s="417">
        <f>IFERROR(VLOOKUP(H152,CEI_012018!$A$1:$U$509,9,FALSE),0)</f>
        <v>0</v>
      </c>
      <c r="EY152" s="417">
        <f>IFERROR(VLOOKUP(H152,CEI_022018!$A$1:$U$509,9,FALSE),0)</f>
        <v>0</v>
      </c>
      <c r="EZ152" s="417">
        <f>IFERROR(VLOOKUP(H152,CEI_032018!$A$1:$U$509,9,FALSE),0)</f>
        <v>0</v>
      </c>
      <c r="FA152" s="417">
        <f>IFERROR(VLOOKUP(H152,CEI_042018!$A$1:$U$491,9,FALSE),0)</f>
        <v>0</v>
      </c>
      <c r="FB152" s="417">
        <f>IFERROR(VLOOKUP(H152,CEI_052018!$A$1:$U$489,9,FALSE),0)</f>
        <v>0</v>
      </c>
      <c r="FC152" s="417">
        <f>IFERROR(VLOOKUP(H152,CEI_062018!$A$1:$U$489,9,FALSE),0)</f>
        <v>0</v>
      </c>
      <c r="FD152" s="417">
        <f>IFERROR(VLOOKUP(H152,CEI_072018!$A$1:$U$489,9,FALSE),0)</f>
        <v>0</v>
      </c>
      <c r="FE152" s="417">
        <f>IFERROR(VLOOKUP(H152,CEI_082018!$A$1:$U$489,9,FALSE),0)</f>
        <v>0</v>
      </c>
      <c r="FF152" s="417">
        <f>IFERROR(VLOOKUP(H152,CEI_092018!$A$1:$U$489,9,FALSE),0)</f>
        <v>0</v>
      </c>
      <c r="FG152" s="417"/>
      <c r="FH152" s="417"/>
      <c r="FI152" s="417"/>
      <c r="FJ152" s="418">
        <f>IFERROR(VLOOKUP(H152,CEI_092018!$A$1:$U$489,12,FALSE),0)</f>
        <v>0</v>
      </c>
      <c r="FK152" s="418">
        <f t="shared" si="56"/>
        <v>0</v>
      </c>
      <c r="FL152" s="418">
        <f t="shared" si="57"/>
        <v>0</v>
      </c>
      <c r="FM152" s="417"/>
      <c r="FN152" s="417"/>
      <c r="FO152" s="417"/>
      <c r="FP152" s="417"/>
      <c r="FQ152" s="417"/>
      <c r="FR152" s="417"/>
      <c r="FS152" s="417"/>
      <c r="FT152" s="417"/>
      <c r="FU152" s="417"/>
      <c r="FV152" s="417"/>
      <c r="FW152" s="417"/>
      <c r="FX152" s="417"/>
      <c r="FY152" s="418"/>
      <c r="FZ152" s="418"/>
      <c r="GA152" s="418"/>
      <c r="GB152" s="417"/>
      <c r="GC152" s="417"/>
      <c r="GD152" s="417"/>
      <c r="GE152" s="417"/>
      <c r="GF152" s="417"/>
      <c r="GG152" s="417"/>
      <c r="GH152" s="417"/>
      <c r="GI152" s="417"/>
      <c r="GJ152" s="417"/>
      <c r="GK152" s="417"/>
      <c r="GL152" s="417"/>
      <c r="GM152" s="417"/>
      <c r="GN152" s="418"/>
      <c r="GO152" s="418"/>
      <c r="GP152" s="418"/>
      <c r="GQ152" s="417"/>
      <c r="GR152" s="417"/>
      <c r="GS152" s="417"/>
      <c r="GT152" s="417"/>
      <c r="GU152" s="417"/>
      <c r="GV152" s="417"/>
      <c r="GW152" s="417"/>
      <c r="GX152" s="417"/>
      <c r="GY152" s="417"/>
      <c r="GZ152" s="417"/>
      <c r="HA152" s="417"/>
      <c r="HB152" s="417"/>
      <c r="HC152" s="418"/>
      <c r="HD152" s="418"/>
      <c r="HE152" s="418"/>
      <c r="HF152" s="417"/>
      <c r="HG152" s="417"/>
      <c r="HH152" s="417"/>
      <c r="HI152" s="417"/>
      <c r="HJ152" s="417"/>
      <c r="HK152" s="417"/>
      <c r="HL152" s="417"/>
      <c r="HM152" s="417"/>
      <c r="HN152" s="417"/>
      <c r="HO152" s="417"/>
      <c r="HP152" s="417"/>
      <c r="HQ152" s="417"/>
      <c r="HR152" s="418"/>
      <c r="HS152" s="418"/>
      <c r="HT152" s="418"/>
    </row>
    <row r="153" spans="1:228" s="387" customFormat="1" ht="12.75" customHeight="1" x14ac:dyDescent="0.2">
      <c r="A153" s="406" t="s">
        <v>61</v>
      </c>
      <c r="B153" s="407" t="s">
        <v>34</v>
      </c>
      <c r="C153" s="406" t="s">
        <v>999</v>
      </c>
      <c r="D153" s="438" t="s">
        <v>1696</v>
      </c>
      <c r="E153" s="407" t="s">
        <v>999</v>
      </c>
      <c r="F153" s="407" t="s">
        <v>1696</v>
      </c>
      <c r="G153" s="406" t="s">
        <v>54</v>
      </c>
      <c r="H153" s="408" t="s">
        <v>520</v>
      </c>
      <c r="I153" s="408"/>
      <c r="J153" s="406" t="s">
        <v>1768</v>
      </c>
      <c r="K153" s="406" t="s">
        <v>1769</v>
      </c>
      <c r="L153" s="406" t="s">
        <v>682</v>
      </c>
      <c r="M153" s="406" t="s">
        <v>57</v>
      </c>
      <c r="N153" s="452">
        <v>0</v>
      </c>
      <c r="O153" s="452">
        <v>0</v>
      </c>
      <c r="P153" s="452">
        <v>0</v>
      </c>
      <c r="Q153" s="452">
        <v>0</v>
      </c>
      <c r="R153" s="452">
        <v>0</v>
      </c>
      <c r="S153" s="452">
        <v>0</v>
      </c>
      <c r="T153" s="452">
        <v>0</v>
      </c>
      <c r="U153" s="409">
        <v>0</v>
      </c>
      <c r="V153" s="409">
        <v>0</v>
      </c>
      <c r="W153" s="409">
        <v>0</v>
      </c>
      <c r="X153" s="409">
        <v>0</v>
      </c>
      <c r="Y153" s="409">
        <v>0</v>
      </c>
      <c r="Z153" s="453">
        <f t="shared" si="63"/>
        <v>0</v>
      </c>
      <c r="AA153" s="452">
        <v>0</v>
      </c>
      <c r="AB153" s="452">
        <v>0</v>
      </c>
      <c r="AC153" s="452">
        <v>0</v>
      </c>
      <c r="AD153" s="452">
        <v>0</v>
      </c>
      <c r="AE153" s="452">
        <v>0</v>
      </c>
      <c r="AF153" s="452">
        <v>0</v>
      </c>
      <c r="AG153" s="452">
        <v>0</v>
      </c>
      <c r="AH153" s="409">
        <v>0</v>
      </c>
      <c r="AI153" s="409">
        <v>124.39999999999999</v>
      </c>
      <c r="AJ153" s="409">
        <v>0</v>
      </c>
      <c r="AK153" s="409">
        <v>0</v>
      </c>
      <c r="AL153" s="409">
        <v>0</v>
      </c>
      <c r="AM153" s="453">
        <f t="shared" si="58"/>
        <v>124.39999999999999</v>
      </c>
      <c r="AN153" s="452">
        <v>0</v>
      </c>
      <c r="AO153" s="452">
        <v>0</v>
      </c>
      <c r="AP153" s="452">
        <v>0</v>
      </c>
      <c r="AQ153" s="452">
        <v>0</v>
      </c>
      <c r="AR153" s="452">
        <v>0</v>
      </c>
      <c r="AS153" s="452">
        <v>0</v>
      </c>
      <c r="AT153" s="452">
        <v>0</v>
      </c>
      <c r="AU153" s="409">
        <v>0</v>
      </c>
      <c r="AV153" s="409">
        <v>0</v>
      </c>
      <c r="AW153" s="409">
        <v>0</v>
      </c>
      <c r="AX153" s="409">
        <v>0</v>
      </c>
      <c r="AY153" s="409">
        <v>0</v>
      </c>
      <c r="AZ153" s="453">
        <f t="shared" si="59"/>
        <v>0</v>
      </c>
      <c r="BA153" s="452">
        <v>0</v>
      </c>
      <c r="BB153" s="452">
        <v>0</v>
      </c>
      <c r="BC153" s="452">
        <v>0</v>
      </c>
      <c r="BD153" s="452">
        <v>0</v>
      </c>
      <c r="BE153" s="452">
        <v>0</v>
      </c>
      <c r="BF153" s="452">
        <v>0</v>
      </c>
      <c r="BG153" s="452">
        <v>0</v>
      </c>
      <c r="BH153" s="409">
        <v>0</v>
      </c>
      <c r="BI153" s="409">
        <v>0</v>
      </c>
      <c r="BJ153" s="409">
        <v>0</v>
      </c>
      <c r="BK153" s="409">
        <v>0</v>
      </c>
      <c r="BL153" s="409">
        <v>0</v>
      </c>
      <c r="BM153" s="453">
        <f t="shared" si="60"/>
        <v>0</v>
      </c>
      <c r="BN153" s="452">
        <v>0</v>
      </c>
      <c r="BO153" s="452">
        <v>0</v>
      </c>
      <c r="BP153" s="452">
        <v>0</v>
      </c>
      <c r="BQ153" s="452">
        <v>0</v>
      </c>
      <c r="BR153" s="452">
        <v>0</v>
      </c>
      <c r="BS153" s="452">
        <v>0</v>
      </c>
      <c r="BT153" s="452">
        <v>0</v>
      </c>
      <c r="BU153" s="409">
        <v>0</v>
      </c>
      <c r="BV153" s="409">
        <v>0</v>
      </c>
      <c r="BW153" s="409">
        <v>0</v>
      </c>
      <c r="BX153" s="409">
        <v>0</v>
      </c>
      <c r="BY153" s="409">
        <v>0</v>
      </c>
      <c r="BZ153" s="453">
        <f t="shared" si="61"/>
        <v>0</v>
      </c>
      <c r="CA153" s="454">
        <f t="shared" si="62"/>
        <v>124.39999999999999</v>
      </c>
      <c r="CB153" s="411"/>
      <c r="CC153" s="411"/>
      <c r="CD153" s="411"/>
      <c r="CE153" s="411"/>
      <c r="CF153" s="411"/>
      <c r="CG153" s="412"/>
      <c r="CH153" s="413"/>
      <c r="CI153" s="414" t="s">
        <v>1603</v>
      </c>
      <c r="CJ153" s="415">
        <v>0</v>
      </c>
      <c r="CK153" s="415">
        <v>0</v>
      </c>
      <c r="CL153" s="415">
        <v>0</v>
      </c>
      <c r="CM153" s="415">
        <v>0</v>
      </c>
      <c r="CN153" s="415">
        <v>0</v>
      </c>
      <c r="CO153" s="415">
        <v>0</v>
      </c>
      <c r="CP153" s="415">
        <v>0</v>
      </c>
      <c r="CQ153" s="415">
        <v>0</v>
      </c>
      <c r="CR153" s="415">
        <v>0</v>
      </c>
      <c r="CS153" s="415">
        <v>0</v>
      </c>
      <c r="CT153" s="415">
        <v>0</v>
      </c>
      <c r="CU153" s="415">
        <v>0</v>
      </c>
      <c r="CV153" s="410">
        <f t="shared" si="64"/>
        <v>0</v>
      </c>
      <c r="CW153" s="415">
        <v>0</v>
      </c>
      <c r="CX153" s="415">
        <v>0</v>
      </c>
      <c r="CY153" s="415">
        <v>0</v>
      </c>
      <c r="CZ153" s="415">
        <v>0</v>
      </c>
      <c r="DA153" s="415">
        <v>0</v>
      </c>
      <c r="DB153" s="415">
        <v>0</v>
      </c>
      <c r="DC153" s="415">
        <v>0</v>
      </c>
      <c r="DD153" s="415">
        <v>0</v>
      </c>
      <c r="DE153" s="415">
        <v>12</v>
      </c>
      <c r="DF153" s="415">
        <v>0</v>
      </c>
      <c r="DG153" s="415">
        <v>0</v>
      </c>
      <c r="DH153" s="415">
        <v>0</v>
      </c>
      <c r="DI153" s="410">
        <f t="shared" si="65"/>
        <v>12</v>
      </c>
      <c r="DJ153" s="415">
        <v>0</v>
      </c>
      <c r="DK153" s="415">
        <v>0</v>
      </c>
      <c r="DL153" s="415">
        <v>0</v>
      </c>
      <c r="DM153" s="415">
        <v>0</v>
      </c>
      <c r="DN153" s="415">
        <v>0</v>
      </c>
      <c r="DO153" s="415">
        <v>0</v>
      </c>
      <c r="DP153" s="415">
        <v>0</v>
      </c>
      <c r="DQ153" s="415">
        <v>0</v>
      </c>
      <c r="DR153" s="415">
        <v>0</v>
      </c>
      <c r="DS153" s="415">
        <v>0</v>
      </c>
      <c r="DT153" s="415">
        <v>0</v>
      </c>
      <c r="DU153" s="415">
        <v>0</v>
      </c>
      <c r="DV153" s="410">
        <f t="shared" si="66"/>
        <v>0</v>
      </c>
      <c r="DW153" s="415">
        <v>0</v>
      </c>
      <c r="DX153" s="415">
        <v>0</v>
      </c>
      <c r="DY153" s="415">
        <v>0</v>
      </c>
      <c r="DZ153" s="415">
        <v>0</v>
      </c>
      <c r="EA153" s="415">
        <v>0</v>
      </c>
      <c r="EB153" s="415">
        <v>0</v>
      </c>
      <c r="EC153" s="415">
        <v>0</v>
      </c>
      <c r="ED153" s="415">
        <v>0</v>
      </c>
      <c r="EE153" s="415">
        <v>0</v>
      </c>
      <c r="EF153" s="415">
        <v>0</v>
      </c>
      <c r="EG153" s="415">
        <v>0</v>
      </c>
      <c r="EH153" s="415">
        <v>0</v>
      </c>
      <c r="EI153" s="410">
        <f t="shared" si="67"/>
        <v>0</v>
      </c>
      <c r="EJ153" s="415">
        <v>0</v>
      </c>
      <c r="EK153" s="415">
        <v>0</v>
      </c>
      <c r="EL153" s="415">
        <v>0</v>
      </c>
      <c r="EM153" s="415">
        <v>0</v>
      </c>
      <c r="EN153" s="415">
        <v>0</v>
      </c>
      <c r="EO153" s="415">
        <v>0</v>
      </c>
      <c r="EP153" s="415">
        <v>0</v>
      </c>
      <c r="EQ153" s="415">
        <v>0</v>
      </c>
      <c r="ER153" s="415">
        <v>0</v>
      </c>
      <c r="ES153" s="415">
        <v>0</v>
      </c>
      <c r="ET153" s="415">
        <v>0</v>
      </c>
      <c r="EU153" s="415">
        <v>0</v>
      </c>
      <c r="EV153" s="410">
        <f t="shared" si="68"/>
        <v>0</v>
      </c>
      <c r="EW153" s="416">
        <f t="shared" si="69"/>
        <v>12</v>
      </c>
      <c r="EX153" s="417">
        <f>IFERROR(VLOOKUP(H153,CEI_012018!$A$1:$U$509,9,FALSE),0)</f>
        <v>0</v>
      </c>
      <c r="EY153" s="417">
        <f>IFERROR(VLOOKUP(H153,CEI_022018!$A$1:$U$509,9,FALSE),0)</f>
        <v>0</v>
      </c>
      <c r="EZ153" s="417">
        <f>IFERROR(VLOOKUP(H153,CEI_032018!$A$1:$U$509,9,FALSE),0)</f>
        <v>0</v>
      </c>
      <c r="FA153" s="417">
        <f>IFERROR(VLOOKUP(H153,CEI_042018!$A$1:$U$491,9,FALSE),0)</f>
        <v>0</v>
      </c>
      <c r="FB153" s="417">
        <f>IFERROR(VLOOKUP(H153,CEI_052018!$A$1:$U$489,9,FALSE),0)</f>
        <v>0</v>
      </c>
      <c r="FC153" s="417">
        <f>IFERROR(VLOOKUP(H153,CEI_062018!$A$1:$U$489,9,FALSE),0)</f>
        <v>0</v>
      </c>
      <c r="FD153" s="417">
        <f>IFERROR(VLOOKUP(H153,CEI_072018!$A$1:$U$489,9,FALSE),0)</f>
        <v>0</v>
      </c>
      <c r="FE153" s="417">
        <f>IFERROR(VLOOKUP(H153,CEI_082018!$A$1:$U$489,9,FALSE),0)</f>
        <v>0</v>
      </c>
      <c r="FF153" s="417">
        <f>IFERROR(VLOOKUP(H153,CEI_092018!$A$1:$U$489,9,FALSE),0)</f>
        <v>0</v>
      </c>
      <c r="FG153" s="417"/>
      <c r="FH153" s="417"/>
      <c r="FI153" s="417"/>
      <c r="FJ153" s="418">
        <f>IFERROR(VLOOKUP(H153,CEI_092018!$A$1:$U$489,12,FALSE),0)</f>
        <v>0</v>
      </c>
      <c r="FK153" s="418">
        <f t="shared" si="56"/>
        <v>0</v>
      </c>
      <c r="FL153" s="418">
        <f t="shared" si="57"/>
        <v>0</v>
      </c>
      <c r="FM153" s="417"/>
      <c r="FN153" s="417"/>
      <c r="FO153" s="417"/>
      <c r="FP153" s="417"/>
      <c r="FQ153" s="417"/>
      <c r="FR153" s="417"/>
      <c r="FS153" s="417"/>
      <c r="FT153" s="417"/>
      <c r="FU153" s="417"/>
      <c r="FV153" s="417"/>
      <c r="FW153" s="417"/>
      <c r="FX153" s="417"/>
      <c r="FY153" s="418"/>
      <c r="FZ153" s="418"/>
      <c r="GA153" s="418"/>
      <c r="GB153" s="417"/>
      <c r="GC153" s="417"/>
      <c r="GD153" s="417"/>
      <c r="GE153" s="417"/>
      <c r="GF153" s="417"/>
      <c r="GG153" s="417"/>
      <c r="GH153" s="417"/>
      <c r="GI153" s="417"/>
      <c r="GJ153" s="417"/>
      <c r="GK153" s="417"/>
      <c r="GL153" s="417"/>
      <c r="GM153" s="417"/>
      <c r="GN153" s="418"/>
      <c r="GO153" s="418"/>
      <c r="GP153" s="418"/>
      <c r="GQ153" s="417"/>
      <c r="GR153" s="417"/>
      <c r="GS153" s="417"/>
      <c r="GT153" s="417"/>
      <c r="GU153" s="417"/>
      <c r="GV153" s="417"/>
      <c r="GW153" s="417"/>
      <c r="GX153" s="417"/>
      <c r="GY153" s="417"/>
      <c r="GZ153" s="417"/>
      <c r="HA153" s="417"/>
      <c r="HB153" s="417"/>
      <c r="HC153" s="418"/>
      <c r="HD153" s="418"/>
      <c r="HE153" s="418"/>
      <c r="HF153" s="417"/>
      <c r="HG153" s="417"/>
      <c r="HH153" s="417"/>
      <c r="HI153" s="417"/>
      <c r="HJ153" s="417"/>
      <c r="HK153" s="417"/>
      <c r="HL153" s="417"/>
      <c r="HM153" s="417"/>
      <c r="HN153" s="417"/>
      <c r="HO153" s="417"/>
      <c r="HP153" s="417"/>
      <c r="HQ153" s="417"/>
      <c r="HR153" s="418"/>
      <c r="HS153" s="418"/>
      <c r="HT153" s="418"/>
    </row>
    <row r="154" spans="1:228" s="387" customFormat="1" ht="12.75" customHeight="1" x14ac:dyDescent="0.2">
      <c r="A154" s="406" t="s">
        <v>61</v>
      </c>
      <c r="B154" s="407" t="s">
        <v>34</v>
      </c>
      <c r="C154" s="406" t="s">
        <v>999</v>
      </c>
      <c r="D154" s="438" t="s">
        <v>1696</v>
      </c>
      <c r="E154" s="407" t="s">
        <v>999</v>
      </c>
      <c r="F154" s="407" t="s">
        <v>1696</v>
      </c>
      <c r="G154" s="406" t="s">
        <v>54</v>
      </c>
      <c r="H154" s="408" t="s">
        <v>1868</v>
      </c>
      <c r="I154" s="408"/>
      <c r="J154" s="406" t="s">
        <v>1695</v>
      </c>
      <c r="K154" s="406"/>
      <c r="L154" s="406"/>
      <c r="M154" s="406" t="s">
        <v>1779</v>
      </c>
      <c r="N154" s="452">
        <v>0</v>
      </c>
      <c r="O154" s="452">
        <v>0</v>
      </c>
      <c r="P154" s="452">
        <v>0</v>
      </c>
      <c r="Q154" s="452">
        <v>0</v>
      </c>
      <c r="R154" s="452">
        <v>0</v>
      </c>
      <c r="S154" s="452">
        <v>0</v>
      </c>
      <c r="T154" s="452">
        <v>0</v>
      </c>
      <c r="U154" s="409">
        <v>0</v>
      </c>
      <c r="V154" s="409">
        <v>0</v>
      </c>
      <c r="W154" s="409">
        <v>0</v>
      </c>
      <c r="X154" s="409">
        <v>0</v>
      </c>
      <c r="Y154" s="409">
        <v>0</v>
      </c>
      <c r="Z154" s="453">
        <f t="shared" si="63"/>
        <v>0</v>
      </c>
      <c r="AA154" s="452">
        <v>40</v>
      </c>
      <c r="AB154" s="452">
        <v>0</v>
      </c>
      <c r="AC154" s="452">
        <v>0</v>
      </c>
      <c r="AD154" s="452">
        <v>0</v>
      </c>
      <c r="AE154" s="452">
        <v>0</v>
      </c>
      <c r="AF154" s="452">
        <v>0</v>
      </c>
      <c r="AG154" s="452">
        <v>0</v>
      </c>
      <c r="AH154" s="409">
        <f>34.1+0.333332495118157</f>
        <v>34.433332495118158</v>
      </c>
      <c r="AI154" s="409">
        <v>0</v>
      </c>
      <c r="AJ154" s="409">
        <v>0</v>
      </c>
      <c r="AK154" s="409">
        <v>0</v>
      </c>
      <c r="AL154" s="409">
        <v>0</v>
      </c>
      <c r="AM154" s="453">
        <f t="shared" si="58"/>
        <v>74.433332495118151</v>
      </c>
      <c r="AN154" s="452">
        <v>0</v>
      </c>
      <c r="AO154" s="452">
        <v>0</v>
      </c>
      <c r="AP154" s="452">
        <v>0</v>
      </c>
      <c r="AQ154" s="452">
        <v>0</v>
      </c>
      <c r="AR154" s="452">
        <v>0</v>
      </c>
      <c r="AS154" s="452">
        <v>0</v>
      </c>
      <c r="AT154" s="452">
        <v>0</v>
      </c>
      <c r="AU154" s="409">
        <v>0</v>
      </c>
      <c r="AV154" s="409">
        <v>0</v>
      </c>
      <c r="AW154" s="409">
        <v>0</v>
      </c>
      <c r="AX154" s="409">
        <v>0</v>
      </c>
      <c r="AY154" s="409">
        <v>0</v>
      </c>
      <c r="AZ154" s="453">
        <f t="shared" si="59"/>
        <v>0</v>
      </c>
      <c r="BA154" s="452">
        <v>0</v>
      </c>
      <c r="BB154" s="452">
        <v>0</v>
      </c>
      <c r="BC154" s="452">
        <v>0</v>
      </c>
      <c r="BD154" s="452">
        <v>0</v>
      </c>
      <c r="BE154" s="452">
        <v>0</v>
      </c>
      <c r="BF154" s="452">
        <v>0</v>
      </c>
      <c r="BG154" s="452">
        <v>0</v>
      </c>
      <c r="BH154" s="409">
        <v>0</v>
      </c>
      <c r="BI154" s="409">
        <v>0</v>
      </c>
      <c r="BJ154" s="409">
        <v>0</v>
      </c>
      <c r="BK154" s="409">
        <v>0</v>
      </c>
      <c r="BL154" s="409">
        <v>0</v>
      </c>
      <c r="BM154" s="453">
        <f t="shared" si="60"/>
        <v>0</v>
      </c>
      <c r="BN154" s="452">
        <v>0</v>
      </c>
      <c r="BO154" s="452">
        <v>0</v>
      </c>
      <c r="BP154" s="452">
        <v>0</v>
      </c>
      <c r="BQ154" s="452">
        <v>0</v>
      </c>
      <c r="BR154" s="452">
        <v>0</v>
      </c>
      <c r="BS154" s="452">
        <v>0</v>
      </c>
      <c r="BT154" s="452">
        <v>0</v>
      </c>
      <c r="BU154" s="409">
        <v>0</v>
      </c>
      <c r="BV154" s="409">
        <v>0</v>
      </c>
      <c r="BW154" s="409">
        <v>0</v>
      </c>
      <c r="BX154" s="409">
        <v>0</v>
      </c>
      <c r="BY154" s="409">
        <v>0</v>
      </c>
      <c r="BZ154" s="453">
        <f t="shared" si="61"/>
        <v>0</v>
      </c>
      <c r="CA154" s="454">
        <f t="shared" si="62"/>
        <v>74.433332495118151</v>
      </c>
      <c r="CB154" s="419"/>
      <c r="CC154" s="419">
        <v>-1</v>
      </c>
      <c r="CD154" s="419">
        <v>-1</v>
      </c>
      <c r="CE154" s="419">
        <v>-1</v>
      </c>
      <c r="CF154" s="419">
        <v>-1</v>
      </c>
      <c r="CG154" s="420">
        <f>IFERROR((FE154/Z154%),0)</f>
        <v>0</v>
      </c>
      <c r="CH154" s="421">
        <f>IFERROR((FK154/Z154%),0)</f>
        <v>0</v>
      </c>
      <c r="CI154" s="414" t="s">
        <v>1603</v>
      </c>
      <c r="CJ154" s="415">
        <v>0</v>
      </c>
      <c r="CK154" s="415">
        <v>0</v>
      </c>
      <c r="CL154" s="415">
        <v>0</v>
      </c>
      <c r="CM154" s="415">
        <v>0</v>
      </c>
      <c r="CN154" s="415">
        <v>0</v>
      </c>
      <c r="CO154" s="415">
        <v>0</v>
      </c>
      <c r="CP154" s="415">
        <v>0</v>
      </c>
      <c r="CQ154" s="415">
        <v>0</v>
      </c>
      <c r="CR154" s="415">
        <v>0</v>
      </c>
      <c r="CS154" s="415">
        <v>0</v>
      </c>
      <c r="CT154" s="415">
        <v>18.974358974358974</v>
      </c>
      <c r="CU154" s="415">
        <v>0</v>
      </c>
      <c r="CV154" s="410">
        <f t="shared" si="64"/>
        <v>18.974358974358974</v>
      </c>
      <c r="CW154" s="415">
        <v>0</v>
      </c>
      <c r="CX154" s="415">
        <v>0</v>
      </c>
      <c r="CY154" s="415">
        <v>0</v>
      </c>
      <c r="CZ154" s="415">
        <v>0</v>
      </c>
      <c r="DA154" s="415">
        <v>0</v>
      </c>
      <c r="DB154" s="415">
        <v>0</v>
      </c>
      <c r="DC154" s="415">
        <v>0</v>
      </c>
      <c r="DD154" s="415">
        <v>0</v>
      </c>
      <c r="DE154" s="415">
        <v>0</v>
      </c>
      <c r="DF154" s="415">
        <v>0</v>
      </c>
      <c r="DG154" s="415">
        <v>0</v>
      </c>
      <c r="DH154" s="415">
        <v>0</v>
      </c>
      <c r="DI154" s="410">
        <f t="shared" si="65"/>
        <v>0</v>
      </c>
      <c r="DJ154" s="415">
        <v>0</v>
      </c>
      <c r="DK154" s="415">
        <v>0</v>
      </c>
      <c r="DL154" s="415">
        <v>0</v>
      </c>
      <c r="DM154" s="415">
        <v>0</v>
      </c>
      <c r="DN154" s="415">
        <v>0</v>
      </c>
      <c r="DO154" s="415">
        <v>0</v>
      </c>
      <c r="DP154" s="415">
        <v>0</v>
      </c>
      <c r="DQ154" s="415">
        <v>0</v>
      </c>
      <c r="DR154" s="415">
        <v>0</v>
      </c>
      <c r="DS154" s="415">
        <v>0</v>
      </c>
      <c r="DT154" s="415">
        <v>0</v>
      </c>
      <c r="DU154" s="415">
        <v>0</v>
      </c>
      <c r="DV154" s="410">
        <f t="shared" si="66"/>
        <v>0</v>
      </c>
      <c r="DW154" s="415">
        <v>0</v>
      </c>
      <c r="DX154" s="415">
        <v>0</v>
      </c>
      <c r="DY154" s="415">
        <v>0</v>
      </c>
      <c r="DZ154" s="415">
        <v>0</v>
      </c>
      <c r="EA154" s="415">
        <v>0</v>
      </c>
      <c r="EB154" s="415">
        <v>0</v>
      </c>
      <c r="EC154" s="415">
        <v>0</v>
      </c>
      <c r="ED154" s="415">
        <v>0</v>
      </c>
      <c r="EE154" s="415">
        <v>0</v>
      </c>
      <c r="EF154" s="415">
        <v>0</v>
      </c>
      <c r="EG154" s="415">
        <v>0</v>
      </c>
      <c r="EH154" s="415">
        <v>0</v>
      </c>
      <c r="EI154" s="410">
        <f t="shared" si="67"/>
        <v>0</v>
      </c>
      <c r="EJ154" s="415">
        <v>0</v>
      </c>
      <c r="EK154" s="415">
        <v>0</v>
      </c>
      <c r="EL154" s="415">
        <v>0</v>
      </c>
      <c r="EM154" s="415">
        <v>0</v>
      </c>
      <c r="EN154" s="415">
        <v>0</v>
      </c>
      <c r="EO154" s="415">
        <v>0</v>
      </c>
      <c r="EP154" s="415">
        <v>0</v>
      </c>
      <c r="EQ154" s="415">
        <v>0</v>
      </c>
      <c r="ER154" s="415">
        <v>0</v>
      </c>
      <c r="ES154" s="415">
        <v>0</v>
      </c>
      <c r="ET154" s="415">
        <v>0</v>
      </c>
      <c r="EU154" s="415">
        <v>0</v>
      </c>
      <c r="EV154" s="410">
        <f t="shared" si="68"/>
        <v>0</v>
      </c>
      <c r="EW154" s="416">
        <f t="shared" si="69"/>
        <v>18.974358974358974</v>
      </c>
      <c r="EX154" s="417">
        <f>IFERROR(VLOOKUP(H154,CEI_012018!$A$1:$U$509,9,FALSE),0)</f>
        <v>0</v>
      </c>
      <c r="EY154" s="417">
        <f>IFERROR(VLOOKUP(H154,CEI_022018!$A$1:$U$509,9,FALSE),0)</f>
        <v>0</v>
      </c>
      <c r="EZ154" s="417">
        <f>IFERROR(VLOOKUP(H154,CEI_032018!$A$1:$U$509,9,FALSE),0)</f>
        <v>0</v>
      </c>
      <c r="FA154" s="417">
        <f>IFERROR(VLOOKUP(H154,CEI_042018!$A$1:$U$491,9,FALSE),0)</f>
        <v>0</v>
      </c>
      <c r="FB154" s="417">
        <f>IFERROR(VLOOKUP(H154,CEI_052018!$A$1:$U$489,9,FALSE),0)</f>
        <v>0</v>
      </c>
      <c r="FC154" s="417">
        <f>IFERROR(VLOOKUP(H154,CEI_062018!$A$1:$U$489,9,FALSE),0)</f>
        <v>0</v>
      </c>
      <c r="FD154" s="417">
        <f>IFERROR(VLOOKUP(H154,CEI_072018!$A$1:$U$489,9,FALSE),0)</f>
        <v>0</v>
      </c>
      <c r="FE154" s="417">
        <f>IFERROR(VLOOKUP(H154,CEI_082018!$A$1:$U$489,9,FALSE),0)</f>
        <v>0</v>
      </c>
      <c r="FF154" s="417">
        <f>IFERROR(VLOOKUP(H154,CEI_092018!$A$1:$U$489,9,FALSE),0)</f>
        <v>0</v>
      </c>
      <c r="FG154" s="417"/>
      <c r="FH154" s="417"/>
      <c r="FI154" s="417"/>
      <c r="FJ154" s="418">
        <f>IFERROR(VLOOKUP(H154,CEI_092018!$A$1:$U$489,12,FALSE),0)</f>
        <v>0</v>
      </c>
      <c r="FK154" s="418">
        <f t="shared" si="56"/>
        <v>0</v>
      </c>
      <c r="FL154" s="418">
        <f t="shared" si="57"/>
        <v>0</v>
      </c>
      <c r="FM154" s="417"/>
      <c r="FN154" s="417"/>
      <c r="FO154" s="417"/>
      <c r="FP154" s="417"/>
      <c r="FQ154" s="417"/>
      <c r="FR154" s="417"/>
      <c r="FS154" s="417"/>
      <c r="FT154" s="417"/>
      <c r="FU154" s="417"/>
      <c r="FV154" s="417"/>
      <c r="FW154" s="417"/>
      <c r="FX154" s="417"/>
      <c r="FY154" s="418"/>
      <c r="FZ154" s="418"/>
      <c r="GA154" s="418"/>
      <c r="GB154" s="417"/>
      <c r="GC154" s="417"/>
      <c r="GD154" s="417"/>
      <c r="GE154" s="417"/>
      <c r="GF154" s="417"/>
      <c r="GG154" s="417"/>
      <c r="GH154" s="417"/>
      <c r="GI154" s="417"/>
      <c r="GJ154" s="417"/>
      <c r="GK154" s="417"/>
      <c r="GL154" s="417"/>
      <c r="GM154" s="417"/>
      <c r="GN154" s="418"/>
      <c r="GO154" s="418"/>
      <c r="GP154" s="418"/>
      <c r="GQ154" s="417"/>
      <c r="GR154" s="417"/>
      <c r="GS154" s="417"/>
      <c r="GT154" s="417"/>
      <c r="GU154" s="417"/>
      <c r="GV154" s="417"/>
      <c r="GW154" s="417"/>
      <c r="GX154" s="417"/>
      <c r="GY154" s="417"/>
      <c r="GZ154" s="417"/>
      <c r="HA154" s="417"/>
      <c r="HB154" s="417"/>
      <c r="HC154" s="418"/>
      <c r="HD154" s="418"/>
      <c r="HE154" s="418"/>
      <c r="HF154" s="417"/>
      <c r="HG154" s="417"/>
      <c r="HH154" s="417"/>
      <c r="HI154" s="417"/>
      <c r="HJ154" s="417"/>
      <c r="HK154" s="417"/>
      <c r="HL154" s="417"/>
      <c r="HM154" s="417"/>
      <c r="HN154" s="417"/>
      <c r="HO154" s="417"/>
      <c r="HP154" s="417"/>
      <c r="HQ154" s="417"/>
      <c r="HR154" s="418"/>
      <c r="HS154" s="418"/>
      <c r="HT154" s="418"/>
    </row>
    <row r="155" spans="1:228" s="387" customFormat="1" ht="12.75" customHeight="1" x14ac:dyDescent="0.2">
      <c r="A155" s="406" t="s">
        <v>61</v>
      </c>
      <c r="B155" s="407" t="s">
        <v>35</v>
      </c>
      <c r="C155" s="406" t="s">
        <v>999</v>
      </c>
      <c r="D155" s="407" t="s">
        <v>1003</v>
      </c>
      <c r="E155" s="407" t="s">
        <v>999</v>
      </c>
      <c r="F155" s="407" t="s">
        <v>1003</v>
      </c>
      <c r="G155" s="406" t="s">
        <v>54</v>
      </c>
      <c r="H155" s="408" t="s">
        <v>1416</v>
      </c>
      <c r="I155" s="408" t="s">
        <v>1417</v>
      </c>
      <c r="J155" s="406" t="s">
        <v>1641</v>
      </c>
      <c r="K155" s="406" t="s">
        <v>374</v>
      </c>
      <c r="L155" s="406" t="s">
        <v>57</v>
      </c>
      <c r="M155" s="406" t="s">
        <v>57</v>
      </c>
      <c r="N155" s="452">
        <v>0</v>
      </c>
      <c r="O155" s="452">
        <v>0</v>
      </c>
      <c r="P155" s="452">
        <v>0</v>
      </c>
      <c r="Q155" s="452">
        <v>0</v>
      </c>
      <c r="R155" s="452">
        <v>0</v>
      </c>
      <c r="S155" s="452">
        <v>0</v>
      </c>
      <c r="T155" s="452">
        <v>0</v>
      </c>
      <c r="U155" s="409">
        <v>0</v>
      </c>
      <c r="V155" s="409">
        <v>0</v>
      </c>
      <c r="W155" s="409">
        <v>0</v>
      </c>
      <c r="X155" s="409">
        <v>0</v>
      </c>
      <c r="Y155" s="409">
        <v>415</v>
      </c>
      <c r="Z155" s="453">
        <f t="shared" si="63"/>
        <v>415</v>
      </c>
      <c r="AA155" s="452">
        <v>0</v>
      </c>
      <c r="AB155" s="452">
        <v>0</v>
      </c>
      <c r="AC155" s="452">
        <v>0</v>
      </c>
      <c r="AD155" s="452">
        <v>0</v>
      </c>
      <c r="AE155" s="452">
        <v>0</v>
      </c>
      <c r="AF155" s="452">
        <v>0</v>
      </c>
      <c r="AG155" s="452">
        <v>0</v>
      </c>
      <c r="AH155" s="409">
        <v>0</v>
      </c>
      <c r="AI155" s="409">
        <v>55</v>
      </c>
      <c r="AJ155" s="409">
        <v>0</v>
      </c>
      <c r="AK155" s="409">
        <v>0</v>
      </c>
      <c r="AL155" s="409">
        <v>0</v>
      </c>
      <c r="AM155" s="453">
        <f t="shared" si="58"/>
        <v>55</v>
      </c>
      <c r="AN155" s="452">
        <v>0</v>
      </c>
      <c r="AO155" s="452">
        <v>0</v>
      </c>
      <c r="AP155" s="452">
        <v>0</v>
      </c>
      <c r="AQ155" s="452">
        <v>0</v>
      </c>
      <c r="AR155" s="452">
        <v>0</v>
      </c>
      <c r="AS155" s="452">
        <v>0</v>
      </c>
      <c r="AT155" s="452">
        <v>0</v>
      </c>
      <c r="AU155" s="409">
        <v>209</v>
      </c>
      <c r="AV155" s="409">
        <v>0</v>
      </c>
      <c r="AW155" s="409">
        <v>0</v>
      </c>
      <c r="AX155" s="409">
        <v>0</v>
      </c>
      <c r="AY155" s="409">
        <v>0</v>
      </c>
      <c r="AZ155" s="453">
        <f t="shared" si="59"/>
        <v>209</v>
      </c>
      <c r="BA155" s="452">
        <v>0</v>
      </c>
      <c r="BB155" s="452">
        <v>0</v>
      </c>
      <c r="BC155" s="452">
        <v>0</v>
      </c>
      <c r="BD155" s="452">
        <v>0</v>
      </c>
      <c r="BE155" s="452">
        <v>0</v>
      </c>
      <c r="BF155" s="452">
        <v>0</v>
      </c>
      <c r="BG155" s="452">
        <v>0</v>
      </c>
      <c r="BH155" s="409">
        <v>55</v>
      </c>
      <c r="BI155" s="409">
        <v>0</v>
      </c>
      <c r="BJ155" s="409">
        <v>0</v>
      </c>
      <c r="BK155" s="409">
        <v>0</v>
      </c>
      <c r="BL155" s="409">
        <v>0</v>
      </c>
      <c r="BM155" s="453">
        <f t="shared" si="60"/>
        <v>55</v>
      </c>
      <c r="BN155" s="452">
        <v>0</v>
      </c>
      <c r="BO155" s="452">
        <v>0</v>
      </c>
      <c r="BP155" s="452">
        <v>0</v>
      </c>
      <c r="BQ155" s="452">
        <v>0</v>
      </c>
      <c r="BR155" s="452">
        <v>0</v>
      </c>
      <c r="BS155" s="452">
        <v>0</v>
      </c>
      <c r="BT155" s="452">
        <v>0</v>
      </c>
      <c r="BU155" s="409">
        <v>209.5</v>
      </c>
      <c r="BV155" s="409">
        <v>0</v>
      </c>
      <c r="BW155" s="409">
        <v>0</v>
      </c>
      <c r="BX155" s="409">
        <v>0</v>
      </c>
      <c r="BY155" s="409">
        <v>0</v>
      </c>
      <c r="BZ155" s="453">
        <f t="shared" si="61"/>
        <v>209.5</v>
      </c>
      <c r="CA155" s="454">
        <f t="shared" si="62"/>
        <v>943.5</v>
      </c>
      <c r="CB155" s="419"/>
      <c r="CC155" s="419">
        <v>1</v>
      </c>
      <c r="CD155" s="419">
        <v>1</v>
      </c>
      <c r="CE155" s="419">
        <v>1</v>
      </c>
      <c r="CF155" s="419">
        <v>-1</v>
      </c>
      <c r="CG155" s="420">
        <f>IFERROR((FE155/Z155%),0)</f>
        <v>0</v>
      </c>
      <c r="CH155" s="421">
        <f>IFERROR((FK155/Z155%),0)</f>
        <v>93.611516378012041</v>
      </c>
      <c r="CI155" s="414" t="s">
        <v>1603</v>
      </c>
      <c r="CJ155" s="415">
        <v>0</v>
      </c>
      <c r="CK155" s="415">
        <v>0</v>
      </c>
      <c r="CL155" s="415">
        <v>0</v>
      </c>
      <c r="CM155" s="415">
        <v>0</v>
      </c>
      <c r="CN155" s="415">
        <v>0</v>
      </c>
      <c r="CO155" s="415">
        <v>0</v>
      </c>
      <c r="CP155" s="415">
        <v>0</v>
      </c>
      <c r="CQ155" s="415">
        <v>83</v>
      </c>
      <c r="CR155" s="415">
        <v>0</v>
      </c>
      <c r="CS155" s="415">
        <v>0</v>
      </c>
      <c r="CT155" s="415">
        <v>0</v>
      </c>
      <c r="CU155" s="415">
        <v>0</v>
      </c>
      <c r="CV155" s="410">
        <f t="shared" si="64"/>
        <v>83</v>
      </c>
      <c r="CW155" s="415">
        <v>0</v>
      </c>
      <c r="CX155" s="415">
        <v>0</v>
      </c>
      <c r="CY155" s="415">
        <v>0</v>
      </c>
      <c r="CZ155" s="415">
        <v>0</v>
      </c>
      <c r="DA155" s="415">
        <v>0</v>
      </c>
      <c r="DB155" s="415">
        <v>0</v>
      </c>
      <c r="DC155" s="415">
        <v>0</v>
      </c>
      <c r="DD155" s="415">
        <v>0</v>
      </c>
      <c r="DE155" s="415">
        <v>11</v>
      </c>
      <c r="DF155" s="415">
        <v>0</v>
      </c>
      <c r="DG155" s="415">
        <v>0</v>
      </c>
      <c r="DH155" s="415">
        <v>0</v>
      </c>
      <c r="DI155" s="410">
        <f t="shared" si="65"/>
        <v>11</v>
      </c>
      <c r="DJ155" s="415">
        <v>0</v>
      </c>
      <c r="DK155" s="415">
        <v>0</v>
      </c>
      <c r="DL155" s="415">
        <v>0</v>
      </c>
      <c r="DM155" s="415">
        <v>0</v>
      </c>
      <c r="DN155" s="415">
        <v>0</v>
      </c>
      <c r="DO155" s="415">
        <v>0</v>
      </c>
      <c r="DP155" s="415">
        <v>0</v>
      </c>
      <c r="DQ155" s="415">
        <v>41.8</v>
      </c>
      <c r="DR155" s="415">
        <v>0</v>
      </c>
      <c r="DS155" s="415">
        <v>0</v>
      </c>
      <c r="DT155" s="415">
        <v>0</v>
      </c>
      <c r="DU155" s="415">
        <v>0</v>
      </c>
      <c r="DV155" s="410">
        <f t="shared" si="66"/>
        <v>41.8</v>
      </c>
      <c r="DW155" s="415">
        <v>0</v>
      </c>
      <c r="DX155" s="415">
        <v>0</v>
      </c>
      <c r="DY155" s="415">
        <v>0</v>
      </c>
      <c r="DZ155" s="415">
        <v>0</v>
      </c>
      <c r="EA155" s="415">
        <v>0</v>
      </c>
      <c r="EB155" s="415">
        <v>0</v>
      </c>
      <c r="EC155" s="415">
        <v>0</v>
      </c>
      <c r="ED155" s="415">
        <v>11</v>
      </c>
      <c r="EE155" s="415">
        <v>0</v>
      </c>
      <c r="EF155" s="415">
        <v>0</v>
      </c>
      <c r="EG155" s="415">
        <v>0</v>
      </c>
      <c r="EH155" s="415">
        <v>0</v>
      </c>
      <c r="EI155" s="410">
        <f t="shared" si="67"/>
        <v>11</v>
      </c>
      <c r="EJ155" s="415">
        <v>0</v>
      </c>
      <c r="EK155" s="415">
        <v>0</v>
      </c>
      <c r="EL155" s="415">
        <v>0</v>
      </c>
      <c r="EM155" s="415">
        <v>0</v>
      </c>
      <c r="EN155" s="415">
        <v>0</v>
      </c>
      <c r="EO155" s="415">
        <v>0</v>
      </c>
      <c r="EP155" s="415">
        <v>0</v>
      </c>
      <c r="EQ155" s="415">
        <v>41.9</v>
      </c>
      <c r="ER155" s="415">
        <v>0</v>
      </c>
      <c r="ES155" s="415">
        <v>0</v>
      </c>
      <c r="ET155" s="415">
        <v>0</v>
      </c>
      <c r="EU155" s="415">
        <v>0</v>
      </c>
      <c r="EV155" s="410">
        <f t="shared" si="68"/>
        <v>41.9</v>
      </c>
      <c r="EW155" s="416">
        <f t="shared" si="69"/>
        <v>188.7</v>
      </c>
      <c r="EX155" s="417">
        <f>IFERROR(VLOOKUP(H155,CEI_012018!$A$1:$U$509,9,FALSE),0)</f>
        <v>0</v>
      </c>
      <c r="EY155" s="417">
        <f>IFERROR(VLOOKUP(H155,CEI_022018!$A$1:$U$509,9,FALSE),0)</f>
        <v>0</v>
      </c>
      <c r="EZ155" s="417">
        <f>IFERROR(VLOOKUP(H155,CEI_032018!$A$1:$U$509,9,FALSE),0)</f>
        <v>0</v>
      </c>
      <c r="FA155" s="417">
        <f>IFERROR(VLOOKUP(H155,CEI_042018!$A$1:$U$491,9,FALSE),0)</f>
        <v>0</v>
      </c>
      <c r="FB155" s="417">
        <f>IFERROR(VLOOKUP(H155,CEI_052018!$A$1:$U$489,9,FALSE),0)</f>
        <v>0</v>
      </c>
      <c r="FC155" s="417">
        <f>IFERROR(VLOOKUP(H155,CEI_062018!$A$1:$U$489,9,FALSE),0)</f>
        <v>0</v>
      </c>
      <c r="FD155" s="417">
        <f>IFERROR(VLOOKUP(H155,CEI_072018!$A$1:$U$489,9,FALSE),0)</f>
        <v>0</v>
      </c>
      <c r="FE155" s="417">
        <f>IFERROR(VLOOKUP(H155,CEI_082018!$A$1:$U$489,9,FALSE),0)</f>
        <v>0</v>
      </c>
      <c r="FF155" s="417">
        <f>IFERROR(VLOOKUP(H155,CEI_092018!$A$1:$U$489,9,FALSE),0)</f>
        <v>0</v>
      </c>
      <c r="FG155" s="417"/>
      <c r="FH155" s="417"/>
      <c r="FI155" s="417"/>
      <c r="FJ155" s="418">
        <f>IFERROR(VLOOKUP(H155,CEI_092018!$A$1:$U$489,12,FALSE),0)</f>
        <v>388.48779296875</v>
      </c>
      <c r="FK155" s="418">
        <f t="shared" si="56"/>
        <v>388.48779296875</v>
      </c>
      <c r="FL155" s="418">
        <f t="shared" si="57"/>
        <v>26.51220703125</v>
      </c>
      <c r="FM155" s="417"/>
      <c r="FN155" s="417"/>
      <c r="FO155" s="417"/>
      <c r="FP155" s="417"/>
      <c r="FQ155" s="417"/>
      <c r="FR155" s="417"/>
      <c r="FS155" s="417"/>
      <c r="FT155" s="417"/>
      <c r="FU155" s="417"/>
      <c r="FV155" s="417"/>
      <c r="FW155" s="417"/>
      <c r="FX155" s="417"/>
      <c r="FY155" s="418"/>
      <c r="FZ155" s="418"/>
      <c r="GA155" s="418"/>
      <c r="GB155" s="417"/>
      <c r="GC155" s="417"/>
      <c r="GD155" s="417"/>
      <c r="GE155" s="417"/>
      <c r="GF155" s="417"/>
      <c r="GG155" s="417"/>
      <c r="GH155" s="417"/>
      <c r="GI155" s="417"/>
      <c r="GJ155" s="417"/>
      <c r="GK155" s="417"/>
      <c r="GL155" s="417"/>
      <c r="GM155" s="417"/>
      <c r="GN155" s="418"/>
      <c r="GO155" s="418"/>
      <c r="GP155" s="418"/>
      <c r="GQ155" s="417"/>
      <c r="GR155" s="417"/>
      <c r="GS155" s="417"/>
      <c r="GT155" s="417"/>
      <c r="GU155" s="417"/>
      <c r="GV155" s="417"/>
      <c r="GW155" s="417"/>
      <c r="GX155" s="417"/>
      <c r="GY155" s="417"/>
      <c r="GZ155" s="417"/>
      <c r="HA155" s="417"/>
      <c r="HB155" s="417"/>
      <c r="HC155" s="418"/>
      <c r="HD155" s="418"/>
      <c r="HE155" s="418"/>
      <c r="HF155" s="417"/>
      <c r="HG155" s="417"/>
      <c r="HH155" s="417"/>
      <c r="HI155" s="417"/>
      <c r="HJ155" s="417"/>
      <c r="HK155" s="417"/>
      <c r="HL155" s="417"/>
      <c r="HM155" s="417"/>
      <c r="HN155" s="417"/>
      <c r="HO155" s="417"/>
      <c r="HP155" s="417"/>
      <c r="HQ155" s="417"/>
      <c r="HR155" s="418"/>
      <c r="HS155" s="418"/>
      <c r="HT155" s="418"/>
    </row>
    <row r="156" spans="1:228" s="387" customFormat="1" ht="12.75" customHeight="1" x14ac:dyDescent="0.2">
      <c r="A156" s="406" t="s">
        <v>55</v>
      </c>
      <c r="B156" s="407" t="s">
        <v>40</v>
      </c>
      <c r="C156" s="406" t="s">
        <v>999</v>
      </c>
      <c r="D156" s="407" t="s">
        <v>1696</v>
      </c>
      <c r="E156" s="407" t="s">
        <v>999</v>
      </c>
      <c r="F156" s="407" t="s">
        <v>1696</v>
      </c>
      <c r="G156" s="406" t="s">
        <v>54</v>
      </c>
      <c r="H156" s="408" t="s">
        <v>520</v>
      </c>
      <c r="I156" s="408"/>
      <c r="J156" s="406" t="s">
        <v>1765</v>
      </c>
      <c r="K156" s="406" t="s">
        <v>1766</v>
      </c>
      <c r="L156" s="406" t="s">
        <v>1767</v>
      </c>
      <c r="M156" s="406" t="s">
        <v>1779</v>
      </c>
      <c r="N156" s="452">
        <v>0</v>
      </c>
      <c r="O156" s="452">
        <v>0</v>
      </c>
      <c r="P156" s="452">
        <v>0</v>
      </c>
      <c r="Q156" s="452">
        <v>0</v>
      </c>
      <c r="R156" s="452">
        <v>0</v>
      </c>
      <c r="S156" s="452">
        <v>0</v>
      </c>
      <c r="T156" s="452">
        <v>0</v>
      </c>
      <c r="U156" s="409">
        <v>0</v>
      </c>
      <c r="V156" s="409">
        <v>0</v>
      </c>
      <c r="W156" s="409">
        <v>0</v>
      </c>
      <c r="X156" s="409">
        <v>0</v>
      </c>
      <c r="Y156" s="409">
        <v>0</v>
      </c>
      <c r="Z156" s="453">
        <f t="shared" si="63"/>
        <v>0</v>
      </c>
      <c r="AA156" s="452">
        <v>0</v>
      </c>
      <c r="AB156" s="452">
        <v>0</v>
      </c>
      <c r="AC156" s="452">
        <v>0</v>
      </c>
      <c r="AD156" s="452">
        <v>0</v>
      </c>
      <c r="AE156" s="452">
        <v>0</v>
      </c>
      <c r="AF156" s="452">
        <v>0</v>
      </c>
      <c r="AG156" s="452">
        <v>0</v>
      </c>
      <c r="AH156" s="409">
        <v>0</v>
      </c>
      <c r="AI156" s="409">
        <v>368</v>
      </c>
      <c r="AJ156" s="409">
        <v>0</v>
      </c>
      <c r="AK156" s="409">
        <v>0</v>
      </c>
      <c r="AL156" s="409">
        <v>0</v>
      </c>
      <c r="AM156" s="453">
        <f t="shared" si="58"/>
        <v>368</v>
      </c>
      <c r="AN156" s="452">
        <v>0</v>
      </c>
      <c r="AO156" s="452">
        <v>0</v>
      </c>
      <c r="AP156" s="452">
        <v>0</v>
      </c>
      <c r="AQ156" s="452">
        <v>0</v>
      </c>
      <c r="AR156" s="452">
        <v>0</v>
      </c>
      <c r="AS156" s="452">
        <v>0</v>
      </c>
      <c r="AT156" s="452">
        <v>0</v>
      </c>
      <c r="AU156" s="409">
        <v>0</v>
      </c>
      <c r="AV156" s="409">
        <v>0</v>
      </c>
      <c r="AW156" s="409">
        <v>0</v>
      </c>
      <c r="AX156" s="409">
        <v>0</v>
      </c>
      <c r="AY156" s="409">
        <v>0</v>
      </c>
      <c r="AZ156" s="453">
        <f t="shared" si="59"/>
        <v>0</v>
      </c>
      <c r="BA156" s="452">
        <v>0</v>
      </c>
      <c r="BB156" s="452">
        <v>0</v>
      </c>
      <c r="BC156" s="452">
        <v>0</v>
      </c>
      <c r="BD156" s="452">
        <v>0</v>
      </c>
      <c r="BE156" s="452">
        <v>0</v>
      </c>
      <c r="BF156" s="452">
        <v>0</v>
      </c>
      <c r="BG156" s="452">
        <v>0</v>
      </c>
      <c r="BH156" s="409">
        <v>0</v>
      </c>
      <c r="BI156" s="409">
        <v>0</v>
      </c>
      <c r="BJ156" s="409">
        <v>0</v>
      </c>
      <c r="BK156" s="409">
        <v>0</v>
      </c>
      <c r="BL156" s="409">
        <v>0</v>
      </c>
      <c r="BM156" s="453">
        <f t="shared" si="60"/>
        <v>0</v>
      </c>
      <c r="BN156" s="452"/>
      <c r="BO156" s="452"/>
      <c r="BP156" s="452"/>
      <c r="BQ156" s="452"/>
      <c r="BR156" s="452"/>
      <c r="BS156" s="452"/>
      <c r="BT156" s="452"/>
      <c r="BU156" s="409"/>
      <c r="BV156" s="409"/>
      <c r="BW156" s="409"/>
      <c r="BX156" s="409"/>
      <c r="BY156" s="409"/>
      <c r="BZ156" s="453">
        <f t="shared" si="61"/>
        <v>0</v>
      </c>
      <c r="CA156" s="454">
        <f t="shared" si="62"/>
        <v>368</v>
      </c>
      <c r="CB156" s="411"/>
      <c r="CC156" s="411"/>
      <c r="CD156" s="411"/>
      <c r="CE156" s="411"/>
      <c r="CF156" s="411"/>
      <c r="CG156" s="412"/>
      <c r="CH156" s="413"/>
      <c r="CI156" s="414" t="s">
        <v>1603</v>
      </c>
      <c r="CJ156" s="415">
        <v>0</v>
      </c>
      <c r="CK156" s="415">
        <v>0</v>
      </c>
      <c r="CL156" s="415">
        <v>0</v>
      </c>
      <c r="CM156" s="415">
        <v>0</v>
      </c>
      <c r="CN156" s="415">
        <v>0</v>
      </c>
      <c r="CO156" s="415">
        <v>0</v>
      </c>
      <c r="CP156" s="415">
        <v>0</v>
      </c>
      <c r="CQ156" s="415">
        <v>0</v>
      </c>
      <c r="CR156" s="415">
        <v>0</v>
      </c>
      <c r="CS156" s="415">
        <v>0</v>
      </c>
      <c r="CT156" s="415">
        <v>0</v>
      </c>
      <c r="CU156" s="415">
        <v>0</v>
      </c>
      <c r="CV156" s="410">
        <f t="shared" si="64"/>
        <v>0</v>
      </c>
      <c r="CW156" s="415">
        <v>0</v>
      </c>
      <c r="CX156" s="415">
        <v>0</v>
      </c>
      <c r="CY156" s="415">
        <v>0</v>
      </c>
      <c r="CZ156" s="415">
        <v>0</v>
      </c>
      <c r="DA156" s="415">
        <v>0</v>
      </c>
      <c r="DB156" s="415">
        <v>0</v>
      </c>
      <c r="DC156" s="415">
        <v>0</v>
      </c>
      <c r="DD156" s="415">
        <v>0</v>
      </c>
      <c r="DE156" s="415">
        <v>52</v>
      </c>
      <c r="DF156" s="415">
        <v>0</v>
      </c>
      <c r="DG156" s="415">
        <v>0</v>
      </c>
      <c r="DH156" s="415">
        <v>0</v>
      </c>
      <c r="DI156" s="410">
        <f t="shared" si="65"/>
        <v>52</v>
      </c>
      <c r="DJ156" s="415">
        <v>0</v>
      </c>
      <c r="DK156" s="415">
        <v>0</v>
      </c>
      <c r="DL156" s="415">
        <v>0</v>
      </c>
      <c r="DM156" s="415">
        <v>0</v>
      </c>
      <c r="DN156" s="415">
        <v>0</v>
      </c>
      <c r="DO156" s="415">
        <v>0</v>
      </c>
      <c r="DP156" s="415">
        <v>0</v>
      </c>
      <c r="DQ156" s="415">
        <v>0</v>
      </c>
      <c r="DR156" s="415">
        <v>0</v>
      </c>
      <c r="DS156" s="415">
        <v>0</v>
      </c>
      <c r="DT156" s="415">
        <v>0</v>
      </c>
      <c r="DU156" s="415">
        <v>0</v>
      </c>
      <c r="DV156" s="410">
        <f t="shared" si="66"/>
        <v>0</v>
      </c>
      <c r="DW156" s="415">
        <v>0</v>
      </c>
      <c r="DX156" s="415">
        <v>0</v>
      </c>
      <c r="DY156" s="415">
        <v>0</v>
      </c>
      <c r="DZ156" s="415">
        <v>0</v>
      </c>
      <c r="EA156" s="415">
        <v>0</v>
      </c>
      <c r="EB156" s="415">
        <v>0</v>
      </c>
      <c r="EC156" s="415">
        <v>0</v>
      </c>
      <c r="ED156" s="415">
        <v>0</v>
      </c>
      <c r="EE156" s="415">
        <v>0</v>
      </c>
      <c r="EF156" s="415">
        <v>0</v>
      </c>
      <c r="EG156" s="415">
        <v>0</v>
      </c>
      <c r="EH156" s="415">
        <v>0</v>
      </c>
      <c r="EI156" s="410">
        <f t="shared" si="67"/>
        <v>0</v>
      </c>
      <c r="EJ156" s="415">
        <v>0</v>
      </c>
      <c r="EK156" s="415">
        <v>0</v>
      </c>
      <c r="EL156" s="415">
        <v>0</v>
      </c>
      <c r="EM156" s="415">
        <v>0</v>
      </c>
      <c r="EN156" s="415">
        <v>0</v>
      </c>
      <c r="EO156" s="415">
        <v>0</v>
      </c>
      <c r="EP156" s="415">
        <v>0</v>
      </c>
      <c r="EQ156" s="415">
        <v>0</v>
      </c>
      <c r="ER156" s="415">
        <v>0</v>
      </c>
      <c r="ES156" s="415">
        <v>0</v>
      </c>
      <c r="ET156" s="415">
        <v>0</v>
      </c>
      <c r="EU156" s="415">
        <v>0</v>
      </c>
      <c r="EV156" s="410">
        <f t="shared" si="68"/>
        <v>0</v>
      </c>
      <c r="EW156" s="416">
        <f t="shared" si="69"/>
        <v>52</v>
      </c>
      <c r="EX156" s="417">
        <f>IFERROR(VLOOKUP(H156,CEI_012018!$A$1:$U$509,9,FALSE),0)</f>
        <v>0</v>
      </c>
      <c r="EY156" s="417">
        <f>IFERROR(VLOOKUP(H156,CEI_022018!$A$1:$U$509,9,FALSE),0)</f>
        <v>0</v>
      </c>
      <c r="EZ156" s="417">
        <f>IFERROR(VLOOKUP(H156,CEI_032018!$A$1:$U$509,9,FALSE),0)</f>
        <v>0</v>
      </c>
      <c r="FA156" s="417">
        <f>IFERROR(VLOOKUP(H156,CEI_042018!$A$1:$U$491,9,FALSE),0)</f>
        <v>0</v>
      </c>
      <c r="FB156" s="417">
        <f>IFERROR(VLOOKUP(H156,CEI_052018!$A$1:$U$489,9,FALSE),0)</f>
        <v>0</v>
      </c>
      <c r="FC156" s="417">
        <f>IFERROR(VLOOKUP(H156,CEI_062018!$A$1:$U$489,9,FALSE),0)</f>
        <v>0</v>
      </c>
      <c r="FD156" s="417">
        <f>IFERROR(VLOOKUP(H156,CEI_072018!$A$1:$U$489,9,FALSE),0)</f>
        <v>0</v>
      </c>
      <c r="FE156" s="417">
        <f>IFERROR(VLOOKUP(H156,CEI_082018!$A$1:$U$489,9,FALSE),0)</f>
        <v>0</v>
      </c>
      <c r="FF156" s="417">
        <f>IFERROR(VLOOKUP(H156,CEI_092018!$A$1:$U$489,9,FALSE),0)</f>
        <v>0</v>
      </c>
      <c r="FG156" s="417"/>
      <c r="FH156" s="417"/>
      <c r="FI156" s="417"/>
      <c r="FJ156" s="418">
        <f>IFERROR(VLOOKUP(H156,CEI_092018!$A$1:$U$489,12,FALSE),0)</f>
        <v>0</v>
      </c>
      <c r="FK156" s="418">
        <f t="shared" si="56"/>
        <v>0</v>
      </c>
      <c r="FL156" s="418">
        <f t="shared" si="57"/>
        <v>0</v>
      </c>
      <c r="FM156" s="417"/>
      <c r="FN156" s="417"/>
      <c r="FO156" s="417"/>
      <c r="FP156" s="417"/>
      <c r="FQ156" s="417"/>
      <c r="FR156" s="417"/>
      <c r="FS156" s="417"/>
      <c r="FT156" s="417"/>
      <c r="FU156" s="417"/>
      <c r="FV156" s="417"/>
      <c r="FW156" s="417"/>
      <c r="FX156" s="417"/>
      <c r="FY156" s="418"/>
      <c r="FZ156" s="418"/>
      <c r="GA156" s="418"/>
      <c r="GB156" s="417"/>
      <c r="GC156" s="417"/>
      <c r="GD156" s="417"/>
      <c r="GE156" s="417"/>
      <c r="GF156" s="417"/>
      <c r="GG156" s="417"/>
      <c r="GH156" s="417"/>
      <c r="GI156" s="417"/>
      <c r="GJ156" s="417"/>
      <c r="GK156" s="417"/>
      <c r="GL156" s="417"/>
      <c r="GM156" s="417"/>
      <c r="GN156" s="418"/>
      <c r="GO156" s="418"/>
      <c r="GP156" s="418"/>
      <c r="GQ156" s="417"/>
      <c r="GR156" s="417"/>
      <c r="GS156" s="417"/>
      <c r="GT156" s="417"/>
      <c r="GU156" s="417"/>
      <c r="GV156" s="417"/>
      <c r="GW156" s="417"/>
      <c r="GX156" s="417"/>
      <c r="GY156" s="417"/>
      <c r="GZ156" s="417"/>
      <c r="HA156" s="417"/>
      <c r="HB156" s="417"/>
      <c r="HC156" s="418"/>
      <c r="HD156" s="418"/>
      <c r="HE156" s="418"/>
      <c r="HF156" s="417"/>
      <c r="HG156" s="417"/>
      <c r="HH156" s="417"/>
      <c r="HI156" s="417"/>
      <c r="HJ156" s="417"/>
      <c r="HK156" s="417"/>
      <c r="HL156" s="417"/>
      <c r="HM156" s="417"/>
      <c r="HN156" s="417"/>
      <c r="HO156" s="417"/>
      <c r="HP156" s="417"/>
      <c r="HQ156" s="417"/>
      <c r="HR156" s="418"/>
      <c r="HS156" s="418"/>
      <c r="HT156" s="418"/>
    </row>
    <row r="157" spans="1:228" s="387" customFormat="1" ht="12.75" customHeight="1" x14ac:dyDescent="0.2">
      <c r="A157" s="406" t="s">
        <v>55</v>
      </c>
      <c r="B157" s="407" t="s">
        <v>40</v>
      </c>
      <c r="C157" s="406" t="s">
        <v>999</v>
      </c>
      <c r="D157" s="438" t="s">
        <v>1696</v>
      </c>
      <c r="E157" s="407" t="s">
        <v>999</v>
      </c>
      <c r="F157" s="407" t="s">
        <v>1696</v>
      </c>
      <c r="G157" s="406" t="s">
        <v>54</v>
      </c>
      <c r="H157" s="408" t="s">
        <v>1875</v>
      </c>
      <c r="I157" s="408" t="s">
        <v>1877</v>
      </c>
      <c r="J157" s="406" t="s">
        <v>1697</v>
      </c>
      <c r="K157" s="406"/>
      <c r="L157" s="406"/>
      <c r="M157" s="406" t="s">
        <v>1779</v>
      </c>
      <c r="N157" s="452">
        <v>0</v>
      </c>
      <c r="O157" s="452">
        <v>0</v>
      </c>
      <c r="P157" s="452">
        <v>0</v>
      </c>
      <c r="Q157" s="452">
        <v>0</v>
      </c>
      <c r="R157" s="452">
        <v>0</v>
      </c>
      <c r="S157" s="452">
        <v>0</v>
      </c>
      <c r="T157" s="452">
        <v>0</v>
      </c>
      <c r="U157" s="409">
        <v>0</v>
      </c>
      <c r="V157" s="409">
        <v>0</v>
      </c>
      <c r="W157" s="409">
        <v>0</v>
      </c>
      <c r="X157" s="409">
        <v>271.89999999999998</v>
      </c>
      <c r="Y157" s="409">
        <v>0</v>
      </c>
      <c r="Z157" s="453">
        <f t="shared" si="63"/>
        <v>271.89999999999998</v>
      </c>
      <c r="AA157" s="452">
        <v>0</v>
      </c>
      <c r="AB157" s="452">
        <v>0</v>
      </c>
      <c r="AC157" s="452">
        <v>0</v>
      </c>
      <c r="AD157" s="452">
        <v>0</v>
      </c>
      <c r="AE157" s="452">
        <v>0</v>
      </c>
      <c r="AF157" s="452">
        <v>0</v>
      </c>
      <c r="AG157" s="452">
        <v>0</v>
      </c>
      <c r="AH157" s="409">
        <v>32.299999999999997</v>
      </c>
      <c r="AI157" s="409">
        <v>0</v>
      </c>
      <c r="AJ157" s="409">
        <v>0</v>
      </c>
      <c r="AK157" s="409">
        <v>0</v>
      </c>
      <c r="AL157" s="409">
        <v>0</v>
      </c>
      <c r="AM157" s="453">
        <f t="shared" si="58"/>
        <v>32.299999999999997</v>
      </c>
      <c r="AN157" s="452">
        <v>0</v>
      </c>
      <c r="AO157" s="452">
        <v>0</v>
      </c>
      <c r="AP157" s="452">
        <v>0</v>
      </c>
      <c r="AQ157" s="452">
        <v>0</v>
      </c>
      <c r="AR157" s="452">
        <v>0</v>
      </c>
      <c r="AS157" s="452">
        <v>0</v>
      </c>
      <c r="AT157" s="452">
        <v>0</v>
      </c>
      <c r="AU157" s="409">
        <v>0</v>
      </c>
      <c r="AV157" s="409">
        <v>0</v>
      </c>
      <c r="AW157" s="409">
        <v>0</v>
      </c>
      <c r="AX157" s="409">
        <v>0</v>
      </c>
      <c r="AY157" s="409">
        <v>0</v>
      </c>
      <c r="AZ157" s="453">
        <f t="shared" si="59"/>
        <v>0</v>
      </c>
      <c r="BA157" s="452">
        <v>0</v>
      </c>
      <c r="BB157" s="452">
        <v>0</v>
      </c>
      <c r="BC157" s="452">
        <v>0</v>
      </c>
      <c r="BD157" s="452">
        <v>0</v>
      </c>
      <c r="BE157" s="452">
        <v>0</v>
      </c>
      <c r="BF157" s="452">
        <v>0</v>
      </c>
      <c r="BG157" s="452">
        <v>0</v>
      </c>
      <c r="BH157" s="409">
        <v>0</v>
      </c>
      <c r="BI157" s="409">
        <v>0</v>
      </c>
      <c r="BJ157" s="409">
        <v>0</v>
      </c>
      <c r="BK157" s="409">
        <v>0</v>
      </c>
      <c r="BL157" s="409">
        <v>0</v>
      </c>
      <c r="BM157" s="453">
        <f t="shared" si="60"/>
        <v>0</v>
      </c>
      <c r="BN157" s="452">
        <v>0</v>
      </c>
      <c r="BO157" s="452">
        <v>0</v>
      </c>
      <c r="BP157" s="452">
        <v>0</v>
      </c>
      <c r="BQ157" s="452">
        <v>0</v>
      </c>
      <c r="BR157" s="452">
        <v>0</v>
      </c>
      <c r="BS157" s="452">
        <v>0</v>
      </c>
      <c r="BT157" s="452">
        <v>0</v>
      </c>
      <c r="BU157" s="409">
        <v>0</v>
      </c>
      <c r="BV157" s="409">
        <v>0</v>
      </c>
      <c r="BW157" s="409">
        <v>0</v>
      </c>
      <c r="BX157" s="409">
        <v>0</v>
      </c>
      <c r="BY157" s="409">
        <v>0</v>
      </c>
      <c r="BZ157" s="453">
        <f t="shared" si="61"/>
        <v>0</v>
      </c>
      <c r="CA157" s="454">
        <f t="shared" si="62"/>
        <v>304.2</v>
      </c>
      <c r="CB157" s="419"/>
      <c r="CC157" s="419">
        <v>1</v>
      </c>
      <c r="CD157" s="419">
        <v>1</v>
      </c>
      <c r="CE157" s="419">
        <v>1</v>
      </c>
      <c r="CF157" s="419">
        <v>-1</v>
      </c>
      <c r="CG157" s="420">
        <f>IFERROR((FE157/Z157%),0)</f>
        <v>0</v>
      </c>
      <c r="CH157" s="421">
        <f>IFERROR((FK157/Z157%),0)</f>
        <v>99.99999832519498</v>
      </c>
      <c r="CI157" s="414" t="s">
        <v>1603</v>
      </c>
      <c r="CJ157" s="415">
        <v>0</v>
      </c>
      <c r="CK157" s="415">
        <v>0</v>
      </c>
      <c r="CL157" s="415">
        <v>0</v>
      </c>
      <c r="CM157" s="415">
        <v>0</v>
      </c>
      <c r="CN157" s="415">
        <v>0</v>
      </c>
      <c r="CO157" s="415">
        <v>0</v>
      </c>
      <c r="CP157" s="415">
        <v>0</v>
      </c>
      <c r="CQ157" s="415">
        <v>0</v>
      </c>
      <c r="CR157" s="415">
        <v>0</v>
      </c>
      <c r="CS157" s="415">
        <v>0</v>
      </c>
      <c r="CT157" s="415">
        <v>77.948717948717956</v>
      </c>
      <c r="CU157" s="415">
        <v>0</v>
      </c>
      <c r="CV157" s="410">
        <f t="shared" si="64"/>
        <v>77.948717948717956</v>
      </c>
      <c r="CW157" s="415">
        <v>0</v>
      </c>
      <c r="CX157" s="415">
        <v>0</v>
      </c>
      <c r="CY157" s="415">
        <v>0</v>
      </c>
      <c r="CZ157" s="415">
        <v>0</v>
      </c>
      <c r="DA157" s="415">
        <v>0</v>
      </c>
      <c r="DB157" s="415">
        <v>0</v>
      </c>
      <c r="DC157" s="415">
        <v>0</v>
      </c>
      <c r="DD157" s="415">
        <v>0</v>
      </c>
      <c r="DE157" s="415">
        <v>0</v>
      </c>
      <c r="DF157" s="415">
        <v>0</v>
      </c>
      <c r="DG157" s="415">
        <v>0</v>
      </c>
      <c r="DH157" s="415">
        <v>0</v>
      </c>
      <c r="DI157" s="410">
        <f t="shared" si="65"/>
        <v>0</v>
      </c>
      <c r="DJ157" s="415">
        <v>0</v>
      </c>
      <c r="DK157" s="415">
        <v>0</v>
      </c>
      <c r="DL157" s="415">
        <v>0</v>
      </c>
      <c r="DM157" s="415">
        <v>0</v>
      </c>
      <c r="DN157" s="415">
        <v>0</v>
      </c>
      <c r="DO157" s="415">
        <v>0</v>
      </c>
      <c r="DP157" s="415">
        <v>0</v>
      </c>
      <c r="DQ157" s="415">
        <v>0</v>
      </c>
      <c r="DR157" s="415">
        <v>0</v>
      </c>
      <c r="DS157" s="415">
        <v>0</v>
      </c>
      <c r="DT157" s="415">
        <v>0</v>
      </c>
      <c r="DU157" s="415">
        <v>0</v>
      </c>
      <c r="DV157" s="410">
        <f t="shared" si="66"/>
        <v>0</v>
      </c>
      <c r="DW157" s="415">
        <v>0</v>
      </c>
      <c r="DX157" s="415">
        <v>0</v>
      </c>
      <c r="DY157" s="415">
        <v>0</v>
      </c>
      <c r="DZ157" s="415">
        <v>0</v>
      </c>
      <c r="EA157" s="415">
        <v>0</v>
      </c>
      <c r="EB157" s="415">
        <v>0</v>
      </c>
      <c r="EC157" s="415">
        <v>0</v>
      </c>
      <c r="ED157" s="415">
        <v>0</v>
      </c>
      <c r="EE157" s="415">
        <v>0</v>
      </c>
      <c r="EF157" s="415">
        <v>0</v>
      </c>
      <c r="EG157" s="415">
        <v>0</v>
      </c>
      <c r="EH157" s="415">
        <v>0</v>
      </c>
      <c r="EI157" s="410">
        <f t="shared" si="67"/>
        <v>0</v>
      </c>
      <c r="EJ157" s="415">
        <v>0</v>
      </c>
      <c r="EK157" s="415">
        <v>0</v>
      </c>
      <c r="EL157" s="415">
        <v>0</v>
      </c>
      <c r="EM157" s="415">
        <v>0</v>
      </c>
      <c r="EN157" s="415">
        <v>0</v>
      </c>
      <c r="EO157" s="415">
        <v>0</v>
      </c>
      <c r="EP157" s="415">
        <v>0</v>
      </c>
      <c r="EQ157" s="415">
        <v>0</v>
      </c>
      <c r="ER157" s="415">
        <v>0</v>
      </c>
      <c r="ES157" s="415">
        <v>0</v>
      </c>
      <c r="ET157" s="415">
        <v>0</v>
      </c>
      <c r="EU157" s="415">
        <v>0</v>
      </c>
      <c r="EV157" s="410">
        <f t="shared" si="68"/>
        <v>0</v>
      </c>
      <c r="EW157" s="416">
        <f t="shared" si="69"/>
        <v>77.948717948717956</v>
      </c>
      <c r="EX157" s="417">
        <f>IFERROR(VLOOKUP(H157,CEI_012018!$A$1:$U$509,9,FALSE),0)</f>
        <v>0</v>
      </c>
      <c r="EY157" s="417">
        <f>IFERROR(VLOOKUP(H157,CEI_022018!$A$1:$U$509,9,FALSE),0)</f>
        <v>0</v>
      </c>
      <c r="EZ157" s="417">
        <f>IFERROR(VLOOKUP(H157,CEI_032018!$A$1:$U$509,9,FALSE),0)</f>
        <v>0</v>
      </c>
      <c r="FA157" s="417">
        <f>IFERROR(VLOOKUP(H157,CEI_042018!$A$1:$U$491,9,FALSE),0)</f>
        <v>0</v>
      </c>
      <c r="FB157" s="417">
        <f>IFERROR(VLOOKUP(H157,CEI_052018!$A$1:$U$489,9,FALSE),0)</f>
        <v>0</v>
      </c>
      <c r="FC157" s="417">
        <f>IFERROR(VLOOKUP(H157,CEI_062018!$A$1:$U$489,9,FALSE),0)</f>
        <v>0</v>
      </c>
      <c r="FD157" s="417">
        <f>IFERROR(VLOOKUP(H157,CEI_072018!$A$1:$U$489,9,FALSE),0)</f>
        <v>0</v>
      </c>
      <c r="FE157" s="417">
        <f>IFERROR(VLOOKUP(H157,CEI_082018!$A$1:$U$489,9,FALSE),0)</f>
        <v>0</v>
      </c>
      <c r="FF157" s="417">
        <f>IFERROR(VLOOKUP(H157,CEI_092018!$A$1:$U$489,9,FALSE),0)</f>
        <v>0</v>
      </c>
      <c r="FG157" s="417"/>
      <c r="FH157" s="417"/>
      <c r="FI157" s="417"/>
      <c r="FJ157" s="418">
        <f>IFERROR(VLOOKUP(H157,CEI_092018!$A$1:$U$489,12,FALSE),0)</f>
        <v>271.89999544620514</v>
      </c>
      <c r="FK157" s="418">
        <f t="shared" si="56"/>
        <v>271.89999544620514</v>
      </c>
      <c r="FL157" s="418">
        <f t="shared" si="57"/>
        <v>4.5537948381024762E-6</v>
      </c>
      <c r="FM157" s="417"/>
      <c r="FN157" s="417"/>
      <c r="FO157" s="417"/>
      <c r="FP157" s="417"/>
      <c r="FQ157" s="417"/>
      <c r="FR157" s="417"/>
      <c r="FS157" s="417"/>
      <c r="FT157" s="417"/>
      <c r="FU157" s="417"/>
      <c r="FV157" s="417"/>
      <c r="FW157" s="417"/>
      <c r="FX157" s="417"/>
      <c r="FY157" s="418"/>
      <c r="FZ157" s="418"/>
      <c r="GA157" s="418"/>
      <c r="GB157" s="417"/>
      <c r="GC157" s="417"/>
      <c r="GD157" s="417"/>
      <c r="GE157" s="417"/>
      <c r="GF157" s="417"/>
      <c r="GG157" s="417"/>
      <c r="GH157" s="417"/>
      <c r="GI157" s="417"/>
      <c r="GJ157" s="417"/>
      <c r="GK157" s="417"/>
      <c r="GL157" s="417"/>
      <c r="GM157" s="417"/>
      <c r="GN157" s="418"/>
      <c r="GO157" s="418"/>
      <c r="GP157" s="418"/>
      <c r="GQ157" s="417"/>
      <c r="GR157" s="417"/>
      <c r="GS157" s="417"/>
      <c r="GT157" s="417"/>
      <c r="GU157" s="417"/>
      <c r="GV157" s="417"/>
      <c r="GW157" s="417"/>
      <c r="GX157" s="417"/>
      <c r="GY157" s="417"/>
      <c r="GZ157" s="417"/>
      <c r="HA157" s="417"/>
      <c r="HB157" s="417"/>
      <c r="HC157" s="418"/>
      <c r="HD157" s="418"/>
      <c r="HE157" s="418"/>
      <c r="HF157" s="417"/>
      <c r="HG157" s="417"/>
      <c r="HH157" s="417"/>
      <c r="HI157" s="417"/>
      <c r="HJ157" s="417"/>
      <c r="HK157" s="417"/>
      <c r="HL157" s="417"/>
      <c r="HM157" s="417"/>
      <c r="HN157" s="417"/>
      <c r="HO157" s="417"/>
      <c r="HP157" s="417"/>
      <c r="HQ157" s="417"/>
      <c r="HR157" s="418"/>
      <c r="HS157" s="418"/>
      <c r="HT157" s="418"/>
    </row>
    <row r="158" spans="1:228" s="387" customFormat="1" ht="12.75" customHeight="1" x14ac:dyDescent="0.2">
      <c r="A158" s="406" t="s">
        <v>55</v>
      </c>
      <c r="B158" s="407" t="s">
        <v>41</v>
      </c>
      <c r="C158" s="406" t="s">
        <v>999</v>
      </c>
      <c r="D158" s="407" t="s">
        <v>1003</v>
      </c>
      <c r="E158" s="407" t="s">
        <v>474</v>
      </c>
      <c r="F158" s="407" t="s">
        <v>475</v>
      </c>
      <c r="G158" s="406" t="s">
        <v>60</v>
      </c>
      <c r="H158" s="408" t="s">
        <v>520</v>
      </c>
      <c r="I158" s="408" t="s">
        <v>57</v>
      </c>
      <c r="J158" s="406" t="s">
        <v>479</v>
      </c>
      <c r="K158" s="406" t="s">
        <v>477</v>
      </c>
      <c r="L158" s="406" t="s">
        <v>478</v>
      </c>
      <c r="M158" s="406" t="s">
        <v>57</v>
      </c>
      <c r="N158" s="452">
        <v>0</v>
      </c>
      <c r="O158" s="452">
        <v>0</v>
      </c>
      <c r="P158" s="452">
        <v>0</v>
      </c>
      <c r="Q158" s="452">
        <v>0</v>
      </c>
      <c r="R158" s="452">
        <v>0</v>
      </c>
      <c r="S158" s="452">
        <v>0</v>
      </c>
      <c r="T158" s="452">
        <v>0</v>
      </c>
      <c r="U158" s="409">
        <v>0</v>
      </c>
      <c r="V158" s="409">
        <v>0</v>
      </c>
      <c r="W158" s="409">
        <v>0</v>
      </c>
      <c r="X158" s="409">
        <v>0</v>
      </c>
      <c r="Y158" s="409">
        <v>0</v>
      </c>
      <c r="Z158" s="453">
        <f t="shared" si="63"/>
        <v>0</v>
      </c>
      <c r="AA158" s="452">
        <v>0</v>
      </c>
      <c r="AB158" s="452">
        <v>0</v>
      </c>
      <c r="AC158" s="452">
        <v>0</v>
      </c>
      <c r="AD158" s="452">
        <v>1000</v>
      </c>
      <c r="AE158" s="452">
        <v>0</v>
      </c>
      <c r="AF158" s="452">
        <v>0</v>
      </c>
      <c r="AG158" s="452">
        <v>0</v>
      </c>
      <c r="AH158" s="409">
        <v>0</v>
      </c>
      <c r="AI158" s="409">
        <v>0</v>
      </c>
      <c r="AJ158" s="409">
        <v>0</v>
      </c>
      <c r="AK158" s="409">
        <v>0</v>
      </c>
      <c r="AL158" s="409">
        <v>0</v>
      </c>
      <c r="AM158" s="453">
        <f t="shared" si="58"/>
        <v>1000</v>
      </c>
      <c r="AN158" s="452">
        <v>0</v>
      </c>
      <c r="AO158" s="452">
        <v>0</v>
      </c>
      <c r="AP158" s="452">
        <v>0</v>
      </c>
      <c r="AQ158" s="452">
        <v>0</v>
      </c>
      <c r="AR158" s="452">
        <v>0</v>
      </c>
      <c r="AS158" s="452">
        <v>0</v>
      </c>
      <c r="AT158" s="452">
        <v>0</v>
      </c>
      <c r="AU158" s="409">
        <v>0</v>
      </c>
      <c r="AV158" s="409">
        <v>0</v>
      </c>
      <c r="AW158" s="409">
        <v>0</v>
      </c>
      <c r="AX158" s="409">
        <v>0</v>
      </c>
      <c r="AY158" s="409">
        <v>0</v>
      </c>
      <c r="AZ158" s="453">
        <f t="shared" si="59"/>
        <v>0</v>
      </c>
      <c r="BA158" s="452">
        <v>0</v>
      </c>
      <c r="BB158" s="452">
        <v>0</v>
      </c>
      <c r="BC158" s="452">
        <v>0</v>
      </c>
      <c r="BD158" s="452">
        <v>0</v>
      </c>
      <c r="BE158" s="452">
        <v>0</v>
      </c>
      <c r="BF158" s="452">
        <v>0</v>
      </c>
      <c r="BG158" s="452">
        <v>0</v>
      </c>
      <c r="BH158" s="409">
        <v>0</v>
      </c>
      <c r="BI158" s="409">
        <v>0</v>
      </c>
      <c r="BJ158" s="409">
        <v>0</v>
      </c>
      <c r="BK158" s="409">
        <v>0</v>
      </c>
      <c r="BL158" s="409">
        <v>0</v>
      </c>
      <c r="BM158" s="453">
        <f t="shared" si="60"/>
        <v>0</v>
      </c>
      <c r="BN158" s="452">
        <v>0</v>
      </c>
      <c r="BO158" s="452">
        <v>0</v>
      </c>
      <c r="BP158" s="452">
        <v>0</v>
      </c>
      <c r="BQ158" s="452">
        <v>0</v>
      </c>
      <c r="BR158" s="452">
        <v>0</v>
      </c>
      <c r="BS158" s="452">
        <v>0</v>
      </c>
      <c r="BT158" s="452">
        <v>0</v>
      </c>
      <c r="BU158" s="409">
        <v>0</v>
      </c>
      <c r="BV158" s="409">
        <v>0</v>
      </c>
      <c r="BW158" s="409">
        <v>0</v>
      </c>
      <c r="BX158" s="409">
        <v>0</v>
      </c>
      <c r="BY158" s="409">
        <v>0</v>
      </c>
      <c r="BZ158" s="453">
        <f t="shared" si="61"/>
        <v>0</v>
      </c>
      <c r="CA158" s="454">
        <f t="shared" si="62"/>
        <v>1000</v>
      </c>
      <c r="CB158" s="411"/>
      <c r="CC158" s="411"/>
      <c r="CD158" s="411"/>
      <c r="CE158" s="411"/>
      <c r="CF158" s="411"/>
      <c r="CG158" s="412"/>
      <c r="CH158" s="413"/>
      <c r="CI158" s="414" t="s">
        <v>1603</v>
      </c>
      <c r="CJ158" s="415">
        <v>0</v>
      </c>
      <c r="CK158" s="415">
        <v>0</v>
      </c>
      <c r="CL158" s="415">
        <v>0</v>
      </c>
      <c r="CM158" s="415">
        <v>0</v>
      </c>
      <c r="CN158" s="415">
        <v>0</v>
      </c>
      <c r="CO158" s="415">
        <v>0</v>
      </c>
      <c r="CP158" s="415">
        <v>0</v>
      </c>
      <c r="CQ158" s="415">
        <v>0</v>
      </c>
      <c r="CR158" s="415">
        <v>0</v>
      </c>
      <c r="CS158" s="415">
        <v>0</v>
      </c>
      <c r="CT158" s="415">
        <v>0</v>
      </c>
      <c r="CU158" s="415">
        <v>0</v>
      </c>
      <c r="CV158" s="410">
        <f t="shared" si="64"/>
        <v>0</v>
      </c>
      <c r="CW158" s="415">
        <v>0</v>
      </c>
      <c r="CX158" s="415">
        <v>0</v>
      </c>
      <c r="CY158" s="415">
        <v>0</v>
      </c>
      <c r="CZ158" s="415">
        <v>2100</v>
      </c>
      <c r="DA158" s="415">
        <v>0</v>
      </c>
      <c r="DB158" s="415">
        <v>0</v>
      </c>
      <c r="DC158" s="415">
        <v>0</v>
      </c>
      <c r="DD158" s="415">
        <v>0</v>
      </c>
      <c r="DE158" s="415">
        <v>0</v>
      </c>
      <c r="DF158" s="415">
        <v>0</v>
      </c>
      <c r="DG158" s="415">
        <v>0</v>
      </c>
      <c r="DH158" s="415">
        <v>0</v>
      </c>
      <c r="DI158" s="410">
        <f t="shared" si="65"/>
        <v>2100</v>
      </c>
      <c r="DJ158" s="415">
        <v>0</v>
      </c>
      <c r="DK158" s="415">
        <v>0</v>
      </c>
      <c r="DL158" s="415">
        <v>0</v>
      </c>
      <c r="DM158" s="415">
        <v>0</v>
      </c>
      <c r="DN158" s="415">
        <v>0</v>
      </c>
      <c r="DO158" s="415">
        <v>0</v>
      </c>
      <c r="DP158" s="415">
        <v>0</v>
      </c>
      <c r="DQ158" s="415">
        <v>0</v>
      </c>
      <c r="DR158" s="415">
        <v>0</v>
      </c>
      <c r="DS158" s="415">
        <v>0</v>
      </c>
      <c r="DT158" s="415">
        <v>0</v>
      </c>
      <c r="DU158" s="415">
        <v>0</v>
      </c>
      <c r="DV158" s="410">
        <f t="shared" si="66"/>
        <v>0</v>
      </c>
      <c r="DW158" s="415">
        <v>0</v>
      </c>
      <c r="DX158" s="415">
        <v>0</v>
      </c>
      <c r="DY158" s="415">
        <v>0</v>
      </c>
      <c r="DZ158" s="415">
        <v>0</v>
      </c>
      <c r="EA158" s="415">
        <v>0</v>
      </c>
      <c r="EB158" s="415">
        <v>0</v>
      </c>
      <c r="EC158" s="415">
        <v>0</v>
      </c>
      <c r="ED158" s="415">
        <v>0</v>
      </c>
      <c r="EE158" s="415">
        <v>0</v>
      </c>
      <c r="EF158" s="415">
        <v>0</v>
      </c>
      <c r="EG158" s="415">
        <v>0</v>
      </c>
      <c r="EH158" s="415">
        <v>0</v>
      </c>
      <c r="EI158" s="410">
        <f t="shared" si="67"/>
        <v>0</v>
      </c>
      <c r="EJ158" s="415">
        <v>0</v>
      </c>
      <c r="EK158" s="415">
        <v>0</v>
      </c>
      <c r="EL158" s="415">
        <v>0</v>
      </c>
      <c r="EM158" s="415">
        <v>0</v>
      </c>
      <c r="EN158" s="415">
        <v>0</v>
      </c>
      <c r="EO158" s="415">
        <v>0</v>
      </c>
      <c r="EP158" s="415">
        <v>0</v>
      </c>
      <c r="EQ158" s="415">
        <v>0</v>
      </c>
      <c r="ER158" s="415">
        <v>0</v>
      </c>
      <c r="ES158" s="415">
        <v>0</v>
      </c>
      <c r="ET158" s="415">
        <v>0</v>
      </c>
      <c r="EU158" s="415">
        <v>0</v>
      </c>
      <c r="EV158" s="410">
        <f t="shared" si="68"/>
        <v>0</v>
      </c>
      <c r="EW158" s="416">
        <f t="shared" si="69"/>
        <v>2100</v>
      </c>
      <c r="EX158" s="417">
        <f>IFERROR(VLOOKUP(H158,CEI_012018!$A$1:$U$509,9,FALSE),0)</f>
        <v>0</v>
      </c>
      <c r="EY158" s="417">
        <f>IFERROR(VLOOKUP(H158,CEI_022018!$A$1:$U$509,9,FALSE),0)</f>
        <v>0</v>
      </c>
      <c r="EZ158" s="417">
        <f>IFERROR(VLOOKUP(H158,CEI_032018!$A$1:$U$509,9,FALSE),0)</f>
        <v>0</v>
      </c>
      <c r="FA158" s="417">
        <f>IFERROR(VLOOKUP(H158,CEI_042018!$A$1:$U$491,9,FALSE),0)</f>
        <v>0</v>
      </c>
      <c r="FB158" s="417">
        <f>IFERROR(VLOOKUP(H158,CEI_052018!$A$1:$U$489,9,FALSE),0)</f>
        <v>0</v>
      </c>
      <c r="FC158" s="417">
        <f>IFERROR(VLOOKUP(H158,CEI_062018!$A$1:$U$489,9,FALSE),0)</f>
        <v>0</v>
      </c>
      <c r="FD158" s="417">
        <f>IFERROR(VLOOKUP(H158,CEI_072018!$A$1:$U$489,9,FALSE),0)</f>
        <v>0</v>
      </c>
      <c r="FE158" s="417">
        <f>IFERROR(VLOOKUP(H158,CEI_082018!$A$1:$U$489,9,FALSE),0)</f>
        <v>0</v>
      </c>
      <c r="FF158" s="417">
        <f>IFERROR(VLOOKUP(H158,CEI_092018!$A$1:$U$489,9,FALSE),0)</f>
        <v>0</v>
      </c>
      <c r="FG158" s="417"/>
      <c r="FH158" s="417"/>
      <c r="FI158" s="417"/>
      <c r="FJ158" s="418">
        <f>IFERROR(VLOOKUP(H158,CEI_092018!$A$1:$U$489,12,FALSE),0)</f>
        <v>0</v>
      </c>
      <c r="FK158" s="418">
        <f t="shared" si="56"/>
        <v>0</v>
      </c>
      <c r="FL158" s="418">
        <f t="shared" si="57"/>
        <v>0</v>
      </c>
      <c r="FM158" s="417"/>
      <c r="FN158" s="417"/>
      <c r="FO158" s="417"/>
      <c r="FP158" s="417"/>
      <c r="FQ158" s="417"/>
      <c r="FR158" s="417"/>
      <c r="FS158" s="417"/>
      <c r="FT158" s="417"/>
      <c r="FU158" s="417"/>
      <c r="FV158" s="417"/>
      <c r="FW158" s="417"/>
      <c r="FX158" s="417"/>
      <c r="FY158" s="418"/>
      <c r="FZ158" s="418"/>
      <c r="GA158" s="418"/>
      <c r="GB158" s="417"/>
      <c r="GC158" s="417"/>
      <c r="GD158" s="417"/>
      <c r="GE158" s="417"/>
      <c r="GF158" s="417"/>
      <c r="GG158" s="417"/>
      <c r="GH158" s="417"/>
      <c r="GI158" s="417"/>
      <c r="GJ158" s="417"/>
      <c r="GK158" s="417"/>
      <c r="GL158" s="417"/>
      <c r="GM158" s="417"/>
      <c r="GN158" s="418"/>
      <c r="GO158" s="418"/>
      <c r="GP158" s="418"/>
      <c r="GQ158" s="417"/>
      <c r="GR158" s="417"/>
      <c r="GS158" s="417"/>
      <c r="GT158" s="417"/>
      <c r="GU158" s="417"/>
      <c r="GV158" s="417"/>
      <c r="GW158" s="417"/>
      <c r="GX158" s="417"/>
      <c r="GY158" s="417"/>
      <c r="GZ158" s="417"/>
      <c r="HA158" s="417"/>
      <c r="HB158" s="417"/>
      <c r="HC158" s="418"/>
      <c r="HD158" s="418"/>
      <c r="HE158" s="418"/>
      <c r="HF158" s="417"/>
      <c r="HG158" s="417"/>
      <c r="HH158" s="417"/>
      <c r="HI158" s="417"/>
      <c r="HJ158" s="417"/>
      <c r="HK158" s="417"/>
      <c r="HL158" s="417"/>
      <c r="HM158" s="417"/>
      <c r="HN158" s="417"/>
      <c r="HO158" s="417"/>
      <c r="HP158" s="417"/>
      <c r="HQ158" s="417"/>
      <c r="HR158" s="418"/>
      <c r="HS158" s="418"/>
      <c r="HT158" s="418"/>
    </row>
    <row r="159" spans="1:228" s="387" customFormat="1" ht="12.75" customHeight="1" x14ac:dyDescent="0.2">
      <c r="A159" s="406" t="s">
        <v>55</v>
      </c>
      <c r="B159" s="407" t="s">
        <v>41</v>
      </c>
      <c r="C159" s="406" t="s">
        <v>999</v>
      </c>
      <c r="D159" s="407" t="s">
        <v>1003</v>
      </c>
      <c r="E159" s="407" t="s">
        <v>474</v>
      </c>
      <c r="F159" s="407" t="s">
        <v>475</v>
      </c>
      <c r="G159" s="406" t="s">
        <v>60</v>
      </c>
      <c r="H159" s="408" t="s">
        <v>520</v>
      </c>
      <c r="I159" s="408" t="s">
        <v>57</v>
      </c>
      <c r="J159" s="406" t="s">
        <v>942</v>
      </c>
      <c r="K159" s="406" t="s">
        <v>477</v>
      </c>
      <c r="L159" s="406" t="s">
        <v>478</v>
      </c>
      <c r="M159" s="406" t="s">
        <v>57</v>
      </c>
      <c r="N159" s="452">
        <v>0</v>
      </c>
      <c r="O159" s="452">
        <v>0</v>
      </c>
      <c r="P159" s="452">
        <v>0</v>
      </c>
      <c r="Q159" s="452">
        <v>0</v>
      </c>
      <c r="R159" s="452">
        <v>0</v>
      </c>
      <c r="S159" s="452">
        <v>0</v>
      </c>
      <c r="T159" s="452">
        <v>0</v>
      </c>
      <c r="U159" s="409">
        <v>0</v>
      </c>
      <c r="V159" s="409">
        <v>0</v>
      </c>
      <c r="W159" s="409">
        <v>0</v>
      </c>
      <c r="X159" s="409">
        <v>0</v>
      </c>
      <c r="Y159" s="409">
        <v>0</v>
      </c>
      <c r="Z159" s="453">
        <f t="shared" si="63"/>
        <v>0</v>
      </c>
      <c r="AA159" s="452">
        <v>0</v>
      </c>
      <c r="AB159" s="452">
        <v>0</v>
      </c>
      <c r="AC159" s="452">
        <v>0</v>
      </c>
      <c r="AD159" s="452">
        <v>4000</v>
      </c>
      <c r="AE159" s="452">
        <v>0</v>
      </c>
      <c r="AF159" s="452">
        <v>0</v>
      </c>
      <c r="AG159" s="452">
        <v>0</v>
      </c>
      <c r="AH159" s="409">
        <v>0</v>
      </c>
      <c r="AI159" s="409">
        <v>0</v>
      </c>
      <c r="AJ159" s="409">
        <v>0</v>
      </c>
      <c r="AK159" s="409">
        <v>0</v>
      </c>
      <c r="AL159" s="409">
        <v>0</v>
      </c>
      <c r="AM159" s="453">
        <f t="shared" si="58"/>
        <v>4000</v>
      </c>
      <c r="AN159" s="452">
        <v>0</v>
      </c>
      <c r="AO159" s="452">
        <v>0</v>
      </c>
      <c r="AP159" s="452">
        <v>0</v>
      </c>
      <c r="AQ159" s="452">
        <v>0</v>
      </c>
      <c r="AR159" s="452">
        <v>0</v>
      </c>
      <c r="AS159" s="452">
        <v>0</v>
      </c>
      <c r="AT159" s="452">
        <v>0</v>
      </c>
      <c r="AU159" s="409">
        <v>0</v>
      </c>
      <c r="AV159" s="409">
        <v>0</v>
      </c>
      <c r="AW159" s="409">
        <v>0</v>
      </c>
      <c r="AX159" s="409">
        <v>0</v>
      </c>
      <c r="AY159" s="409">
        <v>0</v>
      </c>
      <c r="AZ159" s="453">
        <f t="shared" si="59"/>
        <v>0</v>
      </c>
      <c r="BA159" s="452">
        <v>0</v>
      </c>
      <c r="BB159" s="452">
        <v>0</v>
      </c>
      <c r="BC159" s="452">
        <v>0</v>
      </c>
      <c r="BD159" s="452">
        <v>0</v>
      </c>
      <c r="BE159" s="452">
        <v>0</v>
      </c>
      <c r="BF159" s="452">
        <v>0</v>
      </c>
      <c r="BG159" s="452">
        <v>0</v>
      </c>
      <c r="BH159" s="409">
        <v>0</v>
      </c>
      <c r="BI159" s="409">
        <v>0</v>
      </c>
      <c r="BJ159" s="409">
        <v>0</v>
      </c>
      <c r="BK159" s="409">
        <v>0</v>
      </c>
      <c r="BL159" s="409">
        <v>0</v>
      </c>
      <c r="BM159" s="453">
        <f t="shared" si="60"/>
        <v>0</v>
      </c>
      <c r="BN159" s="452">
        <v>0</v>
      </c>
      <c r="BO159" s="452">
        <v>0</v>
      </c>
      <c r="BP159" s="452">
        <v>0</v>
      </c>
      <c r="BQ159" s="452">
        <v>0</v>
      </c>
      <c r="BR159" s="452">
        <v>0</v>
      </c>
      <c r="BS159" s="452">
        <v>0</v>
      </c>
      <c r="BT159" s="452">
        <v>0</v>
      </c>
      <c r="BU159" s="409">
        <v>0</v>
      </c>
      <c r="BV159" s="409">
        <v>0</v>
      </c>
      <c r="BW159" s="409">
        <v>0</v>
      </c>
      <c r="BX159" s="409">
        <v>0</v>
      </c>
      <c r="BY159" s="409">
        <v>0</v>
      </c>
      <c r="BZ159" s="453">
        <f t="shared" si="61"/>
        <v>0</v>
      </c>
      <c r="CA159" s="454">
        <f t="shared" si="62"/>
        <v>4000</v>
      </c>
      <c r="CB159" s="411"/>
      <c r="CC159" s="411"/>
      <c r="CD159" s="411"/>
      <c r="CE159" s="411"/>
      <c r="CF159" s="411"/>
      <c r="CG159" s="412"/>
      <c r="CH159" s="413"/>
      <c r="CI159" s="414" t="s">
        <v>1603</v>
      </c>
      <c r="CJ159" s="415">
        <v>0</v>
      </c>
      <c r="CK159" s="415">
        <v>0</v>
      </c>
      <c r="CL159" s="415">
        <v>0</v>
      </c>
      <c r="CM159" s="415">
        <v>0</v>
      </c>
      <c r="CN159" s="415">
        <v>0</v>
      </c>
      <c r="CO159" s="415">
        <v>0</v>
      </c>
      <c r="CP159" s="415">
        <v>0</v>
      </c>
      <c r="CQ159" s="415">
        <v>0</v>
      </c>
      <c r="CR159" s="415">
        <v>0</v>
      </c>
      <c r="CS159" s="415">
        <v>0</v>
      </c>
      <c r="CT159" s="415">
        <v>0</v>
      </c>
      <c r="CU159" s="415">
        <v>0</v>
      </c>
      <c r="CV159" s="410">
        <f t="shared" si="64"/>
        <v>0</v>
      </c>
      <c r="CW159" s="415">
        <v>0</v>
      </c>
      <c r="CX159" s="415">
        <v>0</v>
      </c>
      <c r="CY159" s="415">
        <v>0</v>
      </c>
      <c r="CZ159" s="415">
        <v>2100</v>
      </c>
      <c r="DA159" s="415">
        <v>0</v>
      </c>
      <c r="DB159" s="415">
        <v>0</v>
      </c>
      <c r="DC159" s="415">
        <v>0</v>
      </c>
      <c r="DD159" s="415">
        <v>0</v>
      </c>
      <c r="DE159" s="415">
        <v>0</v>
      </c>
      <c r="DF159" s="415">
        <v>0</v>
      </c>
      <c r="DG159" s="415">
        <v>0</v>
      </c>
      <c r="DH159" s="415">
        <v>0</v>
      </c>
      <c r="DI159" s="410">
        <f t="shared" si="65"/>
        <v>2100</v>
      </c>
      <c r="DJ159" s="415">
        <v>0</v>
      </c>
      <c r="DK159" s="415">
        <v>0</v>
      </c>
      <c r="DL159" s="415">
        <v>0</v>
      </c>
      <c r="DM159" s="415">
        <v>0</v>
      </c>
      <c r="DN159" s="415">
        <v>0</v>
      </c>
      <c r="DO159" s="415">
        <v>0</v>
      </c>
      <c r="DP159" s="415">
        <v>0</v>
      </c>
      <c r="DQ159" s="415">
        <v>0</v>
      </c>
      <c r="DR159" s="415">
        <v>0</v>
      </c>
      <c r="DS159" s="415">
        <v>0</v>
      </c>
      <c r="DT159" s="415">
        <v>0</v>
      </c>
      <c r="DU159" s="415">
        <v>0</v>
      </c>
      <c r="DV159" s="410">
        <f t="shared" si="66"/>
        <v>0</v>
      </c>
      <c r="DW159" s="415">
        <v>0</v>
      </c>
      <c r="DX159" s="415">
        <v>0</v>
      </c>
      <c r="DY159" s="415">
        <v>0</v>
      </c>
      <c r="DZ159" s="415">
        <v>0</v>
      </c>
      <c r="EA159" s="415">
        <v>0</v>
      </c>
      <c r="EB159" s="415">
        <v>0</v>
      </c>
      <c r="EC159" s="415">
        <v>0</v>
      </c>
      <c r="ED159" s="415">
        <v>0</v>
      </c>
      <c r="EE159" s="415">
        <v>0</v>
      </c>
      <c r="EF159" s="415">
        <v>0</v>
      </c>
      <c r="EG159" s="415">
        <v>0</v>
      </c>
      <c r="EH159" s="415">
        <v>0</v>
      </c>
      <c r="EI159" s="410">
        <f t="shared" si="67"/>
        <v>0</v>
      </c>
      <c r="EJ159" s="415">
        <v>0</v>
      </c>
      <c r="EK159" s="415">
        <v>0</v>
      </c>
      <c r="EL159" s="415">
        <v>0</v>
      </c>
      <c r="EM159" s="415">
        <v>0</v>
      </c>
      <c r="EN159" s="415">
        <v>0</v>
      </c>
      <c r="EO159" s="415">
        <v>0</v>
      </c>
      <c r="EP159" s="415">
        <v>0</v>
      </c>
      <c r="EQ159" s="415">
        <v>0</v>
      </c>
      <c r="ER159" s="415">
        <v>0</v>
      </c>
      <c r="ES159" s="415">
        <v>0</v>
      </c>
      <c r="ET159" s="415">
        <v>0</v>
      </c>
      <c r="EU159" s="415">
        <v>0</v>
      </c>
      <c r="EV159" s="410">
        <f t="shared" si="68"/>
        <v>0</v>
      </c>
      <c r="EW159" s="416">
        <f t="shared" si="69"/>
        <v>2100</v>
      </c>
      <c r="EX159" s="417">
        <f>IFERROR(VLOOKUP(H159,CEI_012018!$A$1:$U$509,9,FALSE),0)</f>
        <v>0</v>
      </c>
      <c r="EY159" s="417">
        <f>IFERROR(VLOOKUP(H159,CEI_022018!$A$1:$U$509,9,FALSE),0)</f>
        <v>0</v>
      </c>
      <c r="EZ159" s="417">
        <f>IFERROR(VLOOKUP(H159,CEI_032018!$A$1:$U$509,9,FALSE),0)</f>
        <v>0</v>
      </c>
      <c r="FA159" s="417">
        <f>IFERROR(VLOOKUP(H159,CEI_042018!$A$1:$U$491,9,FALSE),0)</f>
        <v>0</v>
      </c>
      <c r="FB159" s="417">
        <f>IFERROR(VLOOKUP(H159,CEI_052018!$A$1:$U$489,9,FALSE),0)</f>
        <v>0</v>
      </c>
      <c r="FC159" s="417">
        <f>IFERROR(VLOOKUP(H159,CEI_062018!$A$1:$U$489,9,FALSE),0)</f>
        <v>0</v>
      </c>
      <c r="FD159" s="417">
        <f>IFERROR(VLOOKUP(H159,CEI_072018!$A$1:$U$489,9,FALSE),0)</f>
        <v>0</v>
      </c>
      <c r="FE159" s="417">
        <f>IFERROR(VLOOKUP(H159,CEI_082018!$A$1:$U$489,9,FALSE),0)</f>
        <v>0</v>
      </c>
      <c r="FF159" s="417">
        <f>IFERROR(VLOOKUP(H159,CEI_092018!$A$1:$U$489,9,FALSE),0)</f>
        <v>0</v>
      </c>
      <c r="FG159" s="417"/>
      <c r="FH159" s="417"/>
      <c r="FI159" s="417"/>
      <c r="FJ159" s="418">
        <f>IFERROR(VLOOKUP(H159,CEI_092018!$A$1:$U$489,12,FALSE),0)</f>
        <v>0</v>
      </c>
      <c r="FK159" s="418">
        <f t="shared" si="56"/>
        <v>0</v>
      </c>
      <c r="FL159" s="418">
        <f t="shared" si="57"/>
        <v>0</v>
      </c>
      <c r="FM159" s="417"/>
      <c r="FN159" s="417"/>
      <c r="FO159" s="417"/>
      <c r="FP159" s="417"/>
      <c r="FQ159" s="417"/>
      <c r="FR159" s="417"/>
      <c r="FS159" s="417"/>
      <c r="FT159" s="417"/>
      <c r="FU159" s="417"/>
      <c r="FV159" s="417"/>
      <c r="FW159" s="417"/>
      <c r="FX159" s="417"/>
      <c r="FY159" s="418"/>
      <c r="FZ159" s="418"/>
      <c r="GA159" s="418"/>
      <c r="GB159" s="417"/>
      <c r="GC159" s="417"/>
      <c r="GD159" s="417"/>
      <c r="GE159" s="417"/>
      <c r="GF159" s="417"/>
      <c r="GG159" s="417"/>
      <c r="GH159" s="417"/>
      <c r="GI159" s="417"/>
      <c r="GJ159" s="417"/>
      <c r="GK159" s="417"/>
      <c r="GL159" s="417"/>
      <c r="GM159" s="417"/>
      <c r="GN159" s="418"/>
      <c r="GO159" s="418"/>
      <c r="GP159" s="418"/>
      <c r="GQ159" s="417"/>
      <c r="GR159" s="417"/>
      <c r="GS159" s="417"/>
      <c r="GT159" s="417"/>
      <c r="GU159" s="417"/>
      <c r="GV159" s="417"/>
      <c r="GW159" s="417"/>
      <c r="GX159" s="417"/>
      <c r="GY159" s="417"/>
      <c r="GZ159" s="417"/>
      <c r="HA159" s="417"/>
      <c r="HB159" s="417"/>
      <c r="HC159" s="418"/>
      <c r="HD159" s="418"/>
      <c r="HE159" s="418"/>
      <c r="HF159" s="417"/>
      <c r="HG159" s="417"/>
      <c r="HH159" s="417"/>
      <c r="HI159" s="417"/>
      <c r="HJ159" s="417"/>
      <c r="HK159" s="417"/>
      <c r="HL159" s="417"/>
      <c r="HM159" s="417"/>
      <c r="HN159" s="417"/>
      <c r="HO159" s="417"/>
      <c r="HP159" s="417"/>
      <c r="HQ159" s="417"/>
      <c r="HR159" s="418"/>
      <c r="HS159" s="418"/>
      <c r="HT159" s="418"/>
    </row>
    <row r="160" spans="1:228" s="387" customFormat="1" ht="12.75" customHeight="1" x14ac:dyDescent="0.2">
      <c r="A160" s="406" t="s">
        <v>55</v>
      </c>
      <c r="B160" s="407" t="s">
        <v>41</v>
      </c>
      <c r="C160" s="406" t="s">
        <v>999</v>
      </c>
      <c r="D160" s="407" t="s">
        <v>1003</v>
      </c>
      <c r="E160" s="407" t="s">
        <v>474</v>
      </c>
      <c r="F160" s="407" t="s">
        <v>475</v>
      </c>
      <c r="G160" s="406" t="s">
        <v>60</v>
      </c>
      <c r="H160" s="408" t="s">
        <v>520</v>
      </c>
      <c r="I160" s="408" t="s">
        <v>57</v>
      </c>
      <c r="J160" s="406" t="s">
        <v>476</v>
      </c>
      <c r="K160" s="406" t="s">
        <v>477</v>
      </c>
      <c r="L160" s="406" t="s">
        <v>478</v>
      </c>
      <c r="M160" s="406" t="s">
        <v>57</v>
      </c>
      <c r="N160" s="452">
        <v>0</v>
      </c>
      <c r="O160" s="452">
        <v>0</v>
      </c>
      <c r="P160" s="452">
        <v>0</v>
      </c>
      <c r="Q160" s="452">
        <v>0</v>
      </c>
      <c r="R160" s="452">
        <v>0</v>
      </c>
      <c r="S160" s="452">
        <v>0</v>
      </c>
      <c r="T160" s="452">
        <v>0</v>
      </c>
      <c r="U160" s="409">
        <v>0</v>
      </c>
      <c r="V160" s="409">
        <v>0</v>
      </c>
      <c r="W160" s="409">
        <v>0</v>
      </c>
      <c r="X160" s="409">
        <v>0</v>
      </c>
      <c r="Y160" s="409">
        <v>0</v>
      </c>
      <c r="Z160" s="453">
        <f t="shared" si="63"/>
        <v>0</v>
      </c>
      <c r="AA160" s="452">
        <v>0</v>
      </c>
      <c r="AB160" s="452">
        <v>0</v>
      </c>
      <c r="AC160" s="452">
        <v>0</v>
      </c>
      <c r="AD160" s="452">
        <v>10000</v>
      </c>
      <c r="AE160" s="452">
        <v>0</v>
      </c>
      <c r="AF160" s="452">
        <v>0</v>
      </c>
      <c r="AG160" s="452">
        <v>0</v>
      </c>
      <c r="AH160" s="409">
        <v>0</v>
      </c>
      <c r="AI160" s="409">
        <v>0</v>
      </c>
      <c r="AJ160" s="409">
        <v>0</v>
      </c>
      <c r="AK160" s="409">
        <v>0</v>
      </c>
      <c r="AL160" s="409">
        <v>0</v>
      </c>
      <c r="AM160" s="453">
        <f t="shared" si="58"/>
        <v>10000</v>
      </c>
      <c r="AN160" s="452">
        <v>0</v>
      </c>
      <c r="AO160" s="452">
        <v>0</v>
      </c>
      <c r="AP160" s="452">
        <v>0</v>
      </c>
      <c r="AQ160" s="452">
        <v>0</v>
      </c>
      <c r="AR160" s="452">
        <v>0</v>
      </c>
      <c r="AS160" s="452">
        <v>0</v>
      </c>
      <c r="AT160" s="452">
        <v>0</v>
      </c>
      <c r="AU160" s="409">
        <v>0</v>
      </c>
      <c r="AV160" s="409">
        <v>0</v>
      </c>
      <c r="AW160" s="409">
        <v>0</v>
      </c>
      <c r="AX160" s="409">
        <v>0</v>
      </c>
      <c r="AY160" s="409">
        <v>0</v>
      </c>
      <c r="AZ160" s="453">
        <f t="shared" si="59"/>
        <v>0</v>
      </c>
      <c r="BA160" s="452">
        <v>0</v>
      </c>
      <c r="BB160" s="452">
        <v>0</v>
      </c>
      <c r="BC160" s="452">
        <v>0</v>
      </c>
      <c r="BD160" s="452">
        <v>0</v>
      </c>
      <c r="BE160" s="452">
        <v>0</v>
      </c>
      <c r="BF160" s="452">
        <v>0</v>
      </c>
      <c r="BG160" s="452">
        <v>0</v>
      </c>
      <c r="BH160" s="409">
        <v>0</v>
      </c>
      <c r="BI160" s="409">
        <v>0</v>
      </c>
      <c r="BJ160" s="409">
        <v>0</v>
      </c>
      <c r="BK160" s="409">
        <v>0</v>
      </c>
      <c r="BL160" s="409">
        <v>0</v>
      </c>
      <c r="BM160" s="453">
        <f t="shared" si="60"/>
        <v>0</v>
      </c>
      <c r="BN160" s="452">
        <v>0</v>
      </c>
      <c r="BO160" s="452">
        <v>0</v>
      </c>
      <c r="BP160" s="452">
        <v>0</v>
      </c>
      <c r="BQ160" s="452">
        <v>0</v>
      </c>
      <c r="BR160" s="452">
        <v>0</v>
      </c>
      <c r="BS160" s="452">
        <v>0</v>
      </c>
      <c r="BT160" s="452">
        <v>0</v>
      </c>
      <c r="BU160" s="409">
        <v>0</v>
      </c>
      <c r="BV160" s="409">
        <v>0</v>
      </c>
      <c r="BW160" s="409">
        <v>0</v>
      </c>
      <c r="BX160" s="409">
        <v>0</v>
      </c>
      <c r="BY160" s="409">
        <v>0</v>
      </c>
      <c r="BZ160" s="453">
        <f t="shared" si="61"/>
        <v>0</v>
      </c>
      <c r="CA160" s="454">
        <f t="shared" si="62"/>
        <v>10000</v>
      </c>
      <c r="CB160" s="411"/>
      <c r="CC160" s="411"/>
      <c r="CD160" s="411"/>
      <c r="CE160" s="411"/>
      <c r="CF160" s="411"/>
      <c r="CG160" s="412"/>
      <c r="CH160" s="413"/>
      <c r="CI160" s="414" t="s">
        <v>1603</v>
      </c>
      <c r="CJ160" s="415">
        <v>0</v>
      </c>
      <c r="CK160" s="415">
        <v>0</v>
      </c>
      <c r="CL160" s="415">
        <v>0</v>
      </c>
      <c r="CM160" s="415">
        <v>0</v>
      </c>
      <c r="CN160" s="415">
        <v>0</v>
      </c>
      <c r="CO160" s="415">
        <v>0</v>
      </c>
      <c r="CP160" s="415">
        <v>0</v>
      </c>
      <c r="CQ160" s="415">
        <v>0</v>
      </c>
      <c r="CR160" s="415">
        <v>0</v>
      </c>
      <c r="CS160" s="415">
        <v>0</v>
      </c>
      <c r="CT160" s="415">
        <v>0</v>
      </c>
      <c r="CU160" s="415">
        <v>0</v>
      </c>
      <c r="CV160" s="410">
        <f t="shared" si="64"/>
        <v>0</v>
      </c>
      <c r="CW160" s="415">
        <v>0</v>
      </c>
      <c r="CX160" s="415">
        <v>0</v>
      </c>
      <c r="CY160" s="415">
        <v>0</v>
      </c>
      <c r="CZ160" s="415">
        <v>2100</v>
      </c>
      <c r="DA160" s="415">
        <v>0</v>
      </c>
      <c r="DB160" s="415">
        <v>0</v>
      </c>
      <c r="DC160" s="415">
        <v>0</v>
      </c>
      <c r="DD160" s="415">
        <v>0</v>
      </c>
      <c r="DE160" s="415">
        <v>0</v>
      </c>
      <c r="DF160" s="415">
        <v>0</v>
      </c>
      <c r="DG160" s="415">
        <v>0</v>
      </c>
      <c r="DH160" s="415">
        <v>0</v>
      </c>
      <c r="DI160" s="410">
        <f t="shared" si="65"/>
        <v>2100</v>
      </c>
      <c r="DJ160" s="415">
        <v>0</v>
      </c>
      <c r="DK160" s="415">
        <v>0</v>
      </c>
      <c r="DL160" s="415">
        <v>0</v>
      </c>
      <c r="DM160" s="415">
        <v>0</v>
      </c>
      <c r="DN160" s="415">
        <v>0</v>
      </c>
      <c r="DO160" s="415">
        <v>0</v>
      </c>
      <c r="DP160" s="415">
        <v>0</v>
      </c>
      <c r="DQ160" s="415">
        <v>0</v>
      </c>
      <c r="DR160" s="415">
        <v>0</v>
      </c>
      <c r="DS160" s="415">
        <v>0</v>
      </c>
      <c r="DT160" s="415">
        <v>0</v>
      </c>
      <c r="DU160" s="415">
        <v>0</v>
      </c>
      <c r="DV160" s="410">
        <f t="shared" si="66"/>
        <v>0</v>
      </c>
      <c r="DW160" s="415">
        <v>0</v>
      </c>
      <c r="DX160" s="415">
        <v>0</v>
      </c>
      <c r="DY160" s="415">
        <v>0</v>
      </c>
      <c r="DZ160" s="415">
        <v>0</v>
      </c>
      <c r="EA160" s="415">
        <v>0</v>
      </c>
      <c r="EB160" s="415">
        <v>0</v>
      </c>
      <c r="EC160" s="415">
        <v>0</v>
      </c>
      <c r="ED160" s="415">
        <v>0</v>
      </c>
      <c r="EE160" s="415">
        <v>0</v>
      </c>
      <c r="EF160" s="415">
        <v>0</v>
      </c>
      <c r="EG160" s="415">
        <v>0</v>
      </c>
      <c r="EH160" s="415">
        <v>0</v>
      </c>
      <c r="EI160" s="410">
        <f t="shared" si="67"/>
        <v>0</v>
      </c>
      <c r="EJ160" s="415">
        <v>0</v>
      </c>
      <c r="EK160" s="415">
        <v>0</v>
      </c>
      <c r="EL160" s="415">
        <v>0</v>
      </c>
      <c r="EM160" s="415">
        <v>0</v>
      </c>
      <c r="EN160" s="415">
        <v>0</v>
      </c>
      <c r="EO160" s="415">
        <v>0</v>
      </c>
      <c r="EP160" s="415">
        <v>0</v>
      </c>
      <c r="EQ160" s="415">
        <v>0</v>
      </c>
      <c r="ER160" s="415">
        <v>0</v>
      </c>
      <c r="ES160" s="415">
        <v>0</v>
      </c>
      <c r="ET160" s="415">
        <v>0</v>
      </c>
      <c r="EU160" s="415">
        <v>0</v>
      </c>
      <c r="EV160" s="410">
        <f t="shared" si="68"/>
        <v>0</v>
      </c>
      <c r="EW160" s="416">
        <f t="shared" si="69"/>
        <v>2100</v>
      </c>
      <c r="EX160" s="417">
        <f>IFERROR(VLOOKUP(H160,CEI_012018!$A$1:$U$509,9,FALSE),0)</f>
        <v>0</v>
      </c>
      <c r="EY160" s="417">
        <f>IFERROR(VLOOKUP(H160,CEI_022018!$A$1:$U$509,9,FALSE),0)</f>
        <v>0</v>
      </c>
      <c r="EZ160" s="417">
        <f>IFERROR(VLOOKUP(H160,CEI_032018!$A$1:$U$509,9,FALSE),0)</f>
        <v>0</v>
      </c>
      <c r="FA160" s="417">
        <f>IFERROR(VLOOKUP(H160,CEI_042018!$A$1:$U$491,9,FALSE),0)</f>
        <v>0</v>
      </c>
      <c r="FB160" s="417">
        <f>IFERROR(VLOOKUP(H160,CEI_052018!$A$1:$U$489,9,FALSE),0)</f>
        <v>0</v>
      </c>
      <c r="FC160" s="417">
        <f>IFERROR(VLOOKUP(H160,CEI_062018!$A$1:$U$489,9,FALSE),0)</f>
        <v>0</v>
      </c>
      <c r="FD160" s="417">
        <f>IFERROR(VLOOKUP(H160,CEI_072018!$A$1:$U$489,9,FALSE),0)</f>
        <v>0</v>
      </c>
      <c r="FE160" s="417">
        <f>IFERROR(VLOOKUP(H160,CEI_082018!$A$1:$U$489,9,FALSE),0)</f>
        <v>0</v>
      </c>
      <c r="FF160" s="417">
        <f>IFERROR(VLOOKUP(H160,CEI_092018!$A$1:$U$489,9,FALSE),0)</f>
        <v>0</v>
      </c>
      <c r="FG160" s="417"/>
      <c r="FH160" s="417"/>
      <c r="FI160" s="417"/>
      <c r="FJ160" s="418">
        <f>IFERROR(VLOOKUP(H160,CEI_092018!$A$1:$U$489,12,FALSE),0)</f>
        <v>0</v>
      </c>
      <c r="FK160" s="418">
        <f t="shared" si="56"/>
        <v>0</v>
      </c>
      <c r="FL160" s="418">
        <f t="shared" si="57"/>
        <v>0</v>
      </c>
      <c r="FM160" s="417"/>
      <c r="FN160" s="417"/>
      <c r="FO160" s="417"/>
      <c r="FP160" s="417"/>
      <c r="FQ160" s="417"/>
      <c r="FR160" s="417"/>
      <c r="FS160" s="417"/>
      <c r="FT160" s="417"/>
      <c r="FU160" s="417"/>
      <c r="FV160" s="417"/>
      <c r="FW160" s="417"/>
      <c r="FX160" s="417"/>
      <c r="FY160" s="418"/>
      <c r="FZ160" s="418"/>
      <c r="GA160" s="418"/>
      <c r="GB160" s="417"/>
      <c r="GC160" s="417"/>
      <c r="GD160" s="417"/>
      <c r="GE160" s="417"/>
      <c r="GF160" s="417"/>
      <c r="GG160" s="417"/>
      <c r="GH160" s="417"/>
      <c r="GI160" s="417"/>
      <c r="GJ160" s="417"/>
      <c r="GK160" s="417"/>
      <c r="GL160" s="417"/>
      <c r="GM160" s="417"/>
      <c r="GN160" s="418"/>
      <c r="GO160" s="418"/>
      <c r="GP160" s="418"/>
      <c r="GQ160" s="417"/>
      <c r="GR160" s="417"/>
      <c r="GS160" s="417"/>
      <c r="GT160" s="417"/>
      <c r="GU160" s="417"/>
      <c r="GV160" s="417"/>
      <c r="GW160" s="417"/>
      <c r="GX160" s="417"/>
      <c r="GY160" s="417"/>
      <c r="GZ160" s="417"/>
      <c r="HA160" s="417"/>
      <c r="HB160" s="417"/>
      <c r="HC160" s="418"/>
      <c r="HD160" s="418"/>
      <c r="HE160" s="418"/>
      <c r="HF160" s="417"/>
      <c r="HG160" s="417"/>
      <c r="HH160" s="417"/>
      <c r="HI160" s="417"/>
      <c r="HJ160" s="417"/>
      <c r="HK160" s="417"/>
      <c r="HL160" s="417"/>
      <c r="HM160" s="417"/>
      <c r="HN160" s="417"/>
      <c r="HO160" s="417"/>
      <c r="HP160" s="417"/>
      <c r="HQ160" s="417"/>
      <c r="HR160" s="418"/>
      <c r="HS160" s="418"/>
      <c r="HT160" s="418"/>
    </row>
    <row r="161" spans="1:228" s="387" customFormat="1" ht="12.75" customHeight="1" x14ac:dyDescent="0.2">
      <c r="A161" s="406" t="s">
        <v>55</v>
      </c>
      <c r="B161" s="407" t="s">
        <v>41</v>
      </c>
      <c r="C161" s="406" t="s">
        <v>999</v>
      </c>
      <c r="D161" s="407" t="s">
        <v>1003</v>
      </c>
      <c r="E161" s="407" t="s">
        <v>999</v>
      </c>
      <c r="F161" s="407" t="s">
        <v>1003</v>
      </c>
      <c r="G161" s="406" t="s">
        <v>54</v>
      </c>
      <c r="H161" s="408" t="s">
        <v>1401</v>
      </c>
      <c r="I161" s="408" t="s">
        <v>1403</v>
      </c>
      <c r="J161" s="406" t="s">
        <v>1639</v>
      </c>
      <c r="K161" s="406" t="s">
        <v>374</v>
      </c>
      <c r="L161" s="406" t="s">
        <v>298</v>
      </c>
      <c r="M161" s="406" t="s">
        <v>57</v>
      </c>
      <c r="N161" s="452">
        <v>0</v>
      </c>
      <c r="O161" s="452">
        <v>0</v>
      </c>
      <c r="P161" s="452">
        <v>0</v>
      </c>
      <c r="Q161" s="452">
        <v>0</v>
      </c>
      <c r="R161" s="452">
        <v>0</v>
      </c>
      <c r="S161" s="452">
        <v>0</v>
      </c>
      <c r="T161" s="452">
        <v>0</v>
      </c>
      <c r="U161" s="409">
        <v>0</v>
      </c>
      <c r="V161" s="409">
        <v>0</v>
      </c>
      <c r="W161" s="409">
        <v>0</v>
      </c>
      <c r="X161" s="409">
        <v>0</v>
      </c>
      <c r="Y161" s="409">
        <v>4684</v>
      </c>
      <c r="Z161" s="453">
        <f t="shared" si="63"/>
        <v>4684</v>
      </c>
      <c r="AA161" s="452">
        <v>0</v>
      </c>
      <c r="AB161" s="452">
        <v>0</v>
      </c>
      <c r="AC161" s="452">
        <v>0</v>
      </c>
      <c r="AD161" s="452">
        <v>0</v>
      </c>
      <c r="AE161" s="452">
        <v>0</v>
      </c>
      <c r="AF161" s="452">
        <v>0</v>
      </c>
      <c r="AG161" s="452">
        <v>0</v>
      </c>
      <c r="AH161" s="409">
        <v>200</v>
      </c>
      <c r="AI161" s="409">
        <v>0</v>
      </c>
      <c r="AJ161" s="409">
        <v>0</v>
      </c>
      <c r="AK161" s="409">
        <v>0</v>
      </c>
      <c r="AL161" s="409">
        <v>0</v>
      </c>
      <c r="AM161" s="453">
        <f t="shared" si="58"/>
        <v>200</v>
      </c>
      <c r="AN161" s="452">
        <v>0</v>
      </c>
      <c r="AO161" s="452">
        <v>0</v>
      </c>
      <c r="AP161" s="452">
        <v>0</v>
      </c>
      <c r="AQ161" s="452">
        <v>0</v>
      </c>
      <c r="AR161" s="452">
        <v>0</v>
      </c>
      <c r="AS161" s="452">
        <v>0</v>
      </c>
      <c r="AT161" s="452">
        <v>0</v>
      </c>
      <c r="AU161" s="409">
        <v>0</v>
      </c>
      <c r="AV161" s="409">
        <v>0</v>
      </c>
      <c r="AW161" s="409">
        <v>0</v>
      </c>
      <c r="AX161" s="409">
        <v>2220</v>
      </c>
      <c r="AY161" s="409">
        <v>0</v>
      </c>
      <c r="AZ161" s="453">
        <f t="shared" si="59"/>
        <v>2220</v>
      </c>
      <c r="BA161" s="452">
        <v>0</v>
      </c>
      <c r="BB161" s="452">
        <v>0</v>
      </c>
      <c r="BC161" s="452">
        <v>0</v>
      </c>
      <c r="BD161" s="452">
        <v>0</v>
      </c>
      <c r="BE161" s="452">
        <v>0</v>
      </c>
      <c r="BF161" s="452">
        <v>0</v>
      </c>
      <c r="BG161" s="452">
        <v>0</v>
      </c>
      <c r="BH161" s="409">
        <v>200</v>
      </c>
      <c r="BI161" s="409">
        <v>0</v>
      </c>
      <c r="BJ161" s="409">
        <v>0</v>
      </c>
      <c r="BK161" s="409">
        <v>0</v>
      </c>
      <c r="BL161" s="409">
        <v>0</v>
      </c>
      <c r="BM161" s="453">
        <f t="shared" si="60"/>
        <v>200</v>
      </c>
      <c r="BN161" s="452">
        <v>0</v>
      </c>
      <c r="BO161" s="452">
        <v>0</v>
      </c>
      <c r="BP161" s="452">
        <v>0</v>
      </c>
      <c r="BQ161" s="452">
        <v>0</v>
      </c>
      <c r="BR161" s="452">
        <v>0</v>
      </c>
      <c r="BS161" s="452">
        <v>0</v>
      </c>
      <c r="BT161" s="452">
        <v>0</v>
      </c>
      <c r="BU161" s="409">
        <v>2736</v>
      </c>
      <c r="BV161" s="409">
        <v>0</v>
      </c>
      <c r="BW161" s="409">
        <v>0</v>
      </c>
      <c r="BX161" s="409">
        <v>0</v>
      </c>
      <c r="BY161" s="409">
        <v>0</v>
      </c>
      <c r="BZ161" s="453">
        <f t="shared" si="61"/>
        <v>2736</v>
      </c>
      <c r="CA161" s="454">
        <f t="shared" si="62"/>
        <v>10040</v>
      </c>
      <c r="CB161" s="419"/>
      <c r="CC161" s="419">
        <v>1</v>
      </c>
      <c r="CD161" s="419">
        <v>1</v>
      </c>
      <c r="CE161" s="419">
        <v>1</v>
      </c>
      <c r="CF161" s="419">
        <v>-1</v>
      </c>
      <c r="CG161" s="420">
        <f>IFERROR((FE161/Z161%),0)</f>
        <v>0</v>
      </c>
      <c r="CH161" s="421">
        <f>IFERROR((FK161/Z161%),0)</f>
        <v>99.278252762062337</v>
      </c>
      <c r="CI161" s="414" t="s">
        <v>1603</v>
      </c>
      <c r="CJ161" s="415">
        <v>0</v>
      </c>
      <c r="CK161" s="415">
        <v>0</v>
      </c>
      <c r="CL161" s="415">
        <v>0</v>
      </c>
      <c r="CM161" s="415">
        <v>0</v>
      </c>
      <c r="CN161" s="415">
        <v>0</v>
      </c>
      <c r="CO161" s="415">
        <v>0</v>
      </c>
      <c r="CP161" s="415">
        <v>0</v>
      </c>
      <c r="CQ161" s="415">
        <v>836.8</v>
      </c>
      <c r="CR161" s="415">
        <v>0</v>
      </c>
      <c r="CS161" s="415">
        <v>0</v>
      </c>
      <c r="CT161" s="415">
        <v>0</v>
      </c>
      <c r="CU161" s="415">
        <v>0</v>
      </c>
      <c r="CV161" s="410">
        <f t="shared" si="64"/>
        <v>836.8</v>
      </c>
      <c r="CW161" s="415">
        <v>0</v>
      </c>
      <c r="CX161" s="415">
        <v>0</v>
      </c>
      <c r="CY161" s="415">
        <v>0</v>
      </c>
      <c r="CZ161" s="415">
        <v>0</v>
      </c>
      <c r="DA161" s="415">
        <v>0</v>
      </c>
      <c r="DB161" s="415">
        <v>0</v>
      </c>
      <c r="DC161" s="415">
        <v>0</v>
      </c>
      <c r="DD161" s="415">
        <v>50</v>
      </c>
      <c r="DE161" s="415">
        <v>0</v>
      </c>
      <c r="DF161" s="415">
        <v>0</v>
      </c>
      <c r="DG161" s="415">
        <v>0</v>
      </c>
      <c r="DH161" s="415">
        <v>0</v>
      </c>
      <c r="DI161" s="410">
        <f t="shared" si="65"/>
        <v>50</v>
      </c>
      <c r="DJ161" s="415">
        <v>0</v>
      </c>
      <c r="DK161" s="415">
        <v>0</v>
      </c>
      <c r="DL161" s="415">
        <v>0</v>
      </c>
      <c r="DM161" s="415">
        <v>0</v>
      </c>
      <c r="DN161" s="415">
        <v>0</v>
      </c>
      <c r="DO161" s="415">
        <v>0</v>
      </c>
      <c r="DP161" s="415">
        <v>0</v>
      </c>
      <c r="DQ161" s="415">
        <v>0</v>
      </c>
      <c r="DR161" s="415">
        <v>0</v>
      </c>
      <c r="DS161" s="415">
        <v>0</v>
      </c>
      <c r="DT161" s="415">
        <v>532</v>
      </c>
      <c r="DU161" s="415">
        <v>0</v>
      </c>
      <c r="DV161" s="410">
        <f t="shared" si="66"/>
        <v>532</v>
      </c>
      <c r="DW161" s="415">
        <v>0</v>
      </c>
      <c r="DX161" s="415">
        <v>0</v>
      </c>
      <c r="DY161" s="415">
        <v>0</v>
      </c>
      <c r="DZ161" s="415">
        <v>0</v>
      </c>
      <c r="EA161" s="415">
        <v>0</v>
      </c>
      <c r="EB161" s="415">
        <v>0</v>
      </c>
      <c r="EC161" s="415">
        <v>0</v>
      </c>
      <c r="ED161" s="415">
        <v>50</v>
      </c>
      <c r="EE161" s="415">
        <v>0</v>
      </c>
      <c r="EF161" s="415">
        <v>0</v>
      </c>
      <c r="EG161" s="415">
        <v>0</v>
      </c>
      <c r="EH161" s="415">
        <v>0</v>
      </c>
      <c r="EI161" s="410">
        <f t="shared" si="67"/>
        <v>50</v>
      </c>
      <c r="EJ161" s="415">
        <v>0</v>
      </c>
      <c r="EK161" s="415">
        <v>0</v>
      </c>
      <c r="EL161" s="415">
        <v>0</v>
      </c>
      <c r="EM161" s="415">
        <v>0</v>
      </c>
      <c r="EN161" s="415">
        <v>0</v>
      </c>
      <c r="EO161" s="415">
        <v>0</v>
      </c>
      <c r="EP161" s="415">
        <v>0</v>
      </c>
      <c r="EQ161" s="415">
        <v>532</v>
      </c>
      <c r="ER161" s="415">
        <v>0</v>
      </c>
      <c r="ES161" s="415">
        <v>0</v>
      </c>
      <c r="ET161" s="415">
        <v>0</v>
      </c>
      <c r="EU161" s="415">
        <v>0</v>
      </c>
      <c r="EV161" s="410">
        <f t="shared" si="68"/>
        <v>532</v>
      </c>
      <c r="EW161" s="416">
        <f t="shared" si="69"/>
        <v>2000.8</v>
      </c>
      <c r="EX161" s="417">
        <f>IFERROR(VLOOKUP(H161,CEI_012018!$A$1:$U$509,9,FALSE),0)</f>
        <v>0</v>
      </c>
      <c r="EY161" s="417">
        <f>IFERROR(VLOOKUP(H161,CEI_022018!$A$1:$U$509,9,FALSE),0)</f>
        <v>0</v>
      </c>
      <c r="EZ161" s="417">
        <f>IFERROR(VLOOKUP(H161,CEI_032018!$A$1:$U$509,9,FALSE),0)</f>
        <v>0</v>
      </c>
      <c r="FA161" s="417">
        <f>IFERROR(VLOOKUP(H161,CEI_042018!$A$1:$U$491,9,FALSE),0)</f>
        <v>0</v>
      </c>
      <c r="FB161" s="417">
        <f>IFERROR(VLOOKUP(H161,CEI_052018!$A$1:$U$489,9,FALSE),0)</f>
        <v>0</v>
      </c>
      <c r="FC161" s="417">
        <f>IFERROR(VLOOKUP(H161,CEI_062018!$A$1:$U$489,9,FALSE),0)</f>
        <v>0</v>
      </c>
      <c r="FD161" s="417">
        <f>IFERROR(VLOOKUP(H161,CEI_072018!$A$1:$U$489,9,FALSE),0)</f>
        <v>0</v>
      </c>
      <c r="FE161" s="417">
        <f>IFERROR(VLOOKUP(H161,CEI_082018!$A$1:$U$489,9,FALSE),0)</f>
        <v>0</v>
      </c>
      <c r="FF161" s="417">
        <f>IFERROR(VLOOKUP(H161,CEI_092018!$A$1:$U$489,9,FALSE),0)</f>
        <v>0</v>
      </c>
      <c r="FG161" s="417"/>
      <c r="FH161" s="417"/>
      <c r="FI161" s="417"/>
      <c r="FJ161" s="418">
        <f>IFERROR(VLOOKUP(H161,CEI_092018!$A$1:$U$489,12,FALSE),0)</f>
        <v>4650.193359375</v>
      </c>
      <c r="FK161" s="418">
        <f t="shared" si="56"/>
        <v>4650.193359375</v>
      </c>
      <c r="FL161" s="418">
        <f t="shared" si="57"/>
        <v>33.806640625</v>
      </c>
      <c r="FM161" s="417"/>
      <c r="FN161" s="417"/>
      <c r="FO161" s="417"/>
      <c r="FP161" s="417"/>
      <c r="FQ161" s="417"/>
      <c r="FR161" s="417"/>
      <c r="FS161" s="417"/>
      <c r="FT161" s="417"/>
      <c r="FU161" s="417"/>
      <c r="FV161" s="417"/>
      <c r="FW161" s="417"/>
      <c r="FX161" s="417"/>
      <c r="FY161" s="418"/>
      <c r="FZ161" s="418"/>
      <c r="GA161" s="418"/>
      <c r="GB161" s="417"/>
      <c r="GC161" s="417"/>
      <c r="GD161" s="417"/>
      <c r="GE161" s="417"/>
      <c r="GF161" s="417"/>
      <c r="GG161" s="417"/>
      <c r="GH161" s="417"/>
      <c r="GI161" s="417"/>
      <c r="GJ161" s="417"/>
      <c r="GK161" s="417"/>
      <c r="GL161" s="417"/>
      <c r="GM161" s="417"/>
      <c r="GN161" s="418"/>
      <c r="GO161" s="418"/>
      <c r="GP161" s="418"/>
      <c r="GQ161" s="417"/>
      <c r="GR161" s="417"/>
      <c r="GS161" s="417"/>
      <c r="GT161" s="417"/>
      <c r="GU161" s="417"/>
      <c r="GV161" s="417"/>
      <c r="GW161" s="417"/>
      <c r="GX161" s="417"/>
      <c r="GY161" s="417"/>
      <c r="GZ161" s="417"/>
      <c r="HA161" s="417"/>
      <c r="HB161" s="417"/>
      <c r="HC161" s="418"/>
      <c r="HD161" s="418"/>
      <c r="HE161" s="418"/>
      <c r="HF161" s="417"/>
      <c r="HG161" s="417"/>
      <c r="HH161" s="417"/>
      <c r="HI161" s="417"/>
      <c r="HJ161" s="417"/>
      <c r="HK161" s="417"/>
      <c r="HL161" s="417"/>
      <c r="HM161" s="417"/>
      <c r="HN161" s="417"/>
      <c r="HO161" s="417"/>
      <c r="HP161" s="417"/>
      <c r="HQ161" s="417"/>
      <c r="HR161" s="418"/>
      <c r="HS161" s="418"/>
      <c r="HT161" s="418"/>
    </row>
    <row r="162" spans="1:228" s="387" customFormat="1" ht="12.75" customHeight="1" x14ac:dyDescent="0.2">
      <c r="A162" s="406" t="s">
        <v>55</v>
      </c>
      <c r="B162" s="407" t="s">
        <v>42</v>
      </c>
      <c r="C162" s="406" t="s">
        <v>999</v>
      </c>
      <c r="D162" s="407" t="s">
        <v>1003</v>
      </c>
      <c r="E162" s="407" t="s">
        <v>999</v>
      </c>
      <c r="F162" s="407" t="s">
        <v>1003</v>
      </c>
      <c r="G162" s="406" t="s">
        <v>54</v>
      </c>
      <c r="H162" s="408" t="s">
        <v>520</v>
      </c>
      <c r="I162" s="408" t="s">
        <v>57</v>
      </c>
      <c r="J162" s="406" t="s">
        <v>758</v>
      </c>
      <c r="K162" s="406" t="s">
        <v>759</v>
      </c>
      <c r="L162" s="406" t="s">
        <v>760</v>
      </c>
      <c r="M162" s="406" t="s">
        <v>57</v>
      </c>
      <c r="N162" s="452">
        <v>0</v>
      </c>
      <c r="O162" s="452">
        <v>0</v>
      </c>
      <c r="P162" s="452">
        <v>0</v>
      </c>
      <c r="Q162" s="452">
        <v>0</v>
      </c>
      <c r="R162" s="452">
        <v>0</v>
      </c>
      <c r="S162" s="452">
        <v>0</v>
      </c>
      <c r="T162" s="452">
        <v>0</v>
      </c>
      <c r="U162" s="409">
        <v>0</v>
      </c>
      <c r="V162" s="409">
        <v>0</v>
      </c>
      <c r="W162" s="409">
        <v>0</v>
      </c>
      <c r="X162" s="409">
        <v>0</v>
      </c>
      <c r="Y162" s="409">
        <v>0</v>
      </c>
      <c r="Z162" s="453">
        <f t="shared" si="63"/>
        <v>0</v>
      </c>
      <c r="AA162" s="452">
        <v>0</v>
      </c>
      <c r="AB162" s="452">
        <v>0</v>
      </c>
      <c r="AC162" s="452">
        <v>0</v>
      </c>
      <c r="AD162" s="452">
        <v>0</v>
      </c>
      <c r="AE162" s="452">
        <v>0</v>
      </c>
      <c r="AF162" s="452">
        <v>0</v>
      </c>
      <c r="AG162" s="452">
        <v>0</v>
      </c>
      <c r="AH162" s="409">
        <v>0</v>
      </c>
      <c r="AI162" s="409">
        <v>0</v>
      </c>
      <c r="AJ162" s="409">
        <v>0</v>
      </c>
      <c r="AK162" s="409">
        <v>0</v>
      </c>
      <c r="AL162" s="409">
        <v>0</v>
      </c>
      <c r="AM162" s="453">
        <f t="shared" si="58"/>
        <v>0</v>
      </c>
      <c r="AN162" s="452">
        <v>0</v>
      </c>
      <c r="AO162" s="452">
        <v>0</v>
      </c>
      <c r="AP162" s="452">
        <v>0</v>
      </c>
      <c r="AQ162" s="452">
        <v>0</v>
      </c>
      <c r="AR162" s="452">
        <v>0</v>
      </c>
      <c r="AS162" s="452">
        <v>0</v>
      </c>
      <c r="AT162" s="452">
        <v>0</v>
      </c>
      <c r="AU162" s="409">
        <v>0</v>
      </c>
      <c r="AV162" s="409">
        <v>0</v>
      </c>
      <c r="AW162" s="409">
        <v>0</v>
      </c>
      <c r="AX162" s="409">
        <v>0</v>
      </c>
      <c r="AY162" s="409">
        <v>0</v>
      </c>
      <c r="AZ162" s="453">
        <f t="shared" si="59"/>
        <v>0</v>
      </c>
      <c r="BA162" s="452">
        <v>0</v>
      </c>
      <c r="BB162" s="452">
        <v>0</v>
      </c>
      <c r="BC162" s="452">
        <v>0</v>
      </c>
      <c r="BD162" s="452">
        <v>0</v>
      </c>
      <c r="BE162" s="452">
        <v>0</v>
      </c>
      <c r="BF162" s="452">
        <v>750</v>
      </c>
      <c r="BG162" s="452">
        <v>0</v>
      </c>
      <c r="BH162" s="409">
        <v>0</v>
      </c>
      <c r="BI162" s="409">
        <v>0</v>
      </c>
      <c r="BJ162" s="409">
        <v>0</v>
      </c>
      <c r="BK162" s="409">
        <v>0</v>
      </c>
      <c r="BL162" s="409">
        <v>0</v>
      </c>
      <c r="BM162" s="453">
        <f t="shared" si="60"/>
        <v>750</v>
      </c>
      <c r="BN162" s="452">
        <v>0</v>
      </c>
      <c r="BO162" s="452">
        <v>0</v>
      </c>
      <c r="BP162" s="452">
        <v>0</v>
      </c>
      <c r="BQ162" s="452">
        <v>0</v>
      </c>
      <c r="BR162" s="452">
        <v>0</v>
      </c>
      <c r="BS162" s="452">
        <v>750</v>
      </c>
      <c r="BT162" s="452">
        <v>0</v>
      </c>
      <c r="BU162" s="409">
        <v>0</v>
      </c>
      <c r="BV162" s="409">
        <v>0</v>
      </c>
      <c r="BW162" s="409">
        <v>0</v>
      </c>
      <c r="BX162" s="409">
        <v>0</v>
      </c>
      <c r="BY162" s="409">
        <v>0</v>
      </c>
      <c r="BZ162" s="453">
        <f t="shared" si="61"/>
        <v>750</v>
      </c>
      <c r="CA162" s="454">
        <f t="shared" si="62"/>
        <v>1500</v>
      </c>
      <c r="CB162" s="411"/>
      <c r="CC162" s="411"/>
      <c r="CD162" s="411"/>
      <c r="CE162" s="411"/>
      <c r="CF162" s="411"/>
      <c r="CG162" s="412"/>
      <c r="CH162" s="413"/>
      <c r="CI162" s="414" t="s">
        <v>1624</v>
      </c>
      <c r="CJ162" s="415">
        <v>0</v>
      </c>
      <c r="CK162" s="415">
        <v>0</v>
      </c>
      <c r="CL162" s="415">
        <v>0</v>
      </c>
      <c r="CM162" s="415">
        <v>0</v>
      </c>
      <c r="CN162" s="415">
        <v>0</v>
      </c>
      <c r="CO162" s="415">
        <v>0</v>
      </c>
      <c r="CP162" s="415">
        <v>0</v>
      </c>
      <c r="CQ162" s="415">
        <v>0</v>
      </c>
      <c r="CR162" s="415">
        <v>0</v>
      </c>
      <c r="CS162" s="415">
        <v>0</v>
      </c>
      <c r="CT162" s="415">
        <v>0</v>
      </c>
      <c r="CU162" s="415">
        <v>0</v>
      </c>
      <c r="CV162" s="410">
        <f t="shared" si="64"/>
        <v>0</v>
      </c>
      <c r="CW162" s="415">
        <v>0</v>
      </c>
      <c r="CX162" s="415">
        <v>0</v>
      </c>
      <c r="CY162" s="415">
        <v>20</v>
      </c>
      <c r="CZ162" s="415">
        <v>0</v>
      </c>
      <c r="DA162" s="415">
        <v>0</v>
      </c>
      <c r="DB162" s="415">
        <v>0</v>
      </c>
      <c r="DC162" s="415">
        <v>0</v>
      </c>
      <c r="DD162" s="415">
        <v>0</v>
      </c>
      <c r="DE162" s="415">
        <v>0</v>
      </c>
      <c r="DF162" s="415">
        <v>0</v>
      </c>
      <c r="DG162" s="415">
        <v>0</v>
      </c>
      <c r="DH162" s="415">
        <v>0</v>
      </c>
      <c r="DI162" s="410">
        <f t="shared" si="65"/>
        <v>20</v>
      </c>
      <c r="DJ162" s="415">
        <v>0</v>
      </c>
      <c r="DK162" s="415">
        <v>0</v>
      </c>
      <c r="DL162" s="415">
        <v>0</v>
      </c>
      <c r="DM162" s="415">
        <v>0</v>
      </c>
      <c r="DN162" s="415">
        <v>0</v>
      </c>
      <c r="DO162" s="415">
        <v>0</v>
      </c>
      <c r="DP162" s="415">
        <v>0</v>
      </c>
      <c r="DQ162" s="415">
        <v>0</v>
      </c>
      <c r="DR162" s="415">
        <v>0</v>
      </c>
      <c r="DS162" s="415">
        <v>0</v>
      </c>
      <c r="DT162" s="415">
        <v>0</v>
      </c>
      <c r="DU162" s="415">
        <v>0</v>
      </c>
      <c r="DV162" s="410">
        <f t="shared" si="66"/>
        <v>0</v>
      </c>
      <c r="DW162" s="415">
        <v>0</v>
      </c>
      <c r="DX162" s="415">
        <v>0</v>
      </c>
      <c r="DY162" s="415">
        <v>0</v>
      </c>
      <c r="DZ162" s="415">
        <v>0</v>
      </c>
      <c r="EA162" s="415">
        <v>0</v>
      </c>
      <c r="EB162" s="415">
        <v>0</v>
      </c>
      <c r="EC162" s="415">
        <v>0</v>
      </c>
      <c r="ED162" s="415">
        <v>0</v>
      </c>
      <c r="EE162" s="415">
        <v>0</v>
      </c>
      <c r="EF162" s="415">
        <v>0</v>
      </c>
      <c r="EG162" s="415">
        <v>0</v>
      </c>
      <c r="EH162" s="415">
        <v>0</v>
      </c>
      <c r="EI162" s="410">
        <f t="shared" si="67"/>
        <v>0</v>
      </c>
      <c r="EJ162" s="415">
        <v>0</v>
      </c>
      <c r="EK162" s="415">
        <v>0</v>
      </c>
      <c r="EL162" s="415">
        <v>0</v>
      </c>
      <c r="EM162" s="415">
        <v>0</v>
      </c>
      <c r="EN162" s="415">
        <v>0</v>
      </c>
      <c r="EO162" s="415">
        <v>0</v>
      </c>
      <c r="EP162" s="415">
        <v>0</v>
      </c>
      <c r="EQ162" s="415">
        <v>0</v>
      </c>
      <c r="ER162" s="415">
        <v>0</v>
      </c>
      <c r="ES162" s="415">
        <v>0</v>
      </c>
      <c r="ET162" s="415">
        <v>0</v>
      </c>
      <c r="EU162" s="415">
        <v>0</v>
      </c>
      <c r="EV162" s="410">
        <f t="shared" si="68"/>
        <v>0</v>
      </c>
      <c r="EW162" s="416">
        <f t="shared" si="69"/>
        <v>20</v>
      </c>
      <c r="EX162" s="417">
        <f>IFERROR(VLOOKUP(H162,CEI_012018!$A$1:$U$509,9,FALSE),0)</f>
        <v>0</v>
      </c>
      <c r="EY162" s="417">
        <f>IFERROR(VLOOKUP(H162,CEI_022018!$A$1:$U$509,9,FALSE),0)</f>
        <v>0</v>
      </c>
      <c r="EZ162" s="417">
        <f>IFERROR(VLOOKUP(H162,CEI_032018!$A$1:$U$509,9,FALSE),0)</f>
        <v>0</v>
      </c>
      <c r="FA162" s="417">
        <f>IFERROR(VLOOKUP(H162,CEI_042018!$A$1:$U$491,9,FALSE),0)</f>
        <v>0</v>
      </c>
      <c r="FB162" s="417">
        <f>IFERROR(VLOOKUP(H162,CEI_052018!$A$1:$U$489,9,FALSE),0)</f>
        <v>0</v>
      </c>
      <c r="FC162" s="417">
        <f>IFERROR(VLOOKUP(H162,CEI_062018!$A$1:$U$489,9,FALSE),0)</f>
        <v>0</v>
      </c>
      <c r="FD162" s="417">
        <f>IFERROR(VLOOKUP(H162,CEI_072018!$A$1:$U$489,9,FALSE),0)</f>
        <v>0</v>
      </c>
      <c r="FE162" s="417">
        <f>IFERROR(VLOOKUP(H162,CEI_082018!$A$1:$U$489,9,FALSE),0)</f>
        <v>0</v>
      </c>
      <c r="FF162" s="417">
        <f>IFERROR(VLOOKUP(H162,CEI_092018!$A$1:$U$489,9,FALSE),0)</f>
        <v>0</v>
      </c>
      <c r="FG162" s="417"/>
      <c r="FH162" s="417"/>
      <c r="FI162" s="417"/>
      <c r="FJ162" s="418">
        <f>IFERROR(VLOOKUP(H162,CEI_092018!$A$1:$U$489,12,FALSE),0)</f>
        <v>0</v>
      </c>
      <c r="FK162" s="418">
        <f t="shared" si="56"/>
        <v>0</v>
      </c>
      <c r="FL162" s="418">
        <f t="shared" si="57"/>
        <v>0</v>
      </c>
      <c r="FM162" s="417"/>
      <c r="FN162" s="417"/>
      <c r="FO162" s="417"/>
      <c r="FP162" s="417"/>
      <c r="FQ162" s="417"/>
      <c r="FR162" s="417"/>
      <c r="FS162" s="417"/>
      <c r="FT162" s="417"/>
      <c r="FU162" s="417"/>
      <c r="FV162" s="417"/>
      <c r="FW162" s="417"/>
      <c r="FX162" s="417"/>
      <c r="FY162" s="418"/>
      <c r="FZ162" s="418"/>
      <c r="GA162" s="418"/>
      <c r="GB162" s="417"/>
      <c r="GC162" s="417"/>
      <c r="GD162" s="417"/>
      <c r="GE162" s="417"/>
      <c r="GF162" s="417"/>
      <c r="GG162" s="417"/>
      <c r="GH162" s="417"/>
      <c r="GI162" s="417"/>
      <c r="GJ162" s="417"/>
      <c r="GK162" s="417"/>
      <c r="GL162" s="417"/>
      <c r="GM162" s="417"/>
      <c r="GN162" s="418"/>
      <c r="GO162" s="418"/>
      <c r="GP162" s="418"/>
      <c r="GQ162" s="417"/>
      <c r="GR162" s="417"/>
      <c r="GS162" s="417"/>
      <c r="GT162" s="417"/>
      <c r="GU162" s="417"/>
      <c r="GV162" s="417"/>
      <c r="GW162" s="417"/>
      <c r="GX162" s="417"/>
      <c r="GY162" s="417"/>
      <c r="GZ162" s="417"/>
      <c r="HA162" s="417"/>
      <c r="HB162" s="417"/>
      <c r="HC162" s="418"/>
      <c r="HD162" s="418"/>
      <c r="HE162" s="418"/>
      <c r="HF162" s="417"/>
      <c r="HG162" s="417"/>
      <c r="HH162" s="417"/>
      <c r="HI162" s="417"/>
      <c r="HJ162" s="417"/>
      <c r="HK162" s="417"/>
      <c r="HL162" s="417"/>
      <c r="HM162" s="417"/>
      <c r="HN162" s="417"/>
      <c r="HO162" s="417"/>
      <c r="HP162" s="417"/>
      <c r="HQ162" s="417"/>
      <c r="HR162" s="418"/>
      <c r="HS162" s="418"/>
      <c r="HT162" s="418"/>
    </row>
    <row r="163" spans="1:228" s="387" customFormat="1" ht="12.75" customHeight="1" x14ac:dyDescent="0.2">
      <c r="A163" s="406" t="s">
        <v>55</v>
      </c>
      <c r="B163" s="407" t="s">
        <v>42</v>
      </c>
      <c r="C163" s="406" t="s">
        <v>999</v>
      </c>
      <c r="D163" s="407" t="s">
        <v>1003</v>
      </c>
      <c r="E163" s="407" t="s">
        <v>999</v>
      </c>
      <c r="F163" s="407" t="s">
        <v>1003</v>
      </c>
      <c r="G163" s="406" t="s">
        <v>54</v>
      </c>
      <c r="H163" s="408" t="s">
        <v>520</v>
      </c>
      <c r="I163" s="408" t="s">
        <v>57</v>
      </c>
      <c r="J163" s="406" t="s">
        <v>328</v>
      </c>
      <c r="K163" s="406" t="s">
        <v>329</v>
      </c>
      <c r="L163" s="406" t="s">
        <v>330</v>
      </c>
      <c r="M163" s="406" t="s">
        <v>57</v>
      </c>
      <c r="N163" s="452">
        <v>0</v>
      </c>
      <c r="O163" s="452">
        <v>0</v>
      </c>
      <c r="P163" s="452">
        <v>0</v>
      </c>
      <c r="Q163" s="452">
        <v>0</v>
      </c>
      <c r="R163" s="452">
        <v>0</v>
      </c>
      <c r="S163" s="452">
        <v>0</v>
      </c>
      <c r="T163" s="452">
        <v>0</v>
      </c>
      <c r="U163" s="409">
        <v>0</v>
      </c>
      <c r="V163" s="409">
        <v>0</v>
      </c>
      <c r="W163" s="409">
        <v>0</v>
      </c>
      <c r="X163" s="409">
        <v>0</v>
      </c>
      <c r="Y163" s="409">
        <v>0</v>
      </c>
      <c r="Z163" s="453">
        <f t="shared" si="63"/>
        <v>0</v>
      </c>
      <c r="AA163" s="452">
        <v>0</v>
      </c>
      <c r="AB163" s="452">
        <v>0</v>
      </c>
      <c r="AC163" s="452">
        <v>0</v>
      </c>
      <c r="AD163" s="452">
        <v>0</v>
      </c>
      <c r="AE163" s="452">
        <v>0</v>
      </c>
      <c r="AF163" s="452">
        <v>0</v>
      </c>
      <c r="AG163" s="452">
        <v>0</v>
      </c>
      <c r="AH163" s="409">
        <v>500</v>
      </c>
      <c r="AI163" s="409">
        <v>0</v>
      </c>
      <c r="AJ163" s="409">
        <v>0</v>
      </c>
      <c r="AK163" s="409">
        <v>0</v>
      </c>
      <c r="AL163" s="409">
        <v>0</v>
      </c>
      <c r="AM163" s="453">
        <f t="shared" si="58"/>
        <v>500</v>
      </c>
      <c r="AN163" s="452">
        <v>0</v>
      </c>
      <c r="AO163" s="452">
        <v>0</v>
      </c>
      <c r="AP163" s="452">
        <v>0</v>
      </c>
      <c r="AQ163" s="452">
        <v>0</v>
      </c>
      <c r="AR163" s="452">
        <v>0</v>
      </c>
      <c r="AS163" s="452">
        <v>0</v>
      </c>
      <c r="AT163" s="452">
        <v>0</v>
      </c>
      <c r="AU163" s="409">
        <v>0</v>
      </c>
      <c r="AV163" s="409">
        <v>0</v>
      </c>
      <c r="AW163" s="409">
        <v>0</v>
      </c>
      <c r="AX163" s="409">
        <v>0</v>
      </c>
      <c r="AY163" s="409">
        <v>0</v>
      </c>
      <c r="AZ163" s="453">
        <f t="shared" si="59"/>
        <v>0</v>
      </c>
      <c r="BA163" s="452">
        <v>0</v>
      </c>
      <c r="BB163" s="452">
        <v>0</v>
      </c>
      <c r="BC163" s="452">
        <v>0</v>
      </c>
      <c r="BD163" s="452">
        <v>0</v>
      </c>
      <c r="BE163" s="452">
        <v>0</v>
      </c>
      <c r="BF163" s="452">
        <v>0</v>
      </c>
      <c r="BG163" s="452">
        <v>0</v>
      </c>
      <c r="BH163" s="409">
        <v>0</v>
      </c>
      <c r="BI163" s="409">
        <v>0</v>
      </c>
      <c r="BJ163" s="409">
        <v>0</v>
      </c>
      <c r="BK163" s="409">
        <v>0</v>
      </c>
      <c r="BL163" s="409">
        <v>535</v>
      </c>
      <c r="BM163" s="453">
        <f t="shared" si="60"/>
        <v>535</v>
      </c>
      <c r="BN163" s="452">
        <v>0</v>
      </c>
      <c r="BO163" s="452">
        <v>0</v>
      </c>
      <c r="BP163" s="452">
        <v>0</v>
      </c>
      <c r="BQ163" s="452">
        <v>0</v>
      </c>
      <c r="BR163" s="452">
        <v>0</v>
      </c>
      <c r="BS163" s="452">
        <v>0</v>
      </c>
      <c r="BT163" s="452">
        <v>0</v>
      </c>
      <c r="BU163" s="409">
        <v>0</v>
      </c>
      <c r="BV163" s="409">
        <v>0</v>
      </c>
      <c r="BW163" s="409">
        <v>0</v>
      </c>
      <c r="BX163" s="409">
        <v>0</v>
      </c>
      <c r="BY163" s="409">
        <v>0</v>
      </c>
      <c r="BZ163" s="453">
        <f t="shared" si="61"/>
        <v>0</v>
      </c>
      <c r="CA163" s="454">
        <f t="shared" si="62"/>
        <v>1035</v>
      </c>
      <c r="CB163" s="411"/>
      <c r="CC163" s="411"/>
      <c r="CD163" s="411"/>
      <c r="CE163" s="411"/>
      <c r="CF163" s="411"/>
      <c r="CG163" s="412"/>
      <c r="CH163" s="413"/>
      <c r="CI163" s="414" t="s">
        <v>1603</v>
      </c>
      <c r="CJ163" s="415">
        <v>0</v>
      </c>
      <c r="CK163" s="415">
        <v>0</v>
      </c>
      <c r="CL163" s="415">
        <v>0</v>
      </c>
      <c r="CM163" s="415">
        <v>0</v>
      </c>
      <c r="CN163" s="415">
        <v>0</v>
      </c>
      <c r="CO163" s="415">
        <v>0</v>
      </c>
      <c r="CP163" s="415">
        <v>0</v>
      </c>
      <c r="CQ163" s="415">
        <v>0</v>
      </c>
      <c r="CR163" s="415">
        <v>0</v>
      </c>
      <c r="CS163" s="415">
        <v>0</v>
      </c>
      <c r="CT163" s="415">
        <v>0</v>
      </c>
      <c r="CU163" s="415">
        <v>0</v>
      </c>
      <c r="CV163" s="410">
        <f t="shared" si="64"/>
        <v>0</v>
      </c>
      <c r="CW163" s="415">
        <v>0</v>
      </c>
      <c r="CX163" s="415">
        <v>0</v>
      </c>
      <c r="CY163" s="415">
        <v>0</v>
      </c>
      <c r="CZ163" s="415">
        <v>0</v>
      </c>
      <c r="DA163" s="415">
        <v>0</v>
      </c>
      <c r="DB163" s="415">
        <v>0</v>
      </c>
      <c r="DC163" s="415">
        <v>0</v>
      </c>
      <c r="DD163" s="415">
        <v>25</v>
      </c>
      <c r="DE163" s="415">
        <v>0</v>
      </c>
      <c r="DF163" s="415">
        <v>0</v>
      </c>
      <c r="DG163" s="415">
        <v>0</v>
      </c>
      <c r="DH163" s="415">
        <v>0</v>
      </c>
      <c r="DI163" s="410">
        <f t="shared" si="65"/>
        <v>25</v>
      </c>
      <c r="DJ163" s="415">
        <v>0</v>
      </c>
      <c r="DK163" s="415">
        <v>0</v>
      </c>
      <c r="DL163" s="415">
        <v>0</v>
      </c>
      <c r="DM163" s="415">
        <v>0</v>
      </c>
      <c r="DN163" s="415">
        <v>0</v>
      </c>
      <c r="DO163" s="415">
        <v>0</v>
      </c>
      <c r="DP163" s="415">
        <v>0</v>
      </c>
      <c r="DQ163" s="415">
        <v>0</v>
      </c>
      <c r="DR163" s="415">
        <v>0</v>
      </c>
      <c r="DS163" s="415">
        <v>0</v>
      </c>
      <c r="DT163" s="415">
        <v>0</v>
      </c>
      <c r="DU163" s="415">
        <v>0</v>
      </c>
      <c r="DV163" s="410">
        <f t="shared" si="66"/>
        <v>0</v>
      </c>
      <c r="DW163" s="415">
        <v>0</v>
      </c>
      <c r="DX163" s="415">
        <v>0</v>
      </c>
      <c r="DY163" s="415">
        <v>0</v>
      </c>
      <c r="DZ163" s="415">
        <v>0</v>
      </c>
      <c r="EA163" s="415">
        <v>0</v>
      </c>
      <c r="EB163" s="415">
        <v>0</v>
      </c>
      <c r="EC163" s="415">
        <v>0</v>
      </c>
      <c r="ED163" s="415">
        <v>0</v>
      </c>
      <c r="EE163" s="415">
        <v>0</v>
      </c>
      <c r="EF163" s="415">
        <v>0</v>
      </c>
      <c r="EG163" s="415">
        <v>0</v>
      </c>
      <c r="EH163" s="415">
        <v>26.75</v>
      </c>
      <c r="EI163" s="410">
        <f t="shared" si="67"/>
        <v>26.75</v>
      </c>
      <c r="EJ163" s="415">
        <v>0</v>
      </c>
      <c r="EK163" s="415">
        <v>0</v>
      </c>
      <c r="EL163" s="415">
        <v>0</v>
      </c>
      <c r="EM163" s="415">
        <v>0</v>
      </c>
      <c r="EN163" s="415">
        <v>0</v>
      </c>
      <c r="EO163" s="415">
        <v>0</v>
      </c>
      <c r="EP163" s="415">
        <v>0</v>
      </c>
      <c r="EQ163" s="415">
        <v>0</v>
      </c>
      <c r="ER163" s="415">
        <v>0</v>
      </c>
      <c r="ES163" s="415">
        <v>0</v>
      </c>
      <c r="ET163" s="415">
        <v>0</v>
      </c>
      <c r="EU163" s="415">
        <v>0</v>
      </c>
      <c r="EV163" s="410">
        <f t="shared" si="68"/>
        <v>0</v>
      </c>
      <c r="EW163" s="416">
        <f t="shared" si="69"/>
        <v>51.75</v>
      </c>
      <c r="EX163" s="417">
        <f>IFERROR(VLOOKUP(H163,CEI_012018!$A$1:$U$509,9,FALSE),0)</f>
        <v>0</v>
      </c>
      <c r="EY163" s="417">
        <f>IFERROR(VLOOKUP(H163,CEI_022018!$A$1:$U$509,9,FALSE),0)</f>
        <v>0</v>
      </c>
      <c r="EZ163" s="417">
        <f>IFERROR(VLOOKUP(H163,CEI_032018!$A$1:$U$509,9,FALSE),0)</f>
        <v>0</v>
      </c>
      <c r="FA163" s="417">
        <f>IFERROR(VLOOKUP(H163,CEI_042018!$A$1:$U$491,9,FALSE),0)</f>
        <v>0</v>
      </c>
      <c r="FB163" s="417">
        <f>IFERROR(VLOOKUP(H163,CEI_052018!$A$1:$U$489,9,FALSE),0)</f>
        <v>0</v>
      </c>
      <c r="FC163" s="417">
        <f>IFERROR(VLOOKUP(H163,CEI_062018!$A$1:$U$489,9,FALSE),0)</f>
        <v>0</v>
      </c>
      <c r="FD163" s="417">
        <f>IFERROR(VLOOKUP(H163,CEI_072018!$A$1:$U$489,9,FALSE),0)</f>
        <v>0</v>
      </c>
      <c r="FE163" s="417">
        <f>IFERROR(VLOOKUP(H163,CEI_082018!$A$1:$U$489,9,FALSE),0)</f>
        <v>0</v>
      </c>
      <c r="FF163" s="417">
        <f>IFERROR(VLOOKUP(H163,CEI_092018!$A$1:$U$489,9,FALSE),0)</f>
        <v>0</v>
      </c>
      <c r="FG163" s="417"/>
      <c r="FH163" s="417"/>
      <c r="FI163" s="417"/>
      <c r="FJ163" s="418">
        <f>IFERROR(VLOOKUP(H163,CEI_092018!$A$1:$U$489,12,FALSE),0)</f>
        <v>0</v>
      </c>
      <c r="FK163" s="418">
        <f t="shared" si="56"/>
        <v>0</v>
      </c>
      <c r="FL163" s="418">
        <f t="shared" si="57"/>
        <v>0</v>
      </c>
      <c r="FM163" s="417"/>
      <c r="FN163" s="417"/>
      <c r="FO163" s="417"/>
      <c r="FP163" s="417"/>
      <c r="FQ163" s="417"/>
      <c r="FR163" s="417"/>
      <c r="FS163" s="417"/>
      <c r="FT163" s="417"/>
      <c r="FU163" s="417"/>
      <c r="FV163" s="417"/>
      <c r="FW163" s="417"/>
      <c r="FX163" s="417"/>
      <c r="FY163" s="418"/>
      <c r="FZ163" s="418"/>
      <c r="GA163" s="418"/>
      <c r="GB163" s="417"/>
      <c r="GC163" s="417"/>
      <c r="GD163" s="417"/>
      <c r="GE163" s="417"/>
      <c r="GF163" s="417"/>
      <c r="GG163" s="417"/>
      <c r="GH163" s="417"/>
      <c r="GI163" s="417"/>
      <c r="GJ163" s="417"/>
      <c r="GK163" s="417"/>
      <c r="GL163" s="417"/>
      <c r="GM163" s="417"/>
      <c r="GN163" s="418"/>
      <c r="GO163" s="418"/>
      <c r="GP163" s="418"/>
      <c r="GQ163" s="417"/>
      <c r="GR163" s="417"/>
      <c r="GS163" s="417"/>
      <c r="GT163" s="417"/>
      <c r="GU163" s="417"/>
      <c r="GV163" s="417"/>
      <c r="GW163" s="417"/>
      <c r="GX163" s="417"/>
      <c r="GY163" s="417"/>
      <c r="GZ163" s="417"/>
      <c r="HA163" s="417"/>
      <c r="HB163" s="417"/>
      <c r="HC163" s="418"/>
      <c r="HD163" s="418"/>
      <c r="HE163" s="418"/>
      <c r="HF163" s="417"/>
      <c r="HG163" s="417"/>
      <c r="HH163" s="417"/>
      <c r="HI163" s="417"/>
      <c r="HJ163" s="417"/>
      <c r="HK163" s="417"/>
      <c r="HL163" s="417"/>
      <c r="HM163" s="417"/>
      <c r="HN163" s="417"/>
      <c r="HO163" s="417"/>
      <c r="HP163" s="417"/>
      <c r="HQ163" s="417"/>
      <c r="HR163" s="418"/>
      <c r="HS163" s="418"/>
      <c r="HT163" s="418"/>
    </row>
    <row r="164" spans="1:228" s="387" customFormat="1" ht="12.75" customHeight="1" x14ac:dyDescent="0.2">
      <c r="A164" s="406" t="s">
        <v>55</v>
      </c>
      <c r="B164" s="407" t="s">
        <v>42</v>
      </c>
      <c r="C164" s="406" t="s">
        <v>999</v>
      </c>
      <c r="D164" s="407" t="s">
        <v>1003</v>
      </c>
      <c r="E164" s="407" t="s">
        <v>459</v>
      </c>
      <c r="F164" s="407" t="s">
        <v>460</v>
      </c>
      <c r="G164" s="406" t="s">
        <v>60</v>
      </c>
      <c r="H164" s="408" t="s">
        <v>1818</v>
      </c>
      <c r="I164" s="408" t="s">
        <v>1820</v>
      </c>
      <c r="J164" s="406" t="s">
        <v>1089</v>
      </c>
      <c r="K164" s="406" t="s">
        <v>485</v>
      </c>
      <c r="L164" s="406" t="s">
        <v>486</v>
      </c>
      <c r="M164" s="406" t="s">
        <v>1771</v>
      </c>
      <c r="N164" s="452">
        <v>0</v>
      </c>
      <c r="O164" s="452">
        <v>0</v>
      </c>
      <c r="P164" s="452">
        <v>0</v>
      </c>
      <c r="Q164" s="452">
        <v>0</v>
      </c>
      <c r="R164" s="452">
        <v>0</v>
      </c>
      <c r="S164" s="452">
        <v>0</v>
      </c>
      <c r="T164" s="452">
        <v>0</v>
      </c>
      <c r="U164" s="409">
        <v>0</v>
      </c>
      <c r="V164" s="409">
        <v>0</v>
      </c>
      <c r="W164" s="409">
        <v>0</v>
      </c>
      <c r="X164" s="409">
        <v>0</v>
      </c>
      <c r="Y164" s="409">
        <v>70</v>
      </c>
      <c r="Z164" s="453">
        <f t="shared" si="63"/>
        <v>70</v>
      </c>
      <c r="AA164" s="452">
        <v>0</v>
      </c>
      <c r="AB164" s="452">
        <v>0</v>
      </c>
      <c r="AC164" s="452">
        <v>0</v>
      </c>
      <c r="AD164" s="452">
        <v>0</v>
      </c>
      <c r="AE164" s="452">
        <v>0</v>
      </c>
      <c r="AF164" s="452">
        <v>0</v>
      </c>
      <c r="AG164" s="452">
        <v>0</v>
      </c>
      <c r="AH164" s="409">
        <v>0</v>
      </c>
      <c r="AI164" s="409">
        <v>0</v>
      </c>
      <c r="AJ164" s="409">
        <v>0</v>
      </c>
      <c r="AK164" s="409">
        <v>0</v>
      </c>
      <c r="AL164" s="409">
        <v>0</v>
      </c>
      <c r="AM164" s="453">
        <f t="shared" si="58"/>
        <v>0</v>
      </c>
      <c r="AN164" s="452">
        <v>0</v>
      </c>
      <c r="AO164" s="452">
        <v>0</v>
      </c>
      <c r="AP164" s="452">
        <v>0</v>
      </c>
      <c r="AQ164" s="452">
        <v>0</v>
      </c>
      <c r="AR164" s="452">
        <v>0</v>
      </c>
      <c r="AS164" s="452">
        <v>0</v>
      </c>
      <c r="AT164" s="452">
        <v>0</v>
      </c>
      <c r="AU164" s="409">
        <v>0</v>
      </c>
      <c r="AV164" s="409">
        <v>0</v>
      </c>
      <c r="AW164" s="409">
        <v>0</v>
      </c>
      <c r="AX164" s="409">
        <v>0</v>
      </c>
      <c r="AY164" s="409">
        <v>0</v>
      </c>
      <c r="AZ164" s="453">
        <f t="shared" si="59"/>
        <v>0</v>
      </c>
      <c r="BA164" s="452">
        <v>0</v>
      </c>
      <c r="BB164" s="452">
        <v>0</v>
      </c>
      <c r="BC164" s="452">
        <v>0</v>
      </c>
      <c r="BD164" s="452">
        <v>0</v>
      </c>
      <c r="BE164" s="452">
        <v>0</v>
      </c>
      <c r="BF164" s="452">
        <v>0</v>
      </c>
      <c r="BG164" s="452">
        <v>0</v>
      </c>
      <c r="BH164" s="409">
        <v>0</v>
      </c>
      <c r="BI164" s="409">
        <v>0</v>
      </c>
      <c r="BJ164" s="409">
        <v>0</v>
      </c>
      <c r="BK164" s="409">
        <v>0</v>
      </c>
      <c r="BL164" s="409">
        <v>0</v>
      </c>
      <c r="BM164" s="453">
        <f t="shared" si="60"/>
        <v>0</v>
      </c>
      <c r="BN164" s="452">
        <v>0</v>
      </c>
      <c r="BO164" s="452">
        <v>0</v>
      </c>
      <c r="BP164" s="452">
        <v>0</v>
      </c>
      <c r="BQ164" s="452">
        <v>0</v>
      </c>
      <c r="BR164" s="452">
        <v>0</v>
      </c>
      <c r="BS164" s="452">
        <v>0</v>
      </c>
      <c r="BT164" s="452">
        <v>0</v>
      </c>
      <c r="BU164" s="409">
        <v>0</v>
      </c>
      <c r="BV164" s="409">
        <v>0</v>
      </c>
      <c r="BW164" s="409">
        <v>0</v>
      </c>
      <c r="BX164" s="409">
        <v>0</v>
      </c>
      <c r="BY164" s="409">
        <v>0</v>
      </c>
      <c r="BZ164" s="453">
        <f t="shared" si="61"/>
        <v>0</v>
      </c>
      <c r="CA164" s="454">
        <f t="shared" si="62"/>
        <v>70</v>
      </c>
      <c r="CB164" s="419"/>
      <c r="CC164" s="419">
        <v>1</v>
      </c>
      <c r="CD164" s="419">
        <v>-1</v>
      </c>
      <c r="CE164" s="419">
        <v>-1</v>
      </c>
      <c r="CF164" s="419">
        <v>-1</v>
      </c>
      <c r="CG164" s="420">
        <f>IFERROR((FE164/Z164%),0)</f>
        <v>0</v>
      </c>
      <c r="CH164" s="421">
        <f>IFERROR((FK164/Z164%),0)</f>
        <v>0</v>
      </c>
      <c r="CI164" s="414" t="s">
        <v>1624</v>
      </c>
      <c r="CJ164" s="415">
        <v>0</v>
      </c>
      <c r="CK164" s="415">
        <v>0</v>
      </c>
      <c r="CL164" s="415">
        <v>0</v>
      </c>
      <c r="CM164" s="415">
        <v>0</v>
      </c>
      <c r="CN164" s="415">
        <v>0</v>
      </c>
      <c r="CO164" s="415">
        <v>0</v>
      </c>
      <c r="CP164" s="415">
        <v>0</v>
      </c>
      <c r="CQ164" s="415">
        <v>0</v>
      </c>
      <c r="CR164" s="415">
        <v>0</v>
      </c>
      <c r="CS164" s="415">
        <v>2</v>
      </c>
      <c r="CT164" s="415">
        <v>0</v>
      </c>
      <c r="CU164" s="415">
        <v>0</v>
      </c>
      <c r="CV164" s="410">
        <f t="shared" si="64"/>
        <v>2</v>
      </c>
      <c r="CW164" s="415">
        <v>0</v>
      </c>
      <c r="CX164" s="415">
        <v>0</v>
      </c>
      <c r="CY164" s="415">
        <v>0</v>
      </c>
      <c r="CZ164" s="415">
        <v>0</v>
      </c>
      <c r="DA164" s="415">
        <v>0</v>
      </c>
      <c r="DB164" s="415">
        <v>0</v>
      </c>
      <c r="DC164" s="415">
        <v>0</v>
      </c>
      <c r="DD164" s="415">
        <v>0</v>
      </c>
      <c r="DE164" s="415">
        <v>0</v>
      </c>
      <c r="DF164" s="415">
        <v>0</v>
      </c>
      <c r="DG164" s="415">
        <v>0</v>
      </c>
      <c r="DH164" s="415">
        <v>0</v>
      </c>
      <c r="DI164" s="410">
        <f t="shared" si="65"/>
        <v>0</v>
      </c>
      <c r="DJ164" s="415">
        <v>0</v>
      </c>
      <c r="DK164" s="415">
        <v>0</v>
      </c>
      <c r="DL164" s="415">
        <v>0</v>
      </c>
      <c r="DM164" s="415">
        <v>0</v>
      </c>
      <c r="DN164" s="415">
        <v>0</v>
      </c>
      <c r="DO164" s="415">
        <v>0</v>
      </c>
      <c r="DP164" s="415">
        <v>0</v>
      </c>
      <c r="DQ164" s="415">
        <v>0</v>
      </c>
      <c r="DR164" s="415">
        <v>0</v>
      </c>
      <c r="DS164" s="415">
        <v>0</v>
      </c>
      <c r="DT164" s="415">
        <v>0</v>
      </c>
      <c r="DU164" s="415">
        <v>0</v>
      </c>
      <c r="DV164" s="410">
        <f t="shared" si="66"/>
        <v>0</v>
      </c>
      <c r="DW164" s="415">
        <v>0</v>
      </c>
      <c r="DX164" s="415">
        <v>0</v>
      </c>
      <c r="DY164" s="415">
        <v>0</v>
      </c>
      <c r="DZ164" s="415">
        <v>0</v>
      </c>
      <c r="EA164" s="415">
        <v>0</v>
      </c>
      <c r="EB164" s="415">
        <v>0</v>
      </c>
      <c r="EC164" s="415">
        <v>0</v>
      </c>
      <c r="ED164" s="415">
        <v>0</v>
      </c>
      <c r="EE164" s="415">
        <v>0</v>
      </c>
      <c r="EF164" s="415">
        <v>0</v>
      </c>
      <c r="EG164" s="415">
        <v>0</v>
      </c>
      <c r="EH164" s="415">
        <v>0</v>
      </c>
      <c r="EI164" s="410">
        <f t="shared" si="67"/>
        <v>0</v>
      </c>
      <c r="EJ164" s="415">
        <v>0</v>
      </c>
      <c r="EK164" s="415">
        <v>0</v>
      </c>
      <c r="EL164" s="415">
        <v>0</v>
      </c>
      <c r="EM164" s="415">
        <v>0</v>
      </c>
      <c r="EN164" s="415">
        <v>0</v>
      </c>
      <c r="EO164" s="415">
        <v>0</v>
      </c>
      <c r="EP164" s="415">
        <v>0</v>
      </c>
      <c r="EQ164" s="415">
        <v>0</v>
      </c>
      <c r="ER164" s="415">
        <v>0</v>
      </c>
      <c r="ES164" s="415">
        <v>0</v>
      </c>
      <c r="ET164" s="415">
        <v>0</v>
      </c>
      <c r="EU164" s="415">
        <v>0</v>
      </c>
      <c r="EV164" s="410">
        <f t="shared" si="68"/>
        <v>0</v>
      </c>
      <c r="EW164" s="416">
        <f t="shared" si="69"/>
        <v>2</v>
      </c>
      <c r="EX164" s="417">
        <f>IFERROR(VLOOKUP(H164,CEI_012018!$A$1:$U$509,9,FALSE),0)</f>
        <v>0</v>
      </c>
      <c r="EY164" s="417">
        <f>IFERROR(VLOOKUP(H164,CEI_022018!$A$1:$U$509,9,FALSE),0)</f>
        <v>0</v>
      </c>
      <c r="EZ164" s="417">
        <f>IFERROR(VLOOKUP(H164,CEI_032018!$A$1:$U$509,9,FALSE),0)</f>
        <v>0</v>
      </c>
      <c r="FA164" s="417">
        <f>IFERROR(VLOOKUP(H164,CEI_042018!$A$1:$U$491,9,FALSE),0)</f>
        <v>0</v>
      </c>
      <c r="FB164" s="417">
        <f>IFERROR(VLOOKUP(H164,CEI_052018!$A$1:$U$489,9,FALSE),0)</f>
        <v>0</v>
      </c>
      <c r="FC164" s="417">
        <f>IFERROR(VLOOKUP(H164,CEI_062018!$A$1:$U$489,9,FALSE),0)</f>
        <v>0</v>
      </c>
      <c r="FD164" s="417">
        <f>IFERROR(VLOOKUP(H164,CEI_072018!$A$1:$U$489,9,FALSE),0)</f>
        <v>0</v>
      </c>
      <c r="FE164" s="417">
        <f>IFERROR(VLOOKUP(H164,CEI_082018!$A$1:$U$489,9,FALSE),0)</f>
        <v>0</v>
      </c>
      <c r="FF164" s="417">
        <f>IFERROR(VLOOKUP(H164,CEI_092018!$A$1:$U$489,9,FALSE),0)</f>
        <v>0</v>
      </c>
      <c r="FG164" s="417"/>
      <c r="FH164" s="417"/>
      <c r="FI164" s="417"/>
      <c r="FJ164" s="418">
        <f>IFERROR(VLOOKUP(H164,CEI_092018!$A$1:$U$489,12,FALSE),0)</f>
        <v>0</v>
      </c>
      <c r="FK164" s="418">
        <f t="shared" si="56"/>
        <v>0</v>
      </c>
      <c r="FL164" s="418">
        <f t="shared" si="57"/>
        <v>70</v>
      </c>
      <c r="FM164" s="417"/>
      <c r="FN164" s="417"/>
      <c r="FO164" s="417"/>
      <c r="FP164" s="417"/>
      <c r="FQ164" s="417"/>
      <c r="FR164" s="417"/>
      <c r="FS164" s="417"/>
      <c r="FT164" s="417"/>
      <c r="FU164" s="417"/>
      <c r="FV164" s="417"/>
      <c r="FW164" s="417"/>
      <c r="FX164" s="417"/>
      <c r="FY164" s="418"/>
      <c r="FZ164" s="418"/>
      <c r="GA164" s="418"/>
      <c r="GB164" s="417"/>
      <c r="GC164" s="417"/>
      <c r="GD164" s="417"/>
      <c r="GE164" s="417"/>
      <c r="GF164" s="417"/>
      <c r="GG164" s="417"/>
      <c r="GH164" s="417"/>
      <c r="GI164" s="417"/>
      <c r="GJ164" s="417"/>
      <c r="GK164" s="417"/>
      <c r="GL164" s="417"/>
      <c r="GM164" s="417"/>
      <c r="GN164" s="418"/>
      <c r="GO164" s="418"/>
      <c r="GP164" s="418"/>
      <c r="GQ164" s="417"/>
      <c r="GR164" s="417"/>
      <c r="GS164" s="417"/>
      <c r="GT164" s="417"/>
      <c r="GU164" s="417"/>
      <c r="GV164" s="417"/>
      <c r="GW164" s="417"/>
      <c r="GX164" s="417"/>
      <c r="GY164" s="417"/>
      <c r="GZ164" s="417"/>
      <c r="HA164" s="417"/>
      <c r="HB164" s="417"/>
      <c r="HC164" s="418"/>
      <c r="HD164" s="418"/>
      <c r="HE164" s="418"/>
      <c r="HF164" s="417"/>
      <c r="HG164" s="417"/>
      <c r="HH164" s="417"/>
      <c r="HI164" s="417"/>
      <c r="HJ164" s="417"/>
      <c r="HK164" s="417"/>
      <c r="HL164" s="417"/>
      <c r="HM164" s="417"/>
      <c r="HN164" s="417"/>
      <c r="HO164" s="417"/>
      <c r="HP164" s="417"/>
      <c r="HQ164" s="417"/>
      <c r="HR164" s="418"/>
      <c r="HS164" s="418"/>
      <c r="HT164" s="418"/>
    </row>
    <row r="165" spans="1:228" s="387" customFormat="1" ht="12.75" customHeight="1" x14ac:dyDescent="0.2">
      <c r="A165" s="406" t="s">
        <v>55</v>
      </c>
      <c r="B165" s="407" t="s">
        <v>42</v>
      </c>
      <c r="C165" s="406" t="s">
        <v>999</v>
      </c>
      <c r="D165" s="407" t="s">
        <v>1003</v>
      </c>
      <c r="E165" s="407" t="s">
        <v>999</v>
      </c>
      <c r="F165" s="407" t="s">
        <v>1003</v>
      </c>
      <c r="G165" s="406" t="s">
        <v>54</v>
      </c>
      <c r="H165" s="408" t="s">
        <v>520</v>
      </c>
      <c r="I165" s="408" t="s">
        <v>57</v>
      </c>
      <c r="J165" s="406" t="s">
        <v>325</v>
      </c>
      <c r="K165" s="406" t="s">
        <v>326</v>
      </c>
      <c r="L165" s="406" t="s">
        <v>327</v>
      </c>
      <c r="M165" s="406" t="s">
        <v>1784</v>
      </c>
      <c r="N165" s="452">
        <v>0</v>
      </c>
      <c r="O165" s="452">
        <v>0</v>
      </c>
      <c r="P165" s="452">
        <v>0</v>
      </c>
      <c r="Q165" s="452">
        <v>0</v>
      </c>
      <c r="R165" s="452">
        <v>0</v>
      </c>
      <c r="S165" s="452">
        <v>0</v>
      </c>
      <c r="T165" s="452">
        <v>0</v>
      </c>
      <c r="U165" s="409">
        <v>0</v>
      </c>
      <c r="V165" s="409">
        <v>0</v>
      </c>
      <c r="W165" s="409">
        <v>0</v>
      </c>
      <c r="X165" s="409">
        <v>0</v>
      </c>
      <c r="Y165" s="409">
        <v>20000</v>
      </c>
      <c r="Z165" s="453">
        <f t="shared" si="63"/>
        <v>20000</v>
      </c>
      <c r="AA165" s="452">
        <v>0</v>
      </c>
      <c r="AB165" s="452">
        <v>0</v>
      </c>
      <c r="AC165" s="452">
        <v>0</v>
      </c>
      <c r="AD165" s="452">
        <v>0</v>
      </c>
      <c r="AE165" s="452">
        <v>0</v>
      </c>
      <c r="AF165" s="452">
        <v>0</v>
      </c>
      <c r="AG165" s="452">
        <v>0</v>
      </c>
      <c r="AH165" s="409">
        <v>0</v>
      </c>
      <c r="AI165" s="409">
        <v>0</v>
      </c>
      <c r="AJ165" s="409">
        <v>0</v>
      </c>
      <c r="AK165" s="409">
        <v>0</v>
      </c>
      <c r="AL165" s="409">
        <v>0</v>
      </c>
      <c r="AM165" s="453">
        <f t="shared" si="58"/>
        <v>0</v>
      </c>
      <c r="AN165" s="452">
        <v>0</v>
      </c>
      <c r="AO165" s="452">
        <v>0</v>
      </c>
      <c r="AP165" s="452">
        <v>0</v>
      </c>
      <c r="AQ165" s="452">
        <v>0</v>
      </c>
      <c r="AR165" s="452">
        <v>0</v>
      </c>
      <c r="AS165" s="452">
        <v>0</v>
      </c>
      <c r="AT165" s="452">
        <v>0</v>
      </c>
      <c r="AU165" s="409">
        <v>0</v>
      </c>
      <c r="AV165" s="409">
        <v>0</v>
      </c>
      <c r="AW165" s="409">
        <v>0</v>
      </c>
      <c r="AX165" s="409">
        <v>0</v>
      </c>
      <c r="AY165" s="409">
        <v>0</v>
      </c>
      <c r="AZ165" s="453">
        <f t="shared" si="59"/>
        <v>0</v>
      </c>
      <c r="BA165" s="452">
        <v>0</v>
      </c>
      <c r="BB165" s="452">
        <v>0</v>
      </c>
      <c r="BC165" s="452">
        <v>0</v>
      </c>
      <c r="BD165" s="452">
        <v>0</v>
      </c>
      <c r="BE165" s="452">
        <v>0</v>
      </c>
      <c r="BF165" s="452">
        <v>0</v>
      </c>
      <c r="BG165" s="452">
        <v>0</v>
      </c>
      <c r="BH165" s="409">
        <v>0</v>
      </c>
      <c r="BI165" s="409">
        <v>0</v>
      </c>
      <c r="BJ165" s="409">
        <v>0</v>
      </c>
      <c r="BK165" s="409">
        <v>0</v>
      </c>
      <c r="BL165" s="409">
        <v>0</v>
      </c>
      <c r="BM165" s="453">
        <f t="shared" si="60"/>
        <v>0</v>
      </c>
      <c r="BN165" s="452">
        <v>0</v>
      </c>
      <c r="BO165" s="452">
        <v>0</v>
      </c>
      <c r="BP165" s="452">
        <v>0</v>
      </c>
      <c r="BQ165" s="452">
        <v>0</v>
      </c>
      <c r="BR165" s="452">
        <v>0</v>
      </c>
      <c r="BS165" s="452">
        <v>0</v>
      </c>
      <c r="BT165" s="452">
        <v>0</v>
      </c>
      <c r="BU165" s="409">
        <v>0</v>
      </c>
      <c r="BV165" s="409">
        <v>0</v>
      </c>
      <c r="BW165" s="409">
        <v>0</v>
      </c>
      <c r="BX165" s="409">
        <v>0</v>
      </c>
      <c r="BY165" s="409">
        <v>0</v>
      </c>
      <c r="BZ165" s="453">
        <f t="shared" si="61"/>
        <v>0</v>
      </c>
      <c r="CA165" s="454">
        <f t="shared" si="62"/>
        <v>20000</v>
      </c>
      <c r="CB165" s="419"/>
      <c r="CC165" s="419">
        <v>-1</v>
      </c>
      <c r="CD165" s="419">
        <v>-1</v>
      </c>
      <c r="CE165" s="419">
        <v>-1</v>
      </c>
      <c r="CF165" s="419">
        <v>-1</v>
      </c>
      <c r="CG165" s="420">
        <f>IFERROR((FE165/Z165%),0)</f>
        <v>0</v>
      </c>
      <c r="CH165" s="421">
        <f>IFERROR((FK165/Z165%),0)</f>
        <v>0</v>
      </c>
      <c r="CI165" s="414" t="s">
        <v>1603</v>
      </c>
      <c r="CJ165" s="415">
        <v>0</v>
      </c>
      <c r="CK165" s="415">
        <v>0</v>
      </c>
      <c r="CL165" s="415">
        <v>0</v>
      </c>
      <c r="CM165" s="415">
        <v>0</v>
      </c>
      <c r="CN165" s="415">
        <v>0</v>
      </c>
      <c r="CO165" s="415">
        <v>0</v>
      </c>
      <c r="CP165" s="415">
        <v>0</v>
      </c>
      <c r="CQ165" s="415">
        <v>0</v>
      </c>
      <c r="CR165" s="415">
        <v>0</v>
      </c>
      <c r="CS165" s="415">
        <v>0</v>
      </c>
      <c r="CT165" s="415">
        <v>0</v>
      </c>
      <c r="CU165" s="415">
        <v>1</v>
      </c>
      <c r="CV165" s="410">
        <f t="shared" si="64"/>
        <v>1</v>
      </c>
      <c r="CW165" s="415">
        <v>0</v>
      </c>
      <c r="CX165" s="415">
        <v>0</v>
      </c>
      <c r="CY165" s="415">
        <v>0</v>
      </c>
      <c r="CZ165" s="415">
        <v>0</v>
      </c>
      <c r="DA165" s="415">
        <v>0</v>
      </c>
      <c r="DB165" s="415">
        <v>0</v>
      </c>
      <c r="DC165" s="415">
        <v>0</v>
      </c>
      <c r="DD165" s="415">
        <v>0</v>
      </c>
      <c r="DE165" s="415">
        <v>0</v>
      </c>
      <c r="DF165" s="415">
        <v>0</v>
      </c>
      <c r="DG165" s="415">
        <v>0</v>
      </c>
      <c r="DH165" s="415">
        <v>0</v>
      </c>
      <c r="DI165" s="410">
        <f t="shared" si="65"/>
        <v>0</v>
      </c>
      <c r="DJ165" s="415">
        <v>0</v>
      </c>
      <c r="DK165" s="415">
        <v>0</v>
      </c>
      <c r="DL165" s="415">
        <v>0</v>
      </c>
      <c r="DM165" s="415">
        <v>0</v>
      </c>
      <c r="DN165" s="415">
        <v>0</v>
      </c>
      <c r="DO165" s="415">
        <v>0</v>
      </c>
      <c r="DP165" s="415">
        <v>0</v>
      </c>
      <c r="DQ165" s="415">
        <v>0</v>
      </c>
      <c r="DR165" s="415">
        <v>0</v>
      </c>
      <c r="DS165" s="415">
        <v>0</v>
      </c>
      <c r="DT165" s="415">
        <v>0</v>
      </c>
      <c r="DU165" s="415">
        <v>0</v>
      </c>
      <c r="DV165" s="410">
        <f t="shared" si="66"/>
        <v>0</v>
      </c>
      <c r="DW165" s="415">
        <v>0</v>
      </c>
      <c r="DX165" s="415">
        <v>0</v>
      </c>
      <c r="DY165" s="415">
        <v>0</v>
      </c>
      <c r="DZ165" s="415">
        <v>0</v>
      </c>
      <c r="EA165" s="415">
        <v>0</v>
      </c>
      <c r="EB165" s="415">
        <v>0</v>
      </c>
      <c r="EC165" s="415">
        <v>0</v>
      </c>
      <c r="ED165" s="415">
        <v>0</v>
      </c>
      <c r="EE165" s="415">
        <v>0</v>
      </c>
      <c r="EF165" s="415">
        <v>0</v>
      </c>
      <c r="EG165" s="415">
        <v>0</v>
      </c>
      <c r="EH165" s="415">
        <v>0</v>
      </c>
      <c r="EI165" s="410">
        <f t="shared" si="67"/>
        <v>0</v>
      </c>
      <c r="EJ165" s="415">
        <v>0</v>
      </c>
      <c r="EK165" s="415">
        <v>0</v>
      </c>
      <c r="EL165" s="415">
        <v>0</v>
      </c>
      <c r="EM165" s="415">
        <v>0</v>
      </c>
      <c r="EN165" s="415">
        <v>0</v>
      </c>
      <c r="EO165" s="415">
        <v>0</v>
      </c>
      <c r="EP165" s="415">
        <v>0</v>
      </c>
      <c r="EQ165" s="415">
        <v>0</v>
      </c>
      <c r="ER165" s="415">
        <v>0</v>
      </c>
      <c r="ES165" s="415">
        <v>0</v>
      </c>
      <c r="ET165" s="415">
        <v>0</v>
      </c>
      <c r="EU165" s="415">
        <v>0</v>
      </c>
      <c r="EV165" s="410">
        <f t="shared" si="68"/>
        <v>0</v>
      </c>
      <c r="EW165" s="416">
        <f t="shared" si="69"/>
        <v>1</v>
      </c>
      <c r="EX165" s="417">
        <f>IFERROR(VLOOKUP(H165,CEI_012018!$A$1:$U$509,9,FALSE),0)</f>
        <v>0</v>
      </c>
      <c r="EY165" s="417">
        <f>IFERROR(VLOOKUP(H165,CEI_022018!$A$1:$U$509,9,FALSE),0)</f>
        <v>0</v>
      </c>
      <c r="EZ165" s="417">
        <f>IFERROR(VLOOKUP(H165,CEI_032018!$A$1:$U$509,9,FALSE),0)</f>
        <v>0</v>
      </c>
      <c r="FA165" s="417">
        <f>IFERROR(VLOOKUP(H165,CEI_042018!$A$1:$U$491,9,FALSE),0)</f>
        <v>0</v>
      </c>
      <c r="FB165" s="417">
        <f>IFERROR(VLOOKUP(H165,CEI_052018!$A$1:$U$489,9,FALSE),0)</f>
        <v>0</v>
      </c>
      <c r="FC165" s="417">
        <f>IFERROR(VLOOKUP(H165,CEI_062018!$A$1:$U$489,9,FALSE),0)</f>
        <v>0</v>
      </c>
      <c r="FD165" s="417">
        <f>IFERROR(VLOOKUP(H165,CEI_072018!$A$1:$U$489,9,FALSE),0)</f>
        <v>0</v>
      </c>
      <c r="FE165" s="417">
        <f>IFERROR(VLOOKUP(H165,CEI_082018!$A$1:$U$489,9,FALSE),0)</f>
        <v>0</v>
      </c>
      <c r="FF165" s="417">
        <f>IFERROR(VLOOKUP(H165,CEI_092018!$A$1:$U$489,9,FALSE),0)</f>
        <v>0</v>
      </c>
      <c r="FG165" s="417"/>
      <c r="FH165" s="417"/>
      <c r="FI165" s="417"/>
      <c r="FJ165" s="418">
        <f>IFERROR(VLOOKUP(H165,CEI_092018!$A$1:$U$489,12,FALSE),0)</f>
        <v>0</v>
      </c>
      <c r="FK165" s="418">
        <f t="shared" si="56"/>
        <v>0</v>
      </c>
      <c r="FL165" s="418">
        <f t="shared" si="57"/>
        <v>20000</v>
      </c>
      <c r="FM165" s="417"/>
      <c r="FN165" s="417"/>
      <c r="FO165" s="417"/>
      <c r="FP165" s="417"/>
      <c r="FQ165" s="417"/>
      <c r="FR165" s="417"/>
      <c r="FS165" s="417"/>
      <c r="FT165" s="417"/>
      <c r="FU165" s="417"/>
      <c r="FV165" s="417"/>
      <c r="FW165" s="417"/>
      <c r="FX165" s="417"/>
      <c r="FY165" s="418"/>
      <c r="FZ165" s="418"/>
      <c r="GA165" s="418"/>
      <c r="GB165" s="417"/>
      <c r="GC165" s="417"/>
      <c r="GD165" s="417"/>
      <c r="GE165" s="417"/>
      <c r="GF165" s="417"/>
      <c r="GG165" s="417"/>
      <c r="GH165" s="417"/>
      <c r="GI165" s="417"/>
      <c r="GJ165" s="417"/>
      <c r="GK165" s="417"/>
      <c r="GL165" s="417"/>
      <c r="GM165" s="417"/>
      <c r="GN165" s="418"/>
      <c r="GO165" s="418"/>
      <c r="GP165" s="418"/>
      <c r="GQ165" s="417"/>
      <c r="GR165" s="417"/>
      <c r="GS165" s="417"/>
      <c r="GT165" s="417"/>
      <c r="GU165" s="417"/>
      <c r="GV165" s="417"/>
      <c r="GW165" s="417"/>
      <c r="GX165" s="417"/>
      <c r="GY165" s="417"/>
      <c r="GZ165" s="417"/>
      <c r="HA165" s="417"/>
      <c r="HB165" s="417"/>
      <c r="HC165" s="418"/>
      <c r="HD165" s="418"/>
      <c r="HE165" s="418"/>
      <c r="HF165" s="417"/>
      <c r="HG165" s="417"/>
      <c r="HH165" s="417"/>
      <c r="HI165" s="417"/>
      <c r="HJ165" s="417"/>
      <c r="HK165" s="417"/>
      <c r="HL165" s="417"/>
      <c r="HM165" s="417"/>
      <c r="HN165" s="417"/>
      <c r="HO165" s="417"/>
      <c r="HP165" s="417"/>
      <c r="HQ165" s="417"/>
      <c r="HR165" s="418"/>
      <c r="HS165" s="418"/>
      <c r="HT165" s="418"/>
    </row>
    <row r="166" spans="1:228" s="387" customFormat="1" ht="12.75" customHeight="1" x14ac:dyDescent="0.2">
      <c r="A166" s="406" t="s">
        <v>55</v>
      </c>
      <c r="B166" s="407" t="s">
        <v>42</v>
      </c>
      <c r="C166" s="406" t="s">
        <v>999</v>
      </c>
      <c r="D166" s="407" t="s">
        <v>1003</v>
      </c>
      <c r="E166" s="407" t="s">
        <v>999</v>
      </c>
      <c r="F166" s="407" t="s">
        <v>1003</v>
      </c>
      <c r="G166" s="406" t="s">
        <v>54</v>
      </c>
      <c r="H166" s="408" t="s">
        <v>520</v>
      </c>
      <c r="I166" s="408" t="s">
        <v>57</v>
      </c>
      <c r="J166" s="406" t="s">
        <v>331</v>
      </c>
      <c r="K166" s="406" t="s">
        <v>332</v>
      </c>
      <c r="L166" s="406" t="s">
        <v>57</v>
      </c>
      <c r="M166" s="406" t="s">
        <v>57</v>
      </c>
      <c r="N166" s="452">
        <v>0</v>
      </c>
      <c r="O166" s="452">
        <v>0</v>
      </c>
      <c r="P166" s="452">
        <v>0</v>
      </c>
      <c r="Q166" s="452">
        <v>0</v>
      </c>
      <c r="R166" s="452">
        <v>0</v>
      </c>
      <c r="S166" s="452">
        <v>0</v>
      </c>
      <c r="T166" s="452">
        <v>0</v>
      </c>
      <c r="U166" s="409">
        <v>0</v>
      </c>
      <c r="V166" s="409">
        <v>0</v>
      </c>
      <c r="W166" s="409">
        <v>0</v>
      </c>
      <c r="X166" s="409">
        <v>0</v>
      </c>
      <c r="Y166" s="409">
        <v>0</v>
      </c>
      <c r="Z166" s="453">
        <f t="shared" si="63"/>
        <v>0</v>
      </c>
      <c r="AA166" s="452">
        <v>0</v>
      </c>
      <c r="AB166" s="452">
        <v>0</v>
      </c>
      <c r="AC166" s="452">
        <v>0</v>
      </c>
      <c r="AD166" s="452">
        <v>0</v>
      </c>
      <c r="AE166" s="452">
        <v>0</v>
      </c>
      <c r="AF166" s="452">
        <v>0</v>
      </c>
      <c r="AG166" s="452">
        <v>0</v>
      </c>
      <c r="AH166" s="409">
        <v>0</v>
      </c>
      <c r="AI166" s="409">
        <v>0</v>
      </c>
      <c r="AJ166" s="409">
        <v>0</v>
      </c>
      <c r="AK166" s="409">
        <v>0</v>
      </c>
      <c r="AL166" s="409">
        <v>0</v>
      </c>
      <c r="AM166" s="453">
        <f t="shared" si="58"/>
        <v>0</v>
      </c>
      <c r="AN166" s="452">
        <v>0</v>
      </c>
      <c r="AO166" s="452">
        <v>0</v>
      </c>
      <c r="AP166" s="452">
        <v>0</v>
      </c>
      <c r="AQ166" s="452">
        <v>0</v>
      </c>
      <c r="AR166" s="452">
        <v>0</v>
      </c>
      <c r="AS166" s="452">
        <v>0</v>
      </c>
      <c r="AT166" s="452">
        <v>0</v>
      </c>
      <c r="AU166" s="409">
        <v>0</v>
      </c>
      <c r="AV166" s="409">
        <v>0</v>
      </c>
      <c r="AW166" s="409">
        <v>1500</v>
      </c>
      <c r="AX166" s="409">
        <v>0</v>
      </c>
      <c r="AY166" s="409">
        <v>0</v>
      </c>
      <c r="AZ166" s="453">
        <f t="shared" si="59"/>
        <v>1500</v>
      </c>
      <c r="BA166" s="452">
        <v>0</v>
      </c>
      <c r="BB166" s="452">
        <v>0</v>
      </c>
      <c r="BC166" s="452">
        <v>0</v>
      </c>
      <c r="BD166" s="452">
        <v>0</v>
      </c>
      <c r="BE166" s="452">
        <v>0</v>
      </c>
      <c r="BF166" s="452">
        <v>0</v>
      </c>
      <c r="BG166" s="452">
        <v>0</v>
      </c>
      <c r="BH166" s="409">
        <v>0</v>
      </c>
      <c r="BI166" s="409">
        <v>0</v>
      </c>
      <c r="BJ166" s="409">
        <v>0</v>
      </c>
      <c r="BK166" s="409">
        <v>0</v>
      </c>
      <c r="BL166" s="409">
        <v>0</v>
      </c>
      <c r="BM166" s="453">
        <f t="shared" si="60"/>
        <v>0</v>
      </c>
      <c r="BN166" s="452">
        <v>0</v>
      </c>
      <c r="BO166" s="452">
        <v>0</v>
      </c>
      <c r="BP166" s="452">
        <v>0</v>
      </c>
      <c r="BQ166" s="452">
        <v>0</v>
      </c>
      <c r="BR166" s="452">
        <v>0</v>
      </c>
      <c r="BS166" s="452">
        <v>0</v>
      </c>
      <c r="BT166" s="452">
        <v>0</v>
      </c>
      <c r="BU166" s="409">
        <v>0</v>
      </c>
      <c r="BV166" s="409">
        <v>0</v>
      </c>
      <c r="BW166" s="409">
        <v>0</v>
      </c>
      <c r="BX166" s="409">
        <v>0</v>
      </c>
      <c r="BY166" s="409">
        <v>0</v>
      </c>
      <c r="BZ166" s="453">
        <f t="shared" si="61"/>
        <v>0</v>
      </c>
      <c r="CA166" s="454">
        <f t="shared" si="62"/>
        <v>1500</v>
      </c>
      <c r="CB166" s="411"/>
      <c r="CC166" s="411"/>
      <c r="CD166" s="411"/>
      <c r="CE166" s="411"/>
      <c r="CF166" s="411"/>
      <c r="CG166" s="412"/>
      <c r="CH166" s="413"/>
      <c r="CI166" s="414" t="s">
        <v>1603</v>
      </c>
      <c r="CJ166" s="415">
        <v>0</v>
      </c>
      <c r="CK166" s="415">
        <v>0</v>
      </c>
      <c r="CL166" s="415">
        <v>0</v>
      </c>
      <c r="CM166" s="415">
        <v>0</v>
      </c>
      <c r="CN166" s="415">
        <v>0</v>
      </c>
      <c r="CO166" s="415">
        <v>0</v>
      </c>
      <c r="CP166" s="415">
        <v>0</v>
      </c>
      <c r="CQ166" s="415">
        <v>0</v>
      </c>
      <c r="CR166" s="415">
        <v>0</v>
      </c>
      <c r="CS166" s="415">
        <v>0</v>
      </c>
      <c r="CT166" s="415">
        <v>0</v>
      </c>
      <c r="CU166" s="415">
        <v>0</v>
      </c>
      <c r="CV166" s="410">
        <f t="shared" si="64"/>
        <v>0</v>
      </c>
      <c r="CW166" s="415">
        <v>0</v>
      </c>
      <c r="CX166" s="415">
        <v>0</v>
      </c>
      <c r="CY166" s="415">
        <v>0</v>
      </c>
      <c r="CZ166" s="415">
        <v>0</v>
      </c>
      <c r="DA166" s="415">
        <v>0</v>
      </c>
      <c r="DB166" s="415">
        <v>0</v>
      </c>
      <c r="DC166" s="415">
        <v>0</v>
      </c>
      <c r="DD166" s="415">
        <v>0</v>
      </c>
      <c r="DE166" s="415">
        <v>0</v>
      </c>
      <c r="DF166" s="415">
        <v>0</v>
      </c>
      <c r="DG166" s="415">
        <v>0</v>
      </c>
      <c r="DH166" s="415">
        <v>0</v>
      </c>
      <c r="DI166" s="410">
        <f t="shared" si="65"/>
        <v>0</v>
      </c>
      <c r="DJ166" s="415">
        <v>0</v>
      </c>
      <c r="DK166" s="415">
        <v>0</v>
      </c>
      <c r="DL166" s="415">
        <v>0</v>
      </c>
      <c r="DM166" s="415">
        <v>0</v>
      </c>
      <c r="DN166" s="415">
        <v>0</v>
      </c>
      <c r="DO166" s="415">
        <v>0</v>
      </c>
      <c r="DP166" s="415">
        <v>0</v>
      </c>
      <c r="DQ166" s="415">
        <v>0</v>
      </c>
      <c r="DR166" s="415">
        <v>0</v>
      </c>
      <c r="DS166" s="415">
        <v>15</v>
      </c>
      <c r="DT166" s="415">
        <v>0</v>
      </c>
      <c r="DU166" s="415">
        <v>0</v>
      </c>
      <c r="DV166" s="410">
        <f t="shared" si="66"/>
        <v>15</v>
      </c>
      <c r="DW166" s="415">
        <v>0</v>
      </c>
      <c r="DX166" s="415">
        <v>0</v>
      </c>
      <c r="DY166" s="415">
        <v>0</v>
      </c>
      <c r="DZ166" s="415">
        <v>0</v>
      </c>
      <c r="EA166" s="415">
        <v>0</v>
      </c>
      <c r="EB166" s="415">
        <v>0</v>
      </c>
      <c r="EC166" s="415">
        <v>0</v>
      </c>
      <c r="ED166" s="415">
        <v>0</v>
      </c>
      <c r="EE166" s="415">
        <v>0</v>
      </c>
      <c r="EF166" s="415">
        <v>0</v>
      </c>
      <c r="EG166" s="415">
        <v>0</v>
      </c>
      <c r="EH166" s="415">
        <v>0</v>
      </c>
      <c r="EI166" s="410">
        <f t="shared" si="67"/>
        <v>0</v>
      </c>
      <c r="EJ166" s="415">
        <v>0</v>
      </c>
      <c r="EK166" s="415">
        <v>0</v>
      </c>
      <c r="EL166" s="415">
        <v>0</v>
      </c>
      <c r="EM166" s="415">
        <v>0</v>
      </c>
      <c r="EN166" s="415">
        <v>0</v>
      </c>
      <c r="EO166" s="415">
        <v>0</v>
      </c>
      <c r="EP166" s="415">
        <v>0</v>
      </c>
      <c r="EQ166" s="415">
        <v>0</v>
      </c>
      <c r="ER166" s="415">
        <v>0</v>
      </c>
      <c r="ES166" s="415">
        <v>0</v>
      </c>
      <c r="ET166" s="415">
        <v>0</v>
      </c>
      <c r="EU166" s="415">
        <v>0</v>
      </c>
      <c r="EV166" s="410">
        <f t="shared" si="68"/>
        <v>0</v>
      </c>
      <c r="EW166" s="416">
        <f t="shared" si="69"/>
        <v>15</v>
      </c>
      <c r="EX166" s="417">
        <f>IFERROR(VLOOKUP(H166,CEI_012018!$A$1:$U$509,9,FALSE),0)</f>
        <v>0</v>
      </c>
      <c r="EY166" s="417">
        <f>IFERROR(VLOOKUP(H166,CEI_022018!$A$1:$U$509,9,FALSE),0)</f>
        <v>0</v>
      </c>
      <c r="EZ166" s="417">
        <f>IFERROR(VLOOKUP(H166,CEI_032018!$A$1:$U$509,9,FALSE),0)</f>
        <v>0</v>
      </c>
      <c r="FA166" s="417">
        <f>IFERROR(VLOOKUP(H166,CEI_042018!$A$1:$U$491,9,FALSE),0)</f>
        <v>0</v>
      </c>
      <c r="FB166" s="417">
        <f>IFERROR(VLOOKUP(H166,CEI_052018!$A$1:$U$489,9,FALSE),0)</f>
        <v>0</v>
      </c>
      <c r="FC166" s="417">
        <f>IFERROR(VLOOKUP(H166,CEI_062018!$A$1:$U$489,9,FALSE),0)</f>
        <v>0</v>
      </c>
      <c r="FD166" s="417">
        <f>IFERROR(VLOOKUP(H166,CEI_072018!$A$1:$U$489,9,FALSE),0)</f>
        <v>0</v>
      </c>
      <c r="FE166" s="417">
        <f>IFERROR(VLOOKUP(H166,CEI_082018!$A$1:$U$489,9,FALSE),0)</f>
        <v>0</v>
      </c>
      <c r="FF166" s="417">
        <f>IFERROR(VLOOKUP(H166,CEI_092018!$A$1:$U$489,9,FALSE),0)</f>
        <v>0</v>
      </c>
      <c r="FG166" s="417"/>
      <c r="FH166" s="417"/>
      <c r="FI166" s="417"/>
      <c r="FJ166" s="418">
        <f>IFERROR(VLOOKUP(H166,CEI_092018!$A$1:$U$489,12,FALSE),0)</f>
        <v>0</v>
      </c>
      <c r="FK166" s="418">
        <f t="shared" si="56"/>
        <v>0</v>
      </c>
      <c r="FL166" s="418">
        <f t="shared" si="57"/>
        <v>0</v>
      </c>
      <c r="FM166" s="417"/>
      <c r="FN166" s="417"/>
      <c r="FO166" s="417"/>
      <c r="FP166" s="417"/>
      <c r="FQ166" s="417"/>
      <c r="FR166" s="417"/>
      <c r="FS166" s="417"/>
      <c r="FT166" s="417"/>
      <c r="FU166" s="417"/>
      <c r="FV166" s="417"/>
      <c r="FW166" s="417"/>
      <c r="FX166" s="417"/>
      <c r="FY166" s="418"/>
      <c r="FZ166" s="418"/>
      <c r="GA166" s="418"/>
      <c r="GB166" s="417"/>
      <c r="GC166" s="417"/>
      <c r="GD166" s="417"/>
      <c r="GE166" s="417"/>
      <c r="GF166" s="417"/>
      <c r="GG166" s="417"/>
      <c r="GH166" s="417"/>
      <c r="GI166" s="417"/>
      <c r="GJ166" s="417"/>
      <c r="GK166" s="417"/>
      <c r="GL166" s="417"/>
      <c r="GM166" s="417"/>
      <c r="GN166" s="418"/>
      <c r="GO166" s="418"/>
      <c r="GP166" s="418"/>
      <c r="GQ166" s="417"/>
      <c r="GR166" s="417"/>
      <c r="GS166" s="417"/>
      <c r="GT166" s="417"/>
      <c r="GU166" s="417"/>
      <c r="GV166" s="417"/>
      <c r="GW166" s="417"/>
      <c r="GX166" s="417"/>
      <c r="GY166" s="417"/>
      <c r="GZ166" s="417"/>
      <c r="HA166" s="417"/>
      <c r="HB166" s="417"/>
      <c r="HC166" s="418"/>
      <c r="HD166" s="418"/>
      <c r="HE166" s="418"/>
      <c r="HF166" s="417"/>
      <c r="HG166" s="417"/>
      <c r="HH166" s="417"/>
      <c r="HI166" s="417"/>
      <c r="HJ166" s="417"/>
      <c r="HK166" s="417"/>
      <c r="HL166" s="417"/>
      <c r="HM166" s="417"/>
      <c r="HN166" s="417"/>
      <c r="HO166" s="417"/>
      <c r="HP166" s="417"/>
      <c r="HQ166" s="417"/>
      <c r="HR166" s="418"/>
      <c r="HS166" s="418"/>
      <c r="HT166" s="418"/>
    </row>
    <row r="167" spans="1:228" s="387" customFormat="1" ht="12.75" customHeight="1" x14ac:dyDescent="0.2">
      <c r="A167" s="406" t="s">
        <v>55</v>
      </c>
      <c r="B167" s="407" t="s">
        <v>42</v>
      </c>
      <c r="C167" s="406" t="s">
        <v>999</v>
      </c>
      <c r="D167" s="407" t="s">
        <v>1878</v>
      </c>
      <c r="E167" s="406" t="s">
        <v>999</v>
      </c>
      <c r="F167" s="407" t="s">
        <v>1878</v>
      </c>
      <c r="G167" s="406" t="s">
        <v>54</v>
      </c>
      <c r="H167" s="408" t="s">
        <v>1840</v>
      </c>
      <c r="I167" s="408"/>
      <c r="J167" s="406" t="s">
        <v>1841</v>
      </c>
      <c r="K167" s="406"/>
      <c r="L167" s="406"/>
      <c r="M167" s="406"/>
      <c r="N167" s="452">
        <v>0</v>
      </c>
      <c r="O167" s="452">
        <v>0</v>
      </c>
      <c r="P167" s="452">
        <v>0</v>
      </c>
      <c r="Q167" s="452">
        <v>0</v>
      </c>
      <c r="R167" s="452">
        <v>0</v>
      </c>
      <c r="S167" s="452">
        <v>0</v>
      </c>
      <c r="T167" s="452">
        <v>5.8700799942016602</v>
      </c>
      <c r="U167" s="409">
        <v>0</v>
      </c>
      <c r="V167" s="409">
        <v>0</v>
      </c>
      <c r="W167" s="409">
        <v>0</v>
      </c>
      <c r="X167" s="409">
        <v>0</v>
      </c>
      <c r="Y167" s="409">
        <v>160.12995000000001</v>
      </c>
      <c r="Z167" s="453">
        <f t="shared" si="63"/>
        <v>166.00002999420167</v>
      </c>
      <c r="AA167" s="452"/>
      <c r="AB167" s="452"/>
      <c r="AC167" s="452"/>
      <c r="AD167" s="452"/>
      <c r="AE167" s="452"/>
      <c r="AF167" s="452"/>
      <c r="AG167" s="452"/>
      <c r="AH167" s="409"/>
      <c r="AI167" s="409"/>
      <c r="AJ167" s="409"/>
      <c r="AK167" s="409"/>
      <c r="AL167" s="409"/>
      <c r="AM167" s="453">
        <f t="shared" si="58"/>
        <v>0</v>
      </c>
      <c r="AN167" s="452"/>
      <c r="AO167" s="452"/>
      <c r="AP167" s="452"/>
      <c r="AQ167" s="452"/>
      <c r="AR167" s="452"/>
      <c r="AS167" s="452"/>
      <c r="AT167" s="452"/>
      <c r="AU167" s="409"/>
      <c r="AV167" s="409"/>
      <c r="AW167" s="409"/>
      <c r="AX167" s="409"/>
      <c r="AY167" s="409"/>
      <c r="AZ167" s="453">
        <f t="shared" si="59"/>
        <v>0</v>
      </c>
      <c r="BA167" s="452">
        <v>0</v>
      </c>
      <c r="BB167" s="452">
        <v>0</v>
      </c>
      <c r="BC167" s="452">
        <v>0</v>
      </c>
      <c r="BD167" s="452">
        <v>0</v>
      </c>
      <c r="BE167" s="452">
        <v>0</v>
      </c>
      <c r="BF167" s="452">
        <v>0</v>
      </c>
      <c r="BG167" s="452">
        <v>0</v>
      </c>
      <c r="BH167" s="409">
        <v>0</v>
      </c>
      <c r="BI167" s="409">
        <v>0</v>
      </c>
      <c r="BJ167" s="409">
        <v>0</v>
      </c>
      <c r="BK167" s="409">
        <v>0</v>
      </c>
      <c r="BL167" s="409">
        <v>0</v>
      </c>
      <c r="BM167" s="453">
        <f t="shared" si="60"/>
        <v>0</v>
      </c>
      <c r="BN167" s="452">
        <v>0</v>
      </c>
      <c r="BO167" s="452">
        <v>0</v>
      </c>
      <c r="BP167" s="452">
        <v>0</v>
      </c>
      <c r="BQ167" s="452">
        <v>0</v>
      </c>
      <c r="BR167" s="452">
        <v>0</v>
      </c>
      <c r="BS167" s="452">
        <v>0</v>
      </c>
      <c r="BT167" s="452">
        <v>0</v>
      </c>
      <c r="BU167" s="409">
        <v>0</v>
      </c>
      <c r="BV167" s="409">
        <v>0</v>
      </c>
      <c r="BW167" s="409">
        <v>0</v>
      </c>
      <c r="BX167" s="409">
        <v>0</v>
      </c>
      <c r="BY167" s="409">
        <v>0</v>
      </c>
      <c r="BZ167" s="453">
        <f t="shared" si="61"/>
        <v>0</v>
      </c>
      <c r="CA167" s="454">
        <f t="shared" si="62"/>
        <v>166.00002999420167</v>
      </c>
      <c r="CB167" s="419"/>
      <c r="CC167" s="419">
        <v>1</v>
      </c>
      <c r="CD167" s="419">
        <v>1</v>
      </c>
      <c r="CE167" s="419">
        <v>1</v>
      </c>
      <c r="CF167" s="419">
        <v>1</v>
      </c>
      <c r="CG167" s="420">
        <f>IFERROR((FE167/Z167%),0)</f>
        <v>3.536192128644013</v>
      </c>
      <c r="CH167" s="421">
        <f>IFERROR((FK167/Z167%),0)</f>
        <v>99.921716881614685</v>
      </c>
      <c r="CI167" s="414"/>
      <c r="CJ167" s="415"/>
      <c r="CK167" s="415"/>
      <c r="CL167" s="415"/>
      <c r="CM167" s="415"/>
      <c r="CN167" s="415"/>
      <c r="CO167" s="415"/>
      <c r="CP167" s="415"/>
      <c r="CQ167" s="415"/>
      <c r="CR167" s="415"/>
      <c r="CS167" s="415"/>
      <c r="CT167" s="415"/>
      <c r="CU167" s="415"/>
      <c r="CV167" s="410">
        <f t="shared" si="64"/>
        <v>0</v>
      </c>
      <c r="CW167" s="415"/>
      <c r="CX167" s="415"/>
      <c r="CY167" s="415"/>
      <c r="CZ167" s="415"/>
      <c r="DA167" s="415"/>
      <c r="DB167" s="415"/>
      <c r="DC167" s="415"/>
      <c r="DD167" s="415"/>
      <c r="DE167" s="415"/>
      <c r="DF167" s="415"/>
      <c r="DG167" s="415"/>
      <c r="DH167" s="415"/>
      <c r="DI167" s="410">
        <f t="shared" si="65"/>
        <v>0</v>
      </c>
      <c r="DJ167" s="415"/>
      <c r="DK167" s="415"/>
      <c r="DL167" s="415"/>
      <c r="DM167" s="415"/>
      <c r="DN167" s="415"/>
      <c r="DO167" s="415"/>
      <c r="DP167" s="415"/>
      <c r="DQ167" s="415"/>
      <c r="DR167" s="415"/>
      <c r="DS167" s="415"/>
      <c r="DT167" s="415"/>
      <c r="DU167" s="415"/>
      <c r="DV167" s="410">
        <f t="shared" si="66"/>
        <v>0</v>
      </c>
      <c r="DW167" s="415"/>
      <c r="DX167" s="415"/>
      <c r="DY167" s="415"/>
      <c r="DZ167" s="415"/>
      <c r="EA167" s="415"/>
      <c r="EB167" s="415"/>
      <c r="EC167" s="415"/>
      <c r="ED167" s="415"/>
      <c r="EE167" s="415"/>
      <c r="EF167" s="415"/>
      <c r="EG167" s="415"/>
      <c r="EH167" s="415"/>
      <c r="EI167" s="410">
        <f t="shared" si="67"/>
        <v>0</v>
      </c>
      <c r="EJ167" s="415"/>
      <c r="EK167" s="415"/>
      <c r="EL167" s="415"/>
      <c r="EM167" s="415"/>
      <c r="EN167" s="415"/>
      <c r="EO167" s="415"/>
      <c r="EP167" s="415"/>
      <c r="EQ167" s="415"/>
      <c r="ER167" s="415"/>
      <c r="ES167" s="415"/>
      <c r="ET167" s="415"/>
      <c r="EU167" s="415"/>
      <c r="EV167" s="410">
        <f t="shared" si="68"/>
        <v>0</v>
      </c>
      <c r="EW167" s="416">
        <f t="shared" si="69"/>
        <v>0</v>
      </c>
      <c r="EX167" s="417">
        <f>IFERROR(VLOOKUP(H167,CEI_012018!$A$1:$U$509,9,FALSE),0)</f>
        <v>0</v>
      </c>
      <c r="EY167" s="417">
        <f>IFERROR(VLOOKUP(H167,CEI_022018!$A$1:$U$509,9,FALSE),0)</f>
        <v>0</v>
      </c>
      <c r="EZ167" s="417">
        <f>IFERROR(VLOOKUP(H167,CEI_032018!$A$1:$U$509,9,FALSE),0)</f>
        <v>0</v>
      </c>
      <c r="FA167" s="417">
        <f>IFERROR(VLOOKUP(H167,CEI_042018!$A$1:$U$491,9,FALSE),0)</f>
        <v>0</v>
      </c>
      <c r="FB167" s="417">
        <f>IFERROR(VLOOKUP(H167,CEI_052018!$A$1:$U$489,9,FALSE),0)</f>
        <v>0</v>
      </c>
      <c r="FC167" s="417">
        <f>IFERROR(VLOOKUP(H167,CEI_062018!$A$1:$U$489,9,FALSE),0)</f>
        <v>0</v>
      </c>
      <c r="FD167" s="417">
        <f>IFERROR(VLOOKUP(H167,CEI_072018!$A$1:$U$489,9,FALSE),0)</f>
        <v>5.8700799942016602</v>
      </c>
      <c r="FE167" s="417">
        <f>IFERROR(VLOOKUP(H167,CEI_082018!$A$1:$U$489,9,FALSE),0)</f>
        <v>5.8700799942016602</v>
      </c>
      <c r="FF167" s="417">
        <f>IFERROR(VLOOKUP(H167,CEI_092018!$A$1:$U$489,9,FALSE),0)</f>
        <v>5.8700799942016602</v>
      </c>
      <c r="FG167" s="417"/>
      <c r="FH167" s="417"/>
      <c r="FI167" s="417"/>
      <c r="FJ167" s="418">
        <f>IFERROR(VLOOKUP(H167,CEI_092018!$A$1:$U$489,12,FALSE),0)</f>
        <v>160</v>
      </c>
      <c r="FK167" s="418">
        <f t="shared" si="56"/>
        <v>165.87007999420166</v>
      </c>
      <c r="FL167" s="418">
        <f t="shared" si="57"/>
        <v>0.129950000000008</v>
      </c>
      <c r="FM167" s="417"/>
      <c r="FN167" s="417"/>
      <c r="FO167" s="417"/>
      <c r="FP167" s="417"/>
      <c r="FQ167" s="417"/>
      <c r="FR167" s="417"/>
      <c r="FS167" s="417"/>
      <c r="FT167" s="417"/>
      <c r="FU167" s="417"/>
      <c r="FV167" s="417"/>
      <c r="FW167" s="417"/>
      <c r="FX167" s="417"/>
      <c r="FY167" s="418"/>
      <c r="FZ167" s="418"/>
      <c r="GA167" s="418"/>
      <c r="GB167" s="417"/>
      <c r="GC167" s="417"/>
      <c r="GD167" s="417"/>
      <c r="GE167" s="417"/>
      <c r="GF167" s="417"/>
      <c r="GG167" s="417"/>
      <c r="GH167" s="417"/>
      <c r="GI167" s="417"/>
      <c r="GJ167" s="417"/>
      <c r="GK167" s="417"/>
      <c r="GL167" s="417"/>
      <c r="GM167" s="417"/>
      <c r="GN167" s="418"/>
      <c r="GO167" s="418"/>
      <c r="GP167" s="418"/>
      <c r="GQ167" s="417"/>
      <c r="GR167" s="417"/>
      <c r="GS167" s="417"/>
      <c r="GT167" s="417"/>
      <c r="GU167" s="417"/>
      <c r="GV167" s="417"/>
      <c r="GW167" s="417"/>
      <c r="GX167" s="417"/>
      <c r="GY167" s="417"/>
      <c r="GZ167" s="417"/>
      <c r="HA167" s="417"/>
      <c r="HB167" s="417"/>
      <c r="HC167" s="418"/>
      <c r="HD167" s="418"/>
      <c r="HE167" s="418"/>
      <c r="HF167" s="417"/>
      <c r="HG167" s="417"/>
      <c r="HH167" s="417"/>
      <c r="HI167" s="417"/>
      <c r="HJ167" s="417"/>
      <c r="HK167" s="417"/>
      <c r="HL167" s="417"/>
      <c r="HM167" s="417"/>
      <c r="HN167" s="417"/>
      <c r="HO167" s="417"/>
      <c r="HP167" s="417"/>
      <c r="HQ167" s="417"/>
      <c r="HR167" s="418"/>
      <c r="HS167" s="418"/>
      <c r="HT167" s="418"/>
    </row>
    <row r="168" spans="1:228" s="387" customFormat="1" ht="12.75" customHeight="1" x14ac:dyDescent="0.2">
      <c r="A168" s="406" t="s">
        <v>55</v>
      </c>
      <c r="B168" s="407" t="s">
        <v>42</v>
      </c>
      <c r="C168" s="406" t="s">
        <v>999</v>
      </c>
      <c r="D168" s="407" t="s">
        <v>1003</v>
      </c>
      <c r="E168" s="407" t="s">
        <v>999</v>
      </c>
      <c r="F168" s="407" t="s">
        <v>1003</v>
      </c>
      <c r="G168" s="406" t="s">
        <v>54</v>
      </c>
      <c r="H168" s="408" t="s">
        <v>520</v>
      </c>
      <c r="I168" s="408" t="s">
        <v>57</v>
      </c>
      <c r="J168" s="406" t="s">
        <v>334</v>
      </c>
      <c r="K168" s="406" t="s">
        <v>335</v>
      </c>
      <c r="L168" s="406" t="s">
        <v>336</v>
      </c>
      <c r="M168" s="406" t="s">
        <v>1770</v>
      </c>
      <c r="N168" s="452">
        <v>0</v>
      </c>
      <c r="O168" s="452">
        <v>0</v>
      </c>
      <c r="P168" s="452">
        <v>0</v>
      </c>
      <c r="Q168" s="452">
        <v>0</v>
      </c>
      <c r="R168" s="452">
        <v>0</v>
      </c>
      <c r="S168" s="452">
        <v>0</v>
      </c>
      <c r="T168" s="452">
        <v>0</v>
      </c>
      <c r="U168" s="409">
        <v>0</v>
      </c>
      <c r="V168" s="409">
        <v>0</v>
      </c>
      <c r="W168" s="409">
        <v>0</v>
      </c>
      <c r="X168" s="409">
        <v>0</v>
      </c>
      <c r="Y168" s="409">
        <v>0</v>
      </c>
      <c r="Z168" s="453">
        <f t="shared" si="63"/>
        <v>0</v>
      </c>
      <c r="AA168" s="452">
        <v>0</v>
      </c>
      <c r="AB168" s="452">
        <v>0</v>
      </c>
      <c r="AC168" s="452">
        <v>0</v>
      </c>
      <c r="AD168" s="452">
        <v>0</v>
      </c>
      <c r="AE168" s="452">
        <v>0</v>
      </c>
      <c r="AF168" s="452">
        <v>0</v>
      </c>
      <c r="AG168" s="452">
        <v>0</v>
      </c>
      <c r="AH168" s="409">
        <v>0</v>
      </c>
      <c r="AI168" s="409">
        <v>0</v>
      </c>
      <c r="AJ168" s="409">
        <v>0</v>
      </c>
      <c r="AK168" s="409">
        <v>0</v>
      </c>
      <c r="AL168" s="409">
        <v>0</v>
      </c>
      <c r="AM168" s="453">
        <f t="shared" si="58"/>
        <v>0</v>
      </c>
      <c r="AN168" s="452">
        <v>0</v>
      </c>
      <c r="AO168" s="452">
        <v>0</v>
      </c>
      <c r="AP168" s="452">
        <v>0</v>
      </c>
      <c r="AQ168" s="452">
        <v>0</v>
      </c>
      <c r="AR168" s="452">
        <v>0</v>
      </c>
      <c r="AS168" s="452">
        <v>0</v>
      </c>
      <c r="AT168" s="452">
        <v>0</v>
      </c>
      <c r="AU168" s="409">
        <v>0</v>
      </c>
      <c r="AV168" s="409">
        <v>0</v>
      </c>
      <c r="AW168" s="409">
        <v>0</v>
      </c>
      <c r="AX168" s="409">
        <v>0</v>
      </c>
      <c r="AY168" s="409">
        <v>0</v>
      </c>
      <c r="AZ168" s="453">
        <f t="shared" si="59"/>
        <v>0</v>
      </c>
      <c r="BA168" s="452">
        <v>0</v>
      </c>
      <c r="BB168" s="452">
        <v>0</v>
      </c>
      <c r="BC168" s="452">
        <v>0</v>
      </c>
      <c r="BD168" s="452">
        <v>0</v>
      </c>
      <c r="BE168" s="452">
        <v>0</v>
      </c>
      <c r="BF168" s="452">
        <v>0</v>
      </c>
      <c r="BG168" s="452">
        <v>0</v>
      </c>
      <c r="BH168" s="409">
        <v>0</v>
      </c>
      <c r="BI168" s="409">
        <v>0</v>
      </c>
      <c r="BJ168" s="409">
        <v>0</v>
      </c>
      <c r="BK168" s="409">
        <v>0</v>
      </c>
      <c r="BL168" s="409">
        <v>0</v>
      </c>
      <c r="BM168" s="453">
        <f t="shared" si="60"/>
        <v>0</v>
      </c>
      <c r="BN168" s="452">
        <v>0</v>
      </c>
      <c r="BO168" s="452">
        <v>0</v>
      </c>
      <c r="BP168" s="452">
        <v>0</v>
      </c>
      <c r="BQ168" s="452">
        <v>0</v>
      </c>
      <c r="BR168" s="452">
        <v>0</v>
      </c>
      <c r="BS168" s="452">
        <v>0</v>
      </c>
      <c r="BT168" s="452">
        <v>0</v>
      </c>
      <c r="BU168" s="409">
        <v>0</v>
      </c>
      <c r="BV168" s="409">
        <v>4624.8999999999996</v>
      </c>
      <c r="BW168" s="409">
        <v>0</v>
      </c>
      <c r="BX168" s="409">
        <v>0</v>
      </c>
      <c r="BY168" s="409">
        <v>0</v>
      </c>
      <c r="BZ168" s="453">
        <f t="shared" si="61"/>
        <v>4624.8999999999996</v>
      </c>
      <c r="CA168" s="454">
        <f t="shared" si="62"/>
        <v>4624.8999999999996</v>
      </c>
      <c r="CB168" s="411"/>
      <c r="CC168" s="411"/>
      <c r="CD168" s="411"/>
      <c r="CE168" s="411"/>
      <c r="CF168" s="411"/>
      <c r="CG168" s="412"/>
      <c r="CH168" s="413"/>
      <c r="CI168" s="414" t="s">
        <v>1603</v>
      </c>
      <c r="CJ168" s="415">
        <v>0</v>
      </c>
      <c r="CK168" s="415">
        <v>0</v>
      </c>
      <c r="CL168" s="415">
        <v>0</v>
      </c>
      <c r="CM168" s="415">
        <v>0</v>
      </c>
      <c r="CN168" s="415">
        <v>0</v>
      </c>
      <c r="CO168" s="415">
        <v>0</v>
      </c>
      <c r="CP168" s="415">
        <v>0</v>
      </c>
      <c r="CQ168" s="415">
        <v>0</v>
      </c>
      <c r="CR168" s="415">
        <v>0</v>
      </c>
      <c r="CS168" s="415">
        <v>0</v>
      </c>
      <c r="CT168" s="415">
        <v>0</v>
      </c>
      <c r="CU168" s="415">
        <v>0</v>
      </c>
      <c r="CV168" s="410">
        <f t="shared" si="64"/>
        <v>0</v>
      </c>
      <c r="CW168" s="415">
        <v>0</v>
      </c>
      <c r="CX168" s="415">
        <v>0</v>
      </c>
      <c r="CY168" s="415">
        <v>0</v>
      </c>
      <c r="CZ168" s="415">
        <v>0</v>
      </c>
      <c r="DA168" s="415">
        <v>0</v>
      </c>
      <c r="DB168" s="415">
        <v>0</v>
      </c>
      <c r="DC168" s="415">
        <v>0</v>
      </c>
      <c r="DD168" s="415">
        <v>0</v>
      </c>
      <c r="DE168" s="415">
        <v>0</v>
      </c>
      <c r="DF168" s="415">
        <v>0</v>
      </c>
      <c r="DG168" s="415">
        <v>0</v>
      </c>
      <c r="DH168" s="415">
        <v>0</v>
      </c>
      <c r="DI168" s="410">
        <f t="shared" si="65"/>
        <v>0</v>
      </c>
      <c r="DJ168" s="415">
        <v>0</v>
      </c>
      <c r="DK168" s="415">
        <v>0</v>
      </c>
      <c r="DL168" s="415">
        <v>0</v>
      </c>
      <c r="DM168" s="415">
        <v>0</v>
      </c>
      <c r="DN168" s="415">
        <v>0</v>
      </c>
      <c r="DO168" s="415">
        <v>0</v>
      </c>
      <c r="DP168" s="415">
        <v>0</v>
      </c>
      <c r="DQ168" s="415">
        <v>0</v>
      </c>
      <c r="DR168" s="415">
        <v>0</v>
      </c>
      <c r="DS168" s="415">
        <v>0</v>
      </c>
      <c r="DT168" s="415">
        <v>0</v>
      </c>
      <c r="DU168" s="415">
        <v>0</v>
      </c>
      <c r="DV168" s="410">
        <f t="shared" si="66"/>
        <v>0</v>
      </c>
      <c r="DW168" s="415">
        <v>0</v>
      </c>
      <c r="DX168" s="415">
        <v>0</v>
      </c>
      <c r="DY168" s="415">
        <v>0</v>
      </c>
      <c r="DZ168" s="415">
        <v>0</v>
      </c>
      <c r="EA168" s="415">
        <v>0</v>
      </c>
      <c r="EB168" s="415">
        <v>0</v>
      </c>
      <c r="EC168" s="415">
        <v>0</v>
      </c>
      <c r="ED168" s="415">
        <v>0</v>
      </c>
      <c r="EE168" s="415">
        <v>0</v>
      </c>
      <c r="EF168" s="415">
        <v>0</v>
      </c>
      <c r="EG168" s="415">
        <v>0</v>
      </c>
      <c r="EH168" s="415">
        <v>0</v>
      </c>
      <c r="EI168" s="410">
        <f t="shared" si="67"/>
        <v>0</v>
      </c>
      <c r="EJ168" s="415">
        <v>0</v>
      </c>
      <c r="EK168" s="415">
        <v>0</v>
      </c>
      <c r="EL168" s="415">
        <v>0</v>
      </c>
      <c r="EM168" s="415">
        <v>0</v>
      </c>
      <c r="EN168" s="415">
        <v>0</v>
      </c>
      <c r="EO168" s="415">
        <v>0</v>
      </c>
      <c r="EP168" s="415">
        <v>0</v>
      </c>
      <c r="EQ168" s="415">
        <v>0</v>
      </c>
      <c r="ER168" s="415">
        <v>23.124499999999998</v>
      </c>
      <c r="ES168" s="415">
        <v>0</v>
      </c>
      <c r="ET168" s="415">
        <v>0</v>
      </c>
      <c r="EU168" s="415">
        <v>0</v>
      </c>
      <c r="EV168" s="410">
        <f t="shared" si="68"/>
        <v>23.124499999999998</v>
      </c>
      <c r="EW168" s="416">
        <f t="shared" si="69"/>
        <v>23.124499999999998</v>
      </c>
      <c r="EX168" s="417">
        <f>IFERROR(VLOOKUP(H168,CEI_012018!$A$1:$U$509,9,FALSE),0)</f>
        <v>0</v>
      </c>
      <c r="EY168" s="417">
        <f>IFERROR(VLOOKUP(H168,CEI_022018!$A$1:$U$509,9,FALSE),0)</f>
        <v>0</v>
      </c>
      <c r="EZ168" s="417">
        <f>IFERROR(VLOOKUP(H168,CEI_032018!$A$1:$U$509,9,FALSE),0)</f>
        <v>0</v>
      </c>
      <c r="FA168" s="417">
        <f>IFERROR(VLOOKUP(H168,CEI_042018!$A$1:$U$491,9,FALSE),0)</f>
        <v>0</v>
      </c>
      <c r="FB168" s="417">
        <f>IFERROR(VLOOKUP(H168,CEI_052018!$A$1:$U$489,9,FALSE),0)</f>
        <v>0</v>
      </c>
      <c r="FC168" s="417">
        <f>IFERROR(VLOOKUP(H168,CEI_062018!$A$1:$U$489,9,FALSE),0)</f>
        <v>0</v>
      </c>
      <c r="FD168" s="417">
        <f>IFERROR(VLOOKUP(H168,CEI_072018!$A$1:$U$489,9,FALSE),0)</f>
        <v>0</v>
      </c>
      <c r="FE168" s="417">
        <f>IFERROR(VLOOKUP(H168,CEI_082018!$A$1:$U$489,9,FALSE),0)</f>
        <v>0</v>
      </c>
      <c r="FF168" s="417">
        <f>IFERROR(VLOOKUP(H168,CEI_092018!$A$1:$U$489,9,FALSE),0)</f>
        <v>0</v>
      </c>
      <c r="FG168" s="417"/>
      <c r="FH168" s="417"/>
      <c r="FI168" s="417"/>
      <c r="FJ168" s="418">
        <f>IFERROR(VLOOKUP(H168,CEI_092018!$A$1:$U$489,12,FALSE),0)</f>
        <v>0</v>
      </c>
      <c r="FK168" s="418">
        <f t="shared" si="56"/>
        <v>0</v>
      </c>
      <c r="FL168" s="418">
        <f t="shared" si="57"/>
        <v>0</v>
      </c>
      <c r="FM168" s="417"/>
      <c r="FN168" s="417"/>
      <c r="FO168" s="417"/>
      <c r="FP168" s="417"/>
      <c r="FQ168" s="417"/>
      <c r="FR168" s="417"/>
      <c r="FS168" s="417"/>
      <c r="FT168" s="417"/>
      <c r="FU168" s="417"/>
      <c r="FV168" s="417"/>
      <c r="FW168" s="417"/>
      <c r="FX168" s="417"/>
      <c r="FY168" s="418"/>
      <c r="FZ168" s="418"/>
      <c r="GA168" s="418"/>
      <c r="GB168" s="417"/>
      <c r="GC168" s="417"/>
      <c r="GD168" s="417"/>
      <c r="GE168" s="417"/>
      <c r="GF168" s="417"/>
      <c r="GG168" s="417"/>
      <c r="GH168" s="417"/>
      <c r="GI168" s="417"/>
      <c r="GJ168" s="417"/>
      <c r="GK168" s="417"/>
      <c r="GL168" s="417"/>
      <c r="GM168" s="417"/>
      <c r="GN168" s="418"/>
      <c r="GO168" s="418"/>
      <c r="GP168" s="418"/>
      <c r="GQ168" s="417"/>
      <c r="GR168" s="417"/>
      <c r="GS168" s="417"/>
      <c r="GT168" s="417"/>
      <c r="GU168" s="417"/>
      <c r="GV168" s="417"/>
      <c r="GW168" s="417"/>
      <c r="GX168" s="417"/>
      <c r="GY168" s="417"/>
      <c r="GZ168" s="417"/>
      <c r="HA168" s="417"/>
      <c r="HB168" s="417"/>
      <c r="HC168" s="418"/>
      <c r="HD168" s="418"/>
      <c r="HE168" s="418"/>
      <c r="HF168" s="417"/>
      <c r="HG168" s="417"/>
      <c r="HH168" s="417"/>
      <c r="HI168" s="417"/>
      <c r="HJ168" s="417"/>
      <c r="HK168" s="417"/>
      <c r="HL168" s="417"/>
      <c r="HM168" s="417"/>
      <c r="HN168" s="417"/>
      <c r="HO168" s="417"/>
      <c r="HP168" s="417"/>
      <c r="HQ168" s="417"/>
      <c r="HR168" s="418"/>
      <c r="HS168" s="418"/>
      <c r="HT168" s="418"/>
    </row>
    <row r="169" spans="1:228" s="387" customFormat="1" ht="12.75" customHeight="1" x14ac:dyDescent="0.2">
      <c r="A169" s="406" t="s">
        <v>55</v>
      </c>
      <c r="B169" s="407" t="s">
        <v>42</v>
      </c>
      <c r="C169" s="406" t="s">
        <v>999</v>
      </c>
      <c r="D169" s="407" t="s">
        <v>1003</v>
      </c>
      <c r="E169" s="407" t="s">
        <v>1586</v>
      </c>
      <c r="F169" s="407" t="s">
        <v>1753</v>
      </c>
      <c r="G169" s="406" t="s">
        <v>60</v>
      </c>
      <c r="H169" s="408" t="s">
        <v>520</v>
      </c>
      <c r="I169" s="408" t="s">
        <v>57</v>
      </c>
      <c r="J169" s="406" t="s">
        <v>497</v>
      </c>
      <c r="K169" s="406" t="s">
        <v>498</v>
      </c>
      <c r="L169" s="406" t="s">
        <v>499</v>
      </c>
      <c r="M169" s="406" t="s">
        <v>57</v>
      </c>
      <c r="N169" s="452">
        <v>0</v>
      </c>
      <c r="O169" s="452">
        <v>0</v>
      </c>
      <c r="P169" s="452">
        <v>0</v>
      </c>
      <c r="Q169" s="452">
        <v>0</v>
      </c>
      <c r="R169" s="452">
        <v>0</v>
      </c>
      <c r="S169" s="452">
        <v>0</v>
      </c>
      <c r="T169" s="452">
        <v>0</v>
      </c>
      <c r="U169" s="409">
        <v>0</v>
      </c>
      <c r="V169" s="409">
        <v>0</v>
      </c>
      <c r="W169" s="409">
        <v>0</v>
      </c>
      <c r="X169" s="409">
        <v>0</v>
      </c>
      <c r="Y169" s="409">
        <v>0</v>
      </c>
      <c r="Z169" s="453">
        <f t="shared" si="63"/>
        <v>0</v>
      </c>
      <c r="AA169" s="452">
        <v>0</v>
      </c>
      <c r="AB169" s="452">
        <v>0</v>
      </c>
      <c r="AC169" s="452">
        <v>0</v>
      </c>
      <c r="AD169" s="452">
        <v>0</v>
      </c>
      <c r="AE169" s="452">
        <v>0</v>
      </c>
      <c r="AF169" s="452">
        <v>0</v>
      </c>
      <c r="AG169" s="452">
        <v>0</v>
      </c>
      <c r="AH169" s="409">
        <v>0</v>
      </c>
      <c r="AI169" s="409">
        <v>1280</v>
      </c>
      <c r="AJ169" s="409">
        <v>0</v>
      </c>
      <c r="AK169" s="409">
        <v>0</v>
      </c>
      <c r="AL169" s="409">
        <v>0</v>
      </c>
      <c r="AM169" s="453">
        <f t="shared" si="58"/>
        <v>1280</v>
      </c>
      <c r="AN169" s="452">
        <v>200</v>
      </c>
      <c r="AO169" s="452">
        <v>200</v>
      </c>
      <c r="AP169" s="452">
        <v>200</v>
      </c>
      <c r="AQ169" s="452">
        <v>220</v>
      </c>
      <c r="AR169" s="452">
        <v>0</v>
      </c>
      <c r="AS169" s="452">
        <v>0</v>
      </c>
      <c r="AT169" s="452">
        <v>0</v>
      </c>
      <c r="AU169" s="409">
        <v>0</v>
      </c>
      <c r="AV169" s="409">
        <v>0</v>
      </c>
      <c r="AW169" s="409">
        <v>0</v>
      </c>
      <c r="AX169" s="409">
        <v>0</v>
      </c>
      <c r="AY169" s="409">
        <v>0</v>
      </c>
      <c r="AZ169" s="453">
        <f t="shared" si="59"/>
        <v>820</v>
      </c>
      <c r="BA169" s="452">
        <v>0</v>
      </c>
      <c r="BB169" s="452">
        <v>0</v>
      </c>
      <c r="BC169" s="452">
        <v>0</v>
      </c>
      <c r="BD169" s="452">
        <v>0</v>
      </c>
      <c r="BE169" s="452">
        <v>0</v>
      </c>
      <c r="BF169" s="452">
        <v>0</v>
      </c>
      <c r="BG169" s="452">
        <v>0</v>
      </c>
      <c r="BH169" s="409">
        <v>0</v>
      </c>
      <c r="BI169" s="409">
        <v>0</v>
      </c>
      <c r="BJ169" s="409">
        <v>0</v>
      </c>
      <c r="BK169" s="409">
        <v>0</v>
      </c>
      <c r="BL169" s="409">
        <v>0</v>
      </c>
      <c r="BM169" s="453">
        <f t="shared" si="60"/>
        <v>0</v>
      </c>
      <c r="BN169" s="452">
        <v>0</v>
      </c>
      <c r="BO169" s="452">
        <v>0</v>
      </c>
      <c r="BP169" s="452">
        <v>0</v>
      </c>
      <c r="BQ169" s="452">
        <v>0</v>
      </c>
      <c r="BR169" s="452">
        <v>0</v>
      </c>
      <c r="BS169" s="452">
        <v>0</v>
      </c>
      <c r="BT169" s="452">
        <v>0</v>
      </c>
      <c r="BU169" s="409">
        <v>0</v>
      </c>
      <c r="BV169" s="409">
        <v>0</v>
      </c>
      <c r="BW169" s="409">
        <v>0</v>
      </c>
      <c r="BX169" s="409">
        <v>0</v>
      </c>
      <c r="BY169" s="409">
        <v>0</v>
      </c>
      <c r="BZ169" s="453">
        <f t="shared" si="61"/>
        <v>0</v>
      </c>
      <c r="CA169" s="454">
        <f t="shared" si="62"/>
        <v>2100</v>
      </c>
      <c r="CB169" s="411"/>
      <c r="CC169" s="411"/>
      <c r="CD169" s="411"/>
      <c r="CE169" s="411"/>
      <c r="CF169" s="411"/>
      <c r="CG169" s="412"/>
      <c r="CH169" s="413"/>
      <c r="CI169" s="414" t="s">
        <v>1603</v>
      </c>
      <c r="CJ169" s="415">
        <v>0</v>
      </c>
      <c r="CK169" s="415">
        <v>0</v>
      </c>
      <c r="CL169" s="415">
        <v>0</v>
      </c>
      <c r="CM169" s="415">
        <v>0</v>
      </c>
      <c r="CN169" s="415">
        <v>0</v>
      </c>
      <c r="CO169" s="415">
        <v>0</v>
      </c>
      <c r="CP169" s="415">
        <v>0</v>
      </c>
      <c r="CQ169" s="415">
        <v>0</v>
      </c>
      <c r="CR169" s="415">
        <v>0</v>
      </c>
      <c r="CS169" s="415">
        <v>0</v>
      </c>
      <c r="CT169" s="415">
        <v>0</v>
      </c>
      <c r="CU169" s="415">
        <v>0</v>
      </c>
      <c r="CV169" s="410">
        <f t="shared" si="64"/>
        <v>0</v>
      </c>
      <c r="CW169" s="415">
        <v>0</v>
      </c>
      <c r="CX169" s="415">
        <v>0</v>
      </c>
      <c r="CY169" s="415">
        <v>0</v>
      </c>
      <c r="CZ169" s="415">
        <v>0</v>
      </c>
      <c r="DA169" s="415">
        <v>0</v>
      </c>
      <c r="DB169" s="415">
        <v>0</v>
      </c>
      <c r="DC169" s="415">
        <v>0</v>
      </c>
      <c r="DD169" s="415">
        <v>0</v>
      </c>
      <c r="DE169" s="415">
        <v>1</v>
      </c>
      <c r="DF169" s="415">
        <v>0</v>
      </c>
      <c r="DG169" s="415">
        <v>0</v>
      </c>
      <c r="DH169" s="415">
        <v>0</v>
      </c>
      <c r="DI169" s="410">
        <f t="shared" si="65"/>
        <v>1</v>
      </c>
      <c r="DJ169" s="415">
        <v>0</v>
      </c>
      <c r="DK169" s="415">
        <v>0</v>
      </c>
      <c r="DL169" s="415">
        <v>1</v>
      </c>
      <c r="DM169" s="415">
        <v>0</v>
      </c>
      <c r="DN169" s="415">
        <v>0</v>
      </c>
      <c r="DO169" s="415">
        <v>0</v>
      </c>
      <c r="DP169" s="415">
        <v>0</v>
      </c>
      <c r="DQ169" s="415">
        <v>0</v>
      </c>
      <c r="DR169" s="415">
        <v>0</v>
      </c>
      <c r="DS169" s="415">
        <v>0</v>
      </c>
      <c r="DT169" s="415">
        <v>0</v>
      </c>
      <c r="DU169" s="415">
        <v>0</v>
      </c>
      <c r="DV169" s="410">
        <f t="shared" si="66"/>
        <v>1</v>
      </c>
      <c r="DW169" s="415">
        <v>0</v>
      </c>
      <c r="DX169" s="415">
        <v>0</v>
      </c>
      <c r="DY169" s="415">
        <v>0</v>
      </c>
      <c r="DZ169" s="415">
        <v>0</v>
      </c>
      <c r="EA169" s="415">
        <v>0</v>
      </c>
      <c r="EB169" s="415">
        <v>0</v>
      </c>
      <c r="EC169" s="415">
        <v>0</v>
      </c>
      <c r="ED169" s="415">
        <v>0</v>
      </c>
      <c r="EE169" s="415">
        <v>0</v>
      </c>
      <c r="EF169" s="415">
        <v>0</v>
      </c>
      <c r="EG169" s="415">
        <v>0</v>
      </c>
      <c r="EH169" s="415">
        <v>0</v>
      </c>
      <c r="EI169" s="410">
        <f t="shared" si="67"/>
        <v>0</v>
      </c>
      <c r="EJ169" s="415">
        <v>0</v>
      </c>
      <c r="EK169" s="415">
        <v>0</v>
      </c>
      <c r="EL169" s="415">
        <v>0</v>
      </c>
      <c r="EM169" s="415">
        <v>0</v>
      </c>
      <c r="EN169" s="415">
        <v>0</v>
      </c>
      <c r="EO169" s="415">
        <v>0</v>
      </c>
      <c r="EP169" s="415">
        <v>0</v>
      </c>
      <c r="EQ169" s="415">
        <v>0</v>
      </c>
      <c r="ER169" s="415">
        <v>0</v>
      </c>
      <c r="ES169" s="415">
        <v>0</v>
      </c>
      <c r="ET169" s="415">
        <v>0</v>
      </c>
      <c r="EU169" s="415">
        <v>0</v>
      </c>
      <c r="EV169" s="410">
        <f t="shared" si="68"/>
        <v>0</v>
      </c>
      <c r="EW169" s="416">
        <f t="shared" si="69"/>
        <v>2</v>
      </c>
      <c r="EX169" s="417">
        <f>IFERROR(VLOOKUP(H169,CEI_012018!$A$1:$U$509,9,FALSE),0)</f>
        <v>0</v>
      </c>
      <c r="EY169" s="417">
        <f>IFERROR(VLOOKUP(H169,CEI_022018!$A$1:$U$509,9,FALSE),0)</f>
        <v>0</v>
      </c>
      <c r="EZ169" s="417">
        <f>IFERROR(VLOOKUP(H169,CEI_032018!$A$1:$U$509,9,FALSE),0)</f>
        <v>0</v>
      </c>
      <c r="FA169" s="417">
        <f>IFERROR(VLOOKUP(H169,CEI_042018!$A$1:$U$491,9,FALSE),0)</f>
        <v>0</v>
      </c>
      <c r="FB169" s="417">
        <f>IFERROR(VLOOKUP(H169,CEI_052018!$A$1:$U$489,9,FALSE),0)</f>
        <v>0</v>
      </c>
      <c r="FC169" s="417">
        <f>IFERROR(VLOOKUP(H169,CEI_062018!$A$1:$U$489,9,FALSE),0)</f>
        <v>0</v>
      </c>
      <c r="FD169" s="417">
        <f>IFERROR(VLOOKUP(H169,CEI_072018!$A$1:$U$489,9,FALSE),0)</f>
        <v>0</v>
      </c>
      <c r="FE169" s="417">
        <f>IFERROR(VLOOKUP(H169,CEI_082018!$A$1:$U$489,9,FALSE),0)</f>
        <v>0</v>
      </c>
      <c r="FF169" s="417">
        <f>IFERROR(VLOOKUP(H169,CEI_092018!$A$1:$U$489,9,FALSE),0)</f>
        <v>0</v>
      </c>
      <c r="FG169" s="417"/>
      <c r="FH169" s="417"/>
      <c r="FI169" s="417"/>
      <c r="FJ169" s="418">
        <f>IFERROR(VLOOKUP(H169,CEI_092018!$A$1:$U$489,12,FALSE),0)</f>
        <v>0</v>
      </c>
      <c r="FK169" s="418">
        <f t="shared" ref="FK169:FK232" si="70">FF169+FJ169</f>
        <v>0</v>
      </c>
      <c r="FL169" s="418">
        <f t="shared" ref="FL169:FL232" si="71">SUM(Z169-FK169)</f>
        <v>0</v>
      </c>
      <c r="FM169" s="417"/>
      <c r="FN169" s="417"/>
      <c r="FO169" s="417"/>
      <c r="FP169" s="417"/>
      <c r="FQ169" s="417"/>
      <c r="FR169" s="417"/>
      <c r="FS169" s="417"/>
      <c r="FT169" s="417"/>
      <c r="FU169" s="417"/>
      <c r="FV169" s="417"/>
      <c r="FW169" s="417"/>
      <c r="FX169" s="417"/>
      <c r="FY169" s="418"/>
      <c r="FZ169" s="418"/>
      <c r="GA169" s="418"/>
      <c r="GB169" s="417"/>
      <c r="GC169" s="417"/>
      <c r="GD169" s="417"/>
      <c r="GE169" s="417"/>
      <c r="GF169" s="417"/>
      <c r="GG169" s="417"/>
      <c r="GH169" s="417"/>
      <c r="GI169" s="417"/>
      <c r="GJ169" s="417"/>
      <c r="GK169" s="417"/>
      <c r="GL169" s="417"/>
      <c r="GM169" s="417"/>
      <c r="GN169" s="418"/>
      <c r="GO169" s="418"/>
      <c r="GP169" s="418"/>
      <c r="GQ169" s="417"/>
      <c r="GR169" s="417"/>
      <c r="GS169" s="417"/>
      <c r="GT169" s="417"/>
      <c r="GU169" s="417"/>
      <c r="GV169" s="417"/>
      <c r="GW169" s="417"/>
      <c r="GX169" s="417"/>
      <c r="GY169" s="417"/>
      <c r="GZ169" s="417"/>
      <c r="HA169" s="417"/>
      <c r="HB169" s="417"/>
      <c r="HC169" s="418"/>
      <c r="HD169" s="418"/>
      <c r="HE169" s="418"/>
      <c r="HF169" s="417"/>
      <c r="HG169" s="417"/>
      <c r="HH169" s="417"/>
      <c r="HI169" s="417"/>
      <c r="HJ169" s="417"/>
      <c r="HK169" s="417"/>
      <c r="HL169" s="417"/>
      <c r="HM169" s="417"/>
      <c r="HN169" s="417"/>
      <c r="HO169" s="417"/>
      <c r="HP169" s="417"/>
      <c r="HQ169" s="417"/>
      <c r="HR169" s="418"/>
      <c r="HS169" s="418"/>
      <c r="HT169" s="418"/>
    </row>
    <row r="170" spans="1:228" s="387" customFormat="1" ht="12.75" customHeight="1" x14ac:dyDescent="0.2">
      <c r="A170" s="406" t="s">
        <v>55</v>
      </c>
      <c r="B170" s="407" t="s">
        <v>42</v>
      </c>
      <c r="C170" s="406" t="s">
        <v>999</v>
      </c>
      <c r="D170" s="407" t="s">
        <v>1003</v>
      </c>
      <c r="E170" s="407" t="s">
        <v>455</v>
      </c>
      <c r="F170" s="407" t="s">
        <v>1754</v>
      </c>
      <c r="G170" s="406" t="s">
        <v>60</v>
      </c>
      <c r="H170" s="408" t="s">
        <v>1708</v>
      </c>
      <c r="I170" s="408" t="s">
        <v>1709</v>
      </c>
      <c r="J170" s="406" t="s">
        <v>798</v>
      </c>
      <c r="K170" s="406" t="s">
        <v>799</v>
      </c>
      <c r="L170" s="406" t="s">
        <v>800</v>
      </c>
      <c r="M170" s="406" t="s">
        <v>57</v>
      </c>
      <c r="N170" s="452">
        <v>0</v>
      </c>
      <c r="O170" s="452">
        <v>0</v>
      </c>
      <c r="P170" s="452">
        <v>0</v>
      </c>
      <c r="Q170" s="452">
        <v>0</v>
      </c>
      <c r="R170" s="452">
        <v>0</v>
      </c>
      <c r="S170" s="452">
        <v>0</v>
      </c>
      <c r="T170" s="452">
        <v>0</v>
      </c>
      <c r="U170" s="409">
        <v>0</v>
      </c>
      <c r="V170" s="409">
        <v>0</v>
      </c>
      <c r="W170" s="409">
        <v>12</v>
      </c>
      <c r="X170" s="409">
        <v>0</v>
      </c>
      <c r="Y170" s="409">
        <v>0</v>
      </c>
      <c r="Z170" s="453">
        <f t="shared" si="63"/>
        <v>12</v>
      </c>
      <c r="AA170" s="452">
        <v>0</v>
      </c>
      <c r="AB170" s="452">
        <v>0</v>
      </c>
      <c r="AC170" s="452">
        <v>0</v>
      </c>
      <c r="AD170" s="452">
        <v>0</v>
      </c>
      <c r="AE170" s="452">
        <v>0</v>
      </c>
      <c r="AF170" s="452">
        <v>0</v>
      </c>
      <c r="AG170" s="452">
        <v>0</v>
      </c>
      <c r="AH170" s="409">
        <v>0</v>
      </c>
      <c r="AI170" s="409">
        <v>0</v>
      </c>
      <c r="AJ170" s="409">
        <v>0</v>
      </c>
      <c r="AK170" s="409">
        <v>0</v>
      </c>
      <c r="AL170" s="409">
        <v>0</v>
      </c>
      <c r="AM170" s="453">
        <f t="shared" si="58"/>
        <v>0</v>
      </c>
      <c r="AN170" s="452">
        <v>0</v>
      </c>
      <c r="AO170" s="452">
        <v>0</v>
      </c>
      <c r="AP170" s="452">
        <v>0</v>
      </c>
      <c r="AQ170" s="452">
        <v>0</v>
      </c>
      <c r="AR170" s="452">
        <v>0</v>
      </c>
      <c r="AS170" s="452">
        <v>0</v>
      </c>
      <c r="AT170" s="452">
        <v>0</v>
      </c>
      <c r="AU170" s="409">
        <v>0</v>
      </c>
      <c r="AV170" s="409">
        <v>0</v>
      </c>
      <c r="AW170" s="409">
        <v>0</v>
      </c>
      <c r="AX170" s="409">
        <v>0</v>
      </c>
      <c r="AY170" s="409">
        <v>0</v>
      </c>
      <c r="AZ170" s="453">
        <f t="shared" si="59"/>
        <v>0</v>
      </c>
      <c r="BA170" s="452">
        <v>0</v>
      </c>
      <c r="BB170" s="452">
        <v>0</v>
      </c>
      <c r="BC170" s="452">
        <v>0</v>
      </c>
      <c r="BD170" s="452">
        <v>0</v>
      </c>
      <c r="BE170" s="452">
        <v>0</v>
      </c>
      <c r="BF170" s="452">
        <v>0</v>
      </c>
      <c r="BG170" s="452">
        <v>0</v>
      </c>
      <c r="BH170" s="409">
        <v>0</v>
      </c>
      <c r="BI170" s="409">
        <v>0</v>
      </c>
      <c r="BJ170" s="409">
        <v>0</v>
      </c>
      <c r="BK170" s="409">
        <v>0</v>
      </c>
      <c r="BL170" s="409">
        <v>0</v>
      </c>
      <c r="BM170" s="453">
        <f t="shared" si="60"/>
        <v>0</v>
      </c>
      <c r="BN170" s="452">
        <v>0</v>
      </c>
      <c r="BO170" s="452">
        <v>0</v>
      </c>
      <c r="BP170" s="452">
        <v>0</v>
      </c>
      <c r="BQ170" s="452">
        <v>0</v>
      </c>
      <c r="BR170" s="452">
        <v>0</v>
      </c>
      <c r="BS170" s="452">
        <v>0</v>
      </c>
      <c r="BT170" s="452">
        <v>0</v>
      </c>
      <c r="BU170" s="409">
        <v>0</v>
      </c>
      <c r="BV170" s="409">
        <v>0</v>
      </c>
      <c r="BW170" s="409">
        <v>0</v>
      </c>
      <c r="BX170" s="409">
        <v>0</v>
      </c>
      <c r="BY170" s="409">
        <v>0</v>
      </c>
      <c r="BZ170" s="453">
        <f t="shared" si="61"/>
        <v>0</v>
      </c>
      <c r="CA170" s="454">
        <f t="shared" si="62"/>
        <v>12</v>
      </c>
      <c r="CB170" s="419"/>
      <c r="CC170" s="419">
        <v>1</v>
      </c>
      <c r="CD170" s="419">
        <v>1</v>
      </c>
      <c r="CE170" s="419">
        <v>1</v>
      </c>
      <c r="CF170" s="419">
        <v>1</v>
      </c>
      <c r="CG170" s="420">
        <f>IFERROR((FE170/Z170%),0)</f>
        <v>0</v>
      </c>
      <c r="CH170" s="421">
        <f>IFERROR((FK170/Z170%),0)</f>
        <v>91.666666666666671</v>
      </c>
      <c r="CI170" s="414" t="s">
        <v>1624</v>
      </c>
      <c r="CJ170" s="415">
        <v>0</v>
      </c>
      <c r="CK170" s="415">
        <v>0</v>
      </c>
      <c r="CL170" s="415">
        <v>0</v>
      </c>
      <c r="CM170" s="415">
        <v>0</v>
      </c>
      <c r="CN170" s="415">
        <v>0</v>
      </c>
      <c r="CO170" s="415">
        <v>0</v>
      </c>
      <c r="CP170" s="415">
        <v>0</v>
      </c>
      <c r="CQ170" s="415">
        <v>1</v>
      </c>
      <c r="CR170" s="415">
        <v>0</v>
      </c>
      <c r="CS170" s="415">
        <v>0</v>
      </c>
      <c r="CT170" s="415">
        <v>0</v>
      </c>
      <c r="CU170" s="415">
        <v>0</v>
      </c>
      <c r="CV170" s="410">
        <f t="shared" si="64"/>
        <v>1</v>
      </c>
      <c r="CW170" s="415">
        <v>0</v>
      </c>
      <c r="CX170" s="415">
        <v>0</v>
      </c>
      <c r="CY170" s="415">
        <v>0</v>
      </c>
      <c r="CZ170" s="415">
        <v>0</v>
      </c>
      <c r="DA170" s="415">
        <v>0</v>
      </c>
      <c r="DB170" s="415">
        <v>0</v>
      </c>
      <c r="DC170" s="415">
        <v>0</v>
      </c>
      <c r="DD170" s="415">
        <v>0</v>
      </c>
      <c r="DE170" s="415">
        <v>0</v>
      </c>
      <c r="DF170" s="415">
        <v>0</v>
      </c>
      <c r="DG170" s="415">
        <v>0</v>
      </c>
      <c r="DH170" s="415">
        <v>0</v>
      </c>
      <c r="DI170" s="410">
        <f t="shared" si="65"/>
        <v>0</v>
      </c>
      <c r="DJ170" s="415">
        <v>0</v>
      </c>
      <c r="DK170" s="415">
        <v>0</v>
      </c>
      <c r="DL170" s="415">
        <v>0</v>
      </c>
      <c r="DM170" s="415">
        <v>0</v>
      </c>
      <c r="DN170" s="415">
        <v>0</v>
      </c>
      <c r="DO170" s="415">
        <v>0</v>
      </c>
      <c r="DP170" s="415">
        <v>0</v>
      </c>
      <c r="DQ170" s="415">
        <v>0</v>
      </c>
      <c r="DR170" s="415">
        <v>0</v>
      </c>
      <c r="DS170" s="415">
        <v>0</v>
      </c>
      <c r="DT170" s="415">
        <v>0</v>
      </c>
      <c r="DU170" s="415">
        <v>0</v>
      </c>
      <c r="DV170" s="410">
        <f t="shared" si="66"/>
        <v>0</v>
      </c>
      <c r="DW170" s="415">
        <v>0</v>
      </c>
      <c r="DX170" s="415">
        <v>0</v>
      </c>
      <c r="DY170" s="415">
        <v>0</v>
      </c>
      <c r="DZ170" s="415">
        <v>0</v>
      </c>
      <c r="EA170" s="415">
        <v>0</v>
      </c>
      <c r="EB170" s="415">
        <v>0</v>
      </c>
      <c r="EC170" s="415">
        <v>0</v>
      </c>
      <c r="ED170" s="415">
        <v>0</v>
      </c>
      <c r="EE170" s="415">
        <v>0</v>
      </c>
      <c r="EF170" s="415">
        <v>0</v>
      </c>
      <c r="EG170" s="415">
        <v>0</v>
      </c>
      <c r="EH170" s="415">
        <v>0</v>
      </c>
      <c r="EI170" s="410">
        <f t="shared" si="67"/>
        <v>0</v>
      </c>
      <c r="EJ170" s="415">
        <v>0</v>
      </c>
      <c r="EK170" s="415">
        <v>0</v>
      </c>
      <c r="EL170" s="415">
        <v>0</v>
      </c>
      <c r="EM170" s="415">
        <v>0</v>
      </c>
      <c r="EN170" s="415">
        <v>0</v>
      </c>
      <c r="EO170" s="415">
        <v>0</v>
      </c>
      <c r="EP170" s="415">
        <v>0</v>
      </c>
      <c r="EQ170" s="415">
        <v>0</v>
      </c>
      <c r="ER170" s="415">
        <v>0</v>
      </c>
      <c r="ES170" s="415">
        <v>0</v>
      </c>
      <c r="ET170" s="415">
        <v>0</v>
      </c>
      <c r="EU170" s="415">
        <v>0</v>
      </c>
      <c r="EV170" s="410">
        <f t="shared" si="68"/>
        <v>0</v>
      </c>
      <c r="EW170" s="416">
        <f t="shared" si="69"/>
        <v>1</v>
      </c>
      <c r="EX170" s="417">
        <f>IFERROR(VLOOKUP(H170,CEI_012018!$A$1:$U$509,9,FALSE),0)</f>
        <v>0</v>
      </c>
      <c r="EY170" s="417">
        <f>IFERROR(VLOOKUP(H170,CEI_022018!$A$1:$U$509,9,FALSE),0)</f>
        <v>0</v>
      </c>
      <c r="EZ170" s="417">
        <f>IFERROR(VLOOKUP(H170,CEI_032018!$A$1:$U$509,9,FALSE),0)</f>
        <v>0</v>
      </c>
      <c r="FA170" s="417">
        <f>IFERROR(VLOOKUP(H170,CEI_042018!$A$1:$U$491,9,FALSE),0)</f>
        <v>0</v>
      </c>
      <c r="FB170" s="417">
        <f>IFERROR(VLOOKUP(H170,CEI_052018!$A$1:$U$489,9,FALSE),0)</f>
        <v>0</v>
      </c>
      <c r="FC170" s="417">
        <f>IFERROR(VLOOKUP(H170,CEI_062018!$A$1:$U$489,9,FALSE),0)</f>
        <v>0</v>
      </c>
      <c r="FD170" s="417">
        <f>IFERROR(VLOOKUP(H170,CEI_072018!$A$1:$U$489,9,FALSE),0)</f>
        <v>0</v>
      </c>
      <c r="FE170" s="417">
        <f>IFERROR(VLOOKUP(H170,CEI_082018!$A$1:$U$489,9,FALSE),0)</f>
        <v>0</v>
      </c>
      <c r="FF170" s="417">
        <f>IFERROR(VLOOKUP(H170,CEI_092018!$A$1:$U$489,9,FALSE),0)</f>
        <v>0</v>
      </c>
      <c r="FG170" s="417"/>
      <c r="FH170" s="417"/>
      <c r="FI170" s="417"/>
      <c r="FJ170" s="418">
        <f>IFERROR(VLOOKUP(H170,CEI_092018!$A$1:$U$489,12,FALSE),0)</f>
        <v>11</v>
      </c>
      <c r="FK170" s="418">
        <f t="shared" si="70"/>
        <v>11</v>
      </c>
      <c r="FL170" s="418">
        <f t="shared" si="71"/>
        <v>1</v>
      </c>
      <c r="FM170" s="417"/>
      <c r="FN170" s="417"/>
      <c r="FO170" s="417"/>
      <c r="FP170" s="417"/>
      <c r="FQ170" s="417"/>
      <c r="FR170" s="417"/>
      <c r="FS170" s="417"/>
      <c r="FT170" s="417"/>
      <c r="FU170" s="417"/>
      <c r="FV170" s="417"/>
      <c r="FW170" s="417"/>
      <c r="FX170" s="417"/>
      <c r="FY170" s="418"/>
      <c r="FZ170" s="418"/>
      <c r="GA170" s="418"/>
      <c r="GB170" s="417"/>
      <c r="GC170" s="417"/>
      <c r="GD170" s="417"/>
      <c r="GE170" s="417"/>
      <c r="GF170" s="417"/>
      <c r="GG170" s="417"/>
      <c r="GH170" s="417"/>
      <c r="GI170" s="417"/>
      <c r="GJ170" s="417"/>
      <c r="GK170" s="417"/>
      <c r="GL170" s="417"/>
      <c r="GM170" s="417"/>
      <c r="GN170" s="418"/>
      <c r="GO170" s="418"/>
      <c r="GP170" s="418"/>
      <c r="GQ170" s="417"/>
      <c r="GR170" s="417"/>
      <c r="GS170" s="417"/>
      <c r="GT170" s="417"/>
      <c r="GU170" s="417"/>
      <c r="GV170" s="417"/>
      <c r="GW170" s="417"/>
      <c r="GX170" s="417"/>
      <c r="GY170" s="417"/>
      <c r="GZ170" s="417"/>
      <c r="HA170" s="417"/>
      <c r="HB170" s="417"/>
      <c r="HC170" s="418"/>
      <c r="HD170" s="418"/>
      <c r="HE170" s="418"/>
      <c r="HF170" s="417"/>
      <c r="HG170" s="417"/>
      <c r="HH170" s="417"/>
      <c r="HI170" s="417"/>
      <c r="HJ170" s="417"/>
      <c r="HK170" s="417"/>
      <c r="HL170" s="417"/>
      <c r="HM170" s="417"/>
      <c r="HN170" s="417"/>
      <c r="HO170" s="417"/>
      <c r="HP170" s="417"/>
      <c r="HQ170" s="417"/>
      <c r="HR170" s="418"/>
      <c r="HS170" s="418"/>
      <c r="HT170" s="418"/>
    </row>
    <row r="171" spans="1:228" s="387" customFormat="1" ht="12.75" customHeight="1" x14ac:dyDescent="0.2">
      <c r="A171" s="406" t="s">
        <v>55</v>
      </c>
      <c r="B171" s="407" t="s">
        <v>42</v>
      </c>
      <c r="C171" s="406" t="s">
        <v>999</v>
      </c>
      <c r="D171" s="407" t="s">
        <v>1003</v>
      </c>
      <c r="E171" s="407" t="s">
        <v>999</v>
      </c>
      <c r="F171" s="407" t="s">
        <v>1003</v>
      </c>
      <c r="G171" s="406" t="s">
        <v>54</v>
      </c>
      <c r="H171" s="408" t="s">
        <v>520</v>
      </c>
      <c r="I171" s="408" t="s">
        <v>57</v>
      </c>
      <c r="J171" s="406" t="s">
        <v>651</v>
      </c>
      <c r="K171" s="406" t="s">
        <v>651</v>
      </c>
      <c r="L171" s="406" t="s">
        <v>57</v>
      </c>
      <c r="M171" s="406" t="s">
        <v>57</v>
      </c>
      <c r="N171" s="452">
        <v>0</v>
      </c>
      <c r="O171" s="452">
        <v>0</v>
      </c>
      <c r="P171" s="452">
        <v>0</v>
      </c>
      <c r="Q171" s="452">
        <v>0</v>
      </c>
      <c r="R171" s="452">
        <v>0</v>
      </c>
      <c r="S171" s="452">
        <v>0</v>
      </c>
      <c r="T171" s="452">
        <v>0</v>
      </c>
      <c r="U171" s="409">
        <v>0</v>
      </c>
      <c r="V171" s="409">
        <v>0</v>
      </c>
      <c r="W171" s="409">
        <v>0</v>
      </c>
      <c r="X171" s="409">
        <v>0</v>
      </c>
      <c r="Y171" s="409">
        <v>0</v>
      </c>
      <c r="Z171" s="453">
        <f t="shared" si="63"/>
        <v>0</v>
      </c>
      <c r="AA171" s="452">
        <v>0</v>
      </c>
      <c r="AB171" s="452">
        <v>0</v>
      </c>
      <c r="AC171" s="452">
        <v>0</v>
      </c>
      <c r="AD171" s="452">
        <v>0</v>
      </c>
      <c r="AE171" s="452">
        <v>0</v>
      </c>
      <c r="AF171" s="452">
        <v>0</v>
      </c>
      <c r="AG171" s="452">
        <v>0</v>
      </c>
      <c r="AH171" s="409">
        <v>0</v>
      </c>
      <c r="AI171" s="409">
        <v>0</v>
      </c>
      <c r="AJ171" s="409">
        <v>0</v>
      </c>
      <c r="AK171" s="409">
        <v>0</v>
      </c>
      <c r="AL171" s="409">
        <v>650</v>
      </c>
      <c r="AM171" s="453">
        <f t="shared" si="58"/>
        <v>650</v>
      </c>
      <c r="AN171" s="452">
        <v>0</v>
      </c>
      <c r="AO171" s="452">
        <v>0</v>
      </c>
      <c r="AP171" s="452">
        <v>0</v>
      </c>
      <c r="AQ171" s="452">
        <v>0</v>
      </c>
      <c r="AR171" s="452">
        <v>0</v>
      </c>
      <c r="AS171" s="452">
        <v>0</v>
      </c>
      <c r="AT171" s="452">
        <v>0</v>
      </c>
      <c r="AU171" s="409">
        <v>0</v>
      </c>
      <c r="AV171" s="409">
        <v>0</v>
      </c>
      <c r="AW171" s="409">
        <v>0</v>
      </c>
      <c r="AX171" s="409">
        <v>0</v>
      </c>
      <c r="AY171" s="409">
        <v>0</v>
      </c>
      <c r="AZ171" s="453">
        <f t="shared" si="59"/>
        <v>0</v>
      </c>
      <c r="BA171" s="452">
        <v>0</v>
      </c>
      <c r="BB171" s="452">
        <v>0</v>
      </c>
      <c r="BC171" s="452">
        <v>0</v>
      </c>
      <c r="BD171" s="452">
        <v>0</v>
      </c>
      <c r="BE171" s="452">
        <v>0</v>
      </c>
      <c r="BF171" s="452">
        <v>0</v>
      </c>
      <c r="BG171" s="452">
        <v>0</v>
      </c>
      <c r="BH171" s="409">
        <v>0</v>
      </c>
      <c r="BI171" s="409">
        <v>0</v>
      </c>
      <c r="BJ171" s="409">
        <v>0</v>
      </c>
      <c r="BK171" s="409">
        <v>0</v>
      </c>
      <c r="BL171" s="409">
        <v>0</v>
      </c>
      <c r="BM171" s="453">
        <f t="shared" si="60"/>
        <v>0</v>
      </c>
      <c r="BN171" s="452">
        <v>0</v>
      </c>
      <c r="BO171" s="452">
        <v>0</v>
      </c>
      <c r="BP171" s="452">
        <v>0</v>
      </c>
      <c r="BQ171" s="452">
        <v>0</v>
      </c>
      <c r="BR171" s="452">
        <v>0</v>
      </c>
      <c r="BS171" s="452">
        <v>0</v>
      </c>
      <c r="BT171" s="452">
        <v>0</v>
      </c>
      <c r="BU171" s="409">
        <v>0</v>
      </c>
      <c r="BV171" s="409">
        <v>0</v>
      </c>
      <c r="BW171" s="409">
        <v>0</v>
      </c>
      <c r="BX171" s="409">
        <v>0</v>
      </c>
      <c r="BY171" s="409">
        <v>0</v>
      </c>
      <c r="BZ171" s="453">
        <f t="shared" si="61"/>
        <v>0</v>
      </c>
      <c r="CA171" s="454">
        <f t="shared" si="62"/>
        <v>650</v>
      </c>
      <c r="CB171" s="411"/>
      <c r="CC171" s="411"/>
      <c r="CD171" s="411"/>
      <c r="CE171" s="411"/>
      <c r="CF171" s="411"/>
      <c r="CG171" s="412"/>
      <c r="CH171" s="413"/>
      <c r="CI171" s="414" t="s">
        <v>1624</v>
      </c>
      <c r="CJ171" s="415">
        <v>0</v>
      </c>
      <c r="CK171" s="415">
        <v>0</v>
      </c>
      <c r="CL171" s="415">
        <v>0</v>
      </c>
      <c r="CM171" s="415">
        <v>0</v>
      </c>
      <c r="CN171" s="415">
        <v>0</v>
      </c>
      <c r="CO171" s="415">
        <v>0</v>
      </c>
      <c r="CP171" s="415">
        <v>0</v>
      </c>
      <c r="CQ171" s="415">
        <v>0</v>
      </c>
      <c r="CR171" s="415">
        <v>0</v>
      </c>
      <c r="CS171" s="415">
        <v>0</v>
      </c>
      <c r="CT171" s="415">
        <v>0</v>
      </c>
      <c r="CU171" s="415">
        <v>0</v>
      </c>
      <c r="CV171" s="410">
        <f t="shared" si="64"/>
        <v>0</v>
      </c>
      <c r="CW171" s="415">
        <v>0</v>
      </c>
      <c r="CX171" s="415">
        <v>0</v>
      </c>
      <c r="CY171" s="415">
        <v>0</v>
      </c>
      <c r="CZ171" s="415">
        <v>0</v>
      </c>
      <c r="DA171" s="415">
        <v>0</v>
      </c>
      <c r="DB171" s="415">
        <v>0</v>
      </c>
      <c r="DC171" s="415">
        <v>0</v>
      </c>
      <c r="DD171" s="415">
        <v>0</v>
      </c>
      <c r="DE171" s="415">
        <v>0</v>
      </c>
      <c r="DF171" s="415">
        <v>0</v>
      </c>
      <c r="DG171" s="415">
        <v>0</v>
      </c>
      <c r="DH171" s="415">
        <v>10</v>
      </c>
      <c r="DI171" s="410">
        <f t="shared" si="65"/>
        <v>10</v>
      </c>
      <c r="DJ171" s="415">
        <v>0</v>
      </c>
      <c r="DK171" s="415">
        <v>0</v>
      </c>
      <c r="DL171" s="415">
        <v>0</v>
      </c>
      <c r="DM171" s="415">
        <v>0</v>
      </c>
      <c r="DN171" s="415">
        <v>0</v>
      </c>
      <c r="DO171" s="415">
        <v>0</v>
      </c>
      <c r="DP171" s="415">
        <v>0</v>
      </c>
      <c r="DQ171" s="415">
        <v>0</v>
      </c>
      <c r="DR171" s="415">
        <v>0</v>
      </c>
      <c r="DS171" s="415">
        <v>0</v>
      </c>
      <c r="DT171" s="415">
        <v>0</v>
      </c>
      <c r="DU171" s="415">
        <v>0</v>
      </c>
      <c r="DV171" s="410">
        <f t="shared" si="66"/>
        <v>0</v>
      </c>
      <c r="DW171" s="415">
        <v>0</v>
      </c>
      <c r="DX171" s="415">
        <v>0</v>
      </c>
      <c r="DY171" s="415">
        <v>0</v>
      </c>
      <c r="DZ171" s="415">
        <v>0</v>
      </c>
      <c r="EA171" s="415">
        <v>0</v>
      </c>
      <c r="EB171" s="415">
        <v>0</v>
      </c>
      <c r="EC171" s="415">
        <v>0</v>
      </c>
      <c r="ED171" s="415">
        <v>0</v>
      </c>
      <c r="EE171" s="415">
        <v>0</v>
      </c>
      <c r="EF171" s="415">
        <v>0</v>
      </c>
      <c r="EG171" s="415">
        <v>0</v>
      </c>
      <c r="EH171" s="415">
        <v>0</v>
      </c>
      <c r="EI171" s="410">
        <f t="shared" si="67"/>
        <v>0</v>
      </c>
      <c r="EJ171" s="415">
        <v>0</v>
      </c>
      <c r="EK171" s="415">
        <v>0</v>
      </c>
      <c r="EL171" s="415">
        <v>0</v>
      </c>
      <c r="EM171" s="415">
        <v>0</v>
      </c>
      <c r="EN171" s="415">
        <v>0</v>
      </c>
      <c r="EO171" s="415">
        <v>0</v>
      </c>
      <c r="EP171" s="415">
        <v>0</v>
      </c>
      <c r="EQ171" s="415">
        <v>0</v>
      </c>
      <c r="ER171" s="415">
        <v>0</v>
      </c>
      <c r="ES171" s="415">
        <v>0</v>
      </c>
      <c r="ET171" s="415">
        <v>0</v>
      </c>
      <c r="EU171" s="415">
        <v>0</v>
      </c>
      <c r="EV171" s="410">
        <f t="shared" si="68"/>
        <v>0</v>
      </c>
      <c r="EW171" s="416">
        <f t="shared" si="69"/>
        <v>10</v>
      </c>
      <c r="EX171" s="417">
        <f>IFERROR(VLOOKUP(H171,CEI_012018!$A$1:$U$509,9,FALSE),0)</f>
        <v>0</v>
      </c>
      <c r="EY171" s="417">
        <f>IFERROR(VLOOKUP(H171,CEI_022018!$A$1:$U$509,9,FALSE),0)</f>
        <v>0</v>
      </c>
      <c r="EZ171" s="417">
        <f>IFERROR(VLOOKUP(H171,CEI_032018!$A$1:$U$509,9,FALSE),0)</f>
        <v>0</v>
      </c>
      <c r="FA171" s="417">
        <f>IFERROR(VLOOKUP(H171,CEI_042018!$A$1:$U$491,9,FALSE),0)</f>
        <v>0</v>
      </c>
      <c r="FB171" s="417">
        <f>IFERROR(VLOOKUP(H171,CEI_052018!$A$1:$U$489,9,FALSE),0)</f>
        <v>0</v>
      </c>
      <c r="FC171" s="417">
        <f>IFERROR(VLOOKUP(H171,CEI_062018!$A$1:$U$489,9,FALSE),0)</f>
        <v>0</v>
      </c>
      <c r="FD171" s="417">
        <f>IFERROR(VLOOKUP(H171,CEI_072018!$A$1:$U$489,9,FALSE),0)</f>
        <v>0</v>
      </c>
      <c r="FE171" s="417">
        <f>IFERROR(VLOOKUP(H171,CEI_082018!$A$1:$U$489,9,FALSE),0)</f>
        <v>0</v>
      </c>
      <c r="FF171" s="417">
        <f>IFERROR(VLOOKUP(H171,CEI_092018!$A$1:$U$489,9,FALSE),0)</f>
        <v>0</v>
      </c>
      <c r="FG171" s="417"/>
      <c r="FH171" s="417"/>
      <c r="FI171" s="417"/>
      <c r="FJ171" s="418">
        <f>IFERROR(VLOOKUP(H171,CEI_092018!$A$1:$U$489,12,FALSE),0)</f>
        <v>0</v>
      </c>
      <c r="FK171" s="418">
        <f t="shared" si="70"/>
        <v>0</v>
      </c>
      <c r="FL171" s="418">
        <f t="shared" si="71"/>
        <v>0</v>
      </c>
      <c r="FM171" s="417"/>
      <c r="FN171" s="417"/>
      <c r="FO171" s="417"/>
      <c r="FP171" s="417"/>
      <c r="FQ171" s="417"/>
      <c r="FR171" s="417"/>
      <c r="FS171" s="417"/>
      <c r="FT171" s="417"/>
      <c r="FU171" s="417"/>
      <c r="FV171" s="417"/>
      <c r="FW171" s="417"/>
      <c r="FX171" s="417"/>
      <c r="FY171" s="418"/>
      <c r="FZ171" s="418"/>
      <c r="GA171" s="418"/>
      <c r="GB171" s="417"/>
      <c r="GC171" s="417"/>
      <c r="GD171" s="417"/>
      <c r="GE171" s="417"/>
      <c r="GF171" s="417"/>
      <c r="GG171" s="417"/>
      <c r="GH171" s="417"/>
      <c r="GI171" s="417"/>
      <c r="GJ171" s="417"/>
      <c r="GK171" s="417"/>
      <c r="GL171" s="417"/>
      <c r="GM171" s="417"/>
      <c r="GN171" s="418"/>
      <c r="GO171" s="418"/>
      <c r="GP171" s="418"/>
      <c r="GQ171" s="417"/>
      <c r="GR171" s="417"/>
      <c r="GS171" s="417"/>
      <c r="GT171" s="417"/>
      <c r="GU171" s="417"/>
      <c r="GV171" s="417"/>
      <c r="GW171" s="417"/>
      <c r="GX171" s="417"/>
      <c r="GY171" s="417"/>
      <c r="GZ171" s="417"/>
      <c r="HA171" s="417"/>
      <c r="HB171" s="417"/>
      <c r="HC171" s="418"/>
      <c r="HD171" s="418"/>
      <c r="HE171" s="418"/>
      <c r="HF171" s="417"/>
      <c r="HG171" s="417"/>
      <c r="HH171" s="417"/>
      <c r="HI171" s="417"/>
      <c r="HJ171" s="417"/>
      <c r="HK171" s="417"/>
      <c r="HL171" s="417"/>
      <c r="HM171" s="417"/>
      <c r="HN171" s="417"/>
      <c r="HO171" s="417"/>
      <c r="HP171" s="417"/>
      <c r="HQ171" s="417"/>
      <c r="HR171" s="418"/>
      <c r="HS171" s="418"/>
      <c r="HT171" s="418"/>
    </row>
    <row r="172" spans="1:228" s="387" customFormat="1" ht="12.75" customHeight="1" x14ac:dyDescent="0.2">
      <c r="A172" s="406" t="s">
        <v>55</v>
      </c>
      <c r="B172" s="407" t="s">
        <v>42</v>
      </c>
      <c r="C172" s="406" t="s">
        <v>999</v>
      </c>
      <c r="D172" s="407" t="s">
        <v>1075</v>
      </c>
      <c r="E172" s="407" t="s">
        <v>999</v>
      </c>
      <c r="F172" s="407" t="s">
        <v>1075</v>
      </c>
      <c r="G172" s="406" t="s">
        <v>54</v>
      </c>
      <c r="H172" s="408" t="s">
        <v>520</v>
      </c>
      <c r="I172" s="408" t="s">
        <v>57</v>
      </c>
      <c r="J172" s="406" t="s">
        <v>347</v>
      </c>
      <c r="K172" s="406" t="s">
        <v>348</v>
      </c>
      <c r="L172" s="406" t="s">
        <v>57</v>
      </c>
      <c r="M172" s="406" t="s">
        <v>1770</v>
      </c>
      <c r="N172" s="452">
        <v>0</v>
      </c>
      <c r="O172" s="452">
        <v>0</v>
      </c>
      <c r="P172" s="452">
        <v>0</v>
      </c>
      <c r="Q172" s="452">
        <v>0</v>
      </c>
      <c r="R172" s="452">
        <v>0</v>
      </c>
      <c r="S172" s="452">
        <v>0</v>
      </c>
      <c r="T172" s="452">
        <v>0</v>
      </c>
      <c r="U172" s="409">
        <v>0</v>
      </c>
      <c r="V172" s="409">
        <v>0</v>
      </c>
      <c r="W172" s="409">
        <v>0</v>
      </c>
      <c r="X172" s="409">
        <v>0</v>
      </c>
      <c r="Y172" s="409">
        <v>0</v>
      </c>
      <c r="Z172" s="453">
        <f t="shared" si="63"/>
        <v>0</v>
      </c>
      <c r="AA172" s="452">
        <v>0</v>
      </c>
      <c r="AB172" s="452">
        <v>0</v>
      </c>
      <c r="AC172" s="452">
        <v>0</v>
      </c>
      <c r="AD172" s="452">
        <v>0</v>
      </c>
      <c r="AE172" s="452">
        <v>0</v>
      </c>
      <c r="AF172" s="452">
        <v>0</v>
      </c>
      <c r="AG172" s="452">
        <v>0</v>
      </c>
      <c r="AH172" s="409">
        <v>0</v>
      </c>
      <c r="AI172" s="409">
        <v>0</v>
      </c>
      <c r="AJ172" s="409">
        <v>0</v>
      </c>
      <c r="AK172" s="409">
        <v>0</v>
      </c>
      <c r="AL172" s="409">
        <v>0</v>
      </c>
      <c r="AM172" s="453">
        <f t="shared" si="58"/>
        <v>0</v>
      </c>
      <c r="AN172" s="452">
        <v>0</v>
      </c>
      <c r="AO172" s="452">
        <v>0</v>
      </c>
      <c r="AP172" s="452">
        <v>0</v>
      </c>
      <c r="AQ172" s="452">
        <v>0</v>
      </c>
      <c r="AR172" s="452">
        <v>0</v>
      </c>
      <c r="AS172" s="452">
        <v>0</v>
      </c>
      <c r="AT172" s="452">
        <v>0</v>
      </c>
      <c r="AU172" s="409">
        <v>0</v>
      </c>
      <c r="AV172" s="409">
        <v>0</v>
      </c>
      <c r="AW172" s="409">
        <v>0</v>
      </c>
      <c r="AX172" s="409">
        <v>0</v>
      </c>
      <c r="AY172" s="409">
        <v>0</v>
      </c>
      <c r="AZ172" s="453">
        <f t="shared" si="59"/>
        <v>0</v>
      </c>
      <c r="BA172" s="452">
        <v>0</v>
      </c>
      <c r="BB172" s="452">
        <v>0</v>
      </c>
      <c r="BC172" s="452">
        <v>0</v>
      </c>
      <c r="BD172" s="452">
        <v>0</v>
      </c>
      <c r="BE172" s="452">
        <v>0</v>
      </c>
      <c r="BF172" s="452">
        <v>0</v>
      </c>
      <c r="BG172" s="452">
        <v>0</v>
      </c>
      <c r="BH172" s="409">
        <v>650</v>
      </c>
      <c r="BI172" s="409">
        <v>0</v>
      </c>
      <c r="BJ172" s="409">
        <v>0</v>
      </c>
      <c r="BK172" s="409">
        <v>0</v>
      </c>
      <c r="BL172" s="409">
        <v>0</v>
      </c>
      <c r="BM172" s="453">
        <f t="shared" si="60"/>
        <v>650</v>
      </c>
      <c r="BN172" s="452">
        <v>0</v>
      </c>
      <c r="BO172" s="452">
        <v>0</v>
      </c>
      <c r="BP172" s="452">
        <v>0</v>
      </c>
      <c r="BQ172" s="452">
        <v>0</v>
      </c>
      <c r="BR172" s="452">
        <v>0</v>
      </c>
      <c r="BS172" s="452">
        <v>0</v>
      </c>
      <c r="BT172" s="452">
        <v>0</v>
      </c>
      <c r="BU172" s="409">
        <v>0</v>
      </c>
      <c r="BV172" s="409">
        <v>0</v>
      </c>
      <c r="BW172" s="409">
        <v>0</v>
      </c>
      <c r="BX172" s="409">
        <v>0</v>
      </c>
      <c r="BY172" s="409">
        <v>0</v>
      </c>
      <c r="BZ172" s="453">
        <f t="shared" si="61"/>
        <v>0</v>
      </c>
      <c r="CA172" s="454">
        <f t="shared" si="62"/>
        <v>650</v>
      </c>
      <c r="CB172" s="411"/>
      <c r="CC172" s="411"/>
      <c r="CD172" s="411"/>
      <c r="CE172" s="411"/>
      <c r="CF172" s="411"/>
      <c r="CG172" s="412"/>
      <c r="CH172" s="413"/>
      <c r="CI172" s="414" t="s">
        <v>1624</v>
      </c>
      <c r="CJ172" s="415">
        <v>0</v>
      </c>
      <c r="CK172" s="415">
        <v>0</v>
      </c>
      <c r="CL172" s="415">
        <v>0</v>
      </c>
      <c r="CM172" s="415">
        <v>0</v>
      </c>
      <c r="CN172" s="415">
        <v>0</v>
      </c>
      <c r="CO172" s="415">
        <v>0</v>
      </c>
      <c r="CP172" s="415">
        <v>0</v>
      </c>
      <c r="CQ172" s="415">
        <v>0</v>
      </c>
      <c r="CR172" s="415">
        <v>0</v>
      </c>
      <c r="CS172" s="415">
        <v>0</v>
      </c>
      <c r="CT172" s="415">
        <v>0</v>
      </c>
      <c r="CU172" s="415">
        <v>0</v>
      </c>
      <c r="CV172" s="410">
        <f t="shared" si="64"/>
        <v>0</v>
      </c>
      <c r="CW172" s="415">
        <v>0</v>
      </c>
      <c r="CX172" s="415">
        <v>0</v>
      </c>
      <c r="CY172" s="415">
        <v>0</v>
      </c>
      <c r="CZ172" s="415">
        <v>0</v>
      </c>
      <c r="DA172" s="415">
        <v>0</v>
      </c>
      <c r="DB172" s="415">
        <v>0</v>
      </c>
      <c r="DC172" s="415">
        <v>0</v>
      </c>
      <c r="DD172" s="415">
        <v>0</v>
      </c>
      <c r="DE172" s="415">
        <v>0</v>
      </c>
      <c r="DF172" s="415">
        <v>0</v>
      </c>
      <c r="DG172" s="415">
        <v>0</v>
      </c>
      <c r="DH172" s="415">
        <v>0</v>
      </c>
      <c r="DI172" s="410">
        <f t="shared" si="65"/>
        <v>0</v>
      </c>
      <c r="DJ172" s="415">
        <v>0</v>
      </c>
      <c r="DK172" s="415">
        <v>0</v>
      </c>
      <c r="DL172" s="415">
        <v>0</v>
      </c>
      <c r="DM172" s="415">
        <v>0</v>
      </c>
      <c r="DN172" s="415">
        <v>0</v>
      </c>
      <c r="DO172" s="415">
        <v>0</v>
      </c>
      <c r="DP172" s="415">
        <v>0</v>
      </c>
      <c r="DQ172" s="415">
        <v>0</v>
      </c>
      <c r="DR172" s="415">
        <v>0</v>
      </c>
      <c r="DS172" s="415">
        <v>0</v>
      </c>
      <c r="DT172" s="415">
        <v>0</v>
      </c>
      <c r="DU172" s="415">
        <v>0</v>
      </c>
      <c r="DV172" s="410">
        <f t="shared" si="66"/>
        <v>0</v>
      </c>
      <c r="DW172" s="415">
        <v>0</v>
      </c>
      <c r="DX172" s="415">
        <v>0</v>
      </c>
      <c r="DY172" s="415">
        <v>0</v>
      </c>
      <c r="DZ172" s="415">
        <v>0</v>
      </c>
      <c r="EA172" s="415">
        <v>0</v>
      </c>
      <c r="EB172" s="415">
        <v>0</v>
      </c>
      <c r="EC172" s="415">
        <v>0</v>
      </c>
      <c r="ED172" s="415">
        <v>1</v>
      </c>
      <c r="EE172" s="415">
        <v>0</v>
      </c>
      <c r="EF172" s="415">
        <v>0</v>
      </c>
      <c r="EG172" s="415">
        <v>0</v>
      </c>
      <c r="EH172" s="415">
        <v>0</v>
      </c>
      <c r="EI172" s="410">
        <f t="shared" si="67"/>
        <v>1</v>
      </c>
      <c r="EJ172" s="415">
        <v>0</v>
      </c>
      <c r="EK172" s="415">
        <v>0</v>
      </c>
      <c r="EL172" s="415">
        <v>0</v>
      </c>
      <c r="EM172" s="415">
        <v>0</v>
      </c>
      <c r="EN172" s="415">
        <v>0</v>
      </c>
      <c r="EO172" s="415">
        <v>0</v>
      </c>
      <c r="EP172" s="415">
        <v>0</v>
      </c>
      <c r="EQ172" s="415">
        <v>0</v>
      </c>
      <c r="ER172" s="415">
        <v>0</v>
      </c>
      <c r="ES172" s="415">
        <v>0</v>
      </c>
      <c r="ET172" s="415">
        <v>0</v>
      </c>
      <c r="EU172" s="415">
        <v>0</v>
      </c>
      <c r="EV172" s="410">
        <f t="shared" si="68"/>
        <v>0</v>
      </c>
      <c r="EW172" s="416">
        <f t="shared" si="69"/>
        <v>1</v>
      </c>
      <c r="EX172" s="417">
        <f>IFERROR(VLOOKUP(H172,CEI_012018!$A$1:$U$509,9,FALSE),0)</f>
        <v>0</v>
      </c>
      <c r="EY172" s="417">
        <f>IFERROR(VLOOKUP(H172,CEI_022018!$A$1:$U$509,9,FALSE),0)</f>
        <v>0</v>
      </c>
      <c r="EZ172" s="417">
        <f>IFERROR(VLOOKUP(H172,CEI_032018!$A$1:$U$509,9,FALSE),0)</f>
        <v>0</v>
      </c>
      <c r="FA172" s="417">
        <f>IFERROR(VLOOKUP(H172,CEI_042018!$A$1:$U$491,9,FALSE),0)</f>
        <v>0</v>
      </c>
      <c r="FB172" s="417">
        <f>IFERROR(VLOOKUP(H172,CEI_052018!$A$1:$U$489,9,FALSE),0)</f>
        <v>0</v>
      </c>
      <c r="FC172" s="417">
        <f>IFERROR(VLOOKUP(H172,CEI_062018!$A$1:$U$489,9,FALSE),0)</f>
        <v>0</v>
      </c>
      <c r="FD172" s="417">
        <f>IFERROR(VLOOKUP(H172,CEI_072018!$A$1:$U$489,9,FALSE),0)</f>
        <v>0</v>
      </c>
      <c r="FE172" s="417">
        <f>IFERROR(VLOOKUP(H172,CEI_082018!$A$1:$U$489,9,FALSE),0)</f>
        <v>0</v>
      </c>
      <c r="FF172" s="417">
        <f>IFERROR(VLOOKUP(H172,CEI_092018!$A$1:$U$489,9,FALSE),0)</f>
        <v>0</v>
      </c>
      <c r="FG172" s="417"/>
      <c r="FH172" s="417"/>
      <c r="FI172" s="417"/>
      <c r="FJ172" s="418">
        <f>IFERROR(VLOOKUP(H172,CEI_092018!$A$1:$U$489,12,FALSE),0)</f>
        <v>0</v>
      </c>
      <c r="FK172" s="418">
        <f t="shared" si="70"/>
        <v>0</v>
      </c>
      <c r="FL172" s="418">
        <f t="shared" si="71"/>
        <v>0</v>
      </c>
      <c r="FM172" s="417"/>
      <c r="FN172" s="417"/>
      <c r="FO172" s="417"/>
      <c r="FP172" s="417"/>
      <c r="FQ172" s="417"/>
      <c r="FR172" s="417"/>
      <c r="FS172" s="417"/>
      <c r="FT172" s="417"/>
      <c r="FU172" s="417"/>
      <c r="FV172" s="417"/>
      <c r="FW172" s="417"/>
      <c r="FX172" s="417"/>
      <c r="FY172" s="418"/>
      <c r="FZ172" s="418"/>
      <c r="GA172" s="418"/>
      <c r="GB172" s="417"/>
      <c r="GC172" s="417"/>
      <c r="GD172" s="417"/>
      <c r="GE172" s="417"/>
      <c r="GF172" s="417"/>
      <c r="GG172" s="417"/>
      <c r="GH172" s="417"/>
      <c r="GI172" s="417"/>
      <c r="GJ172" s="417"/>
      <c r="GK172" s="417"/>
      <c r="GL172" s="417"/>
      <c r="GM172" s="417"/>
      <c r="GN172" s="418"/>
      <c r="GO172" s="418"/>
      <c r="GP172" s="418"/>
      <c r="GQ172" s="417"/>
      <c r="GR172" s="417"/>
      <c r="GS172" s="417"/>
      <c r="GT172" s="417"/>
      <c r="GU172" s="417"/>
      <c r="GV172" s="417"/>
      <c r="GW172" s="417"/>
      <c r="GX172" s="417"/>
      <c r="GY172" s="417"/>
      <c r="GZ172" s="417"/>
      <c r="HA172" s="417"/>
      <c r="HB172" s="417"/>
      <c r="HC172" s="418"/>
      <c r="HD172" s="418"/>
      <c r="HE172" s="418"/>
      <c r="HF172" s="417"/>
      <c r="HG172" s="417"/>
      <c r="HH172" s="417"/>
      <c r="HI172" s="417"/>
      <c r="HJ172" s="417"/>
      <c r="HK172" s="417"/>
      <c r="HL172" s="417"/>
      <c r="HM172" s="417"/>
      <c r="HN172" s="417"/>
      <c r="HO172" s="417"/>
      <c r="HP172" s="417"/>
      <c r="HQ172" s="417"/>
      <c r="HR172" s="418"/>
      <c r="HS172" s="418"/>
      <c r="HT172" s="418"/>
    </row>
    <row r="173" spans="1:228" s="387" customFormat="1" ht="12.75" customHeight="1" x14ac:dyDescent="0.2">
      <c r="A173" s="406" t="s">
        <v>55</v>
      </c>
      <c r="B173" s="407" t="s">
        <v>42</v>
      </c>
      <c r="C173" s="406" t="s">
        <v>999</v>
      </c>
      <c r="D173" s="407" t="s">
        <v>1075</v>
      </c>
      <c r="E173" s="407" t="s">
        <v>999</v>
      </c>
      <c r="F173" s="407" t="s">
        <v>1075</v>
      </c>
      <c r="G173" s="406" t="s">
        <v>54</v>
      </c>
      <c r="H173" s="408" t="s">
        <v>1710</v>
      </c>
      <c r="I173" s="408" t="s">
        <v>1711</v>
      </c>
      <c r="J173" s="406" t="s">
        <v>850</v>
      </c>
      <c r="K173" s="406" t="s">
        <v>342</v>
      </c>
      <c r="L173" s="406" t="s">
        <v>343</v>
      </c>
      <c r="M173" s="406" t="s">
        <v>1776</v>
      </c>
      <c r="N173" s="452">
        <v>0</v>
      </c>
      <c r="O173" s="452">
        <v>0</v>
      </c>
      <c r="P173" s="452">
        <v>0</v>
      </c>
      <c r="Q173" s="452">
        <v>0</v>
      </c>
      <c r="R173" s="452">
        <v>0</v>
      </c>
      <c r="S173" s="452">
        <v>0</v>
      </c>
      <c r="T173" s="452">
        <v>0</v>
      </c>
      <c r="U173" s="409">
        <v>0</v>
      </c>
      <c r="V173" s="409">
        <v>0</v>
      </c>
      <c r="W173" s="409">
        <v>100</v>
      </c>
      <c r="X173" s="409">
        <v>0</v>
      </c>
      <c r="Y173" s="409">
        <v>0</v>
      </c>
      <c r="Z173" s="453">
        <f t="shared" si="63"/>
        <v>100</v>
      </c>
      <c r="AA173" s="452">
        <v>0</v>
      </c>
      <c r="AB173" s="452">
        <v>0</v>
      </c>
      <c r="AC173" s="452">
        <v>0</v>
      </c>
      <c r="AD173" s="452">
        <v>0</v>
      </c>
      <c r="AE173" s="452">
        <v>0</v>
      </c>
      <c r="AF173" s="452">
        <v>0</v>
      </c>
      <c r="AG173" s="452">
        <v>0</v>
      </c>
      <c r="AH173" s="409">
        <v>100</v>
      </c>
      <c r="AI173" s="409">
        <v>0</v>
      </c>
      <c r="AJ173" s="409">
        <v>0</v>
      </c>
      <c r="AK173" s="409">
        <v>0</v>
      </c>
      <c r="AL173" s="409">
        <v>0</v>
      </c>
      <c r="AM173" s="453">
        <f t="shared" si="58"/>
        <v>100</v>
      </c>
      <c r="AN173" s="452">
        <v>0</v>
      </c>
      <c r="AO173" s="452">
        <v>0</v>
      </c>
      <c r="AP173" s="452">
        <v>0</v>
      </c>
      <c r="AQ173" s="452">
        <v>0</v>
      </c>
      <c r="AR173" s="452">
        <v>0</v>
      </c>
      <c r="AS173" s="452">
        <v>0</v>
      </c>
      <c r="AT173" s="452">
        <v>0</v>
      </c>
      <c r="AU173" s="409">
        <v>100</v>
      </c>
      <c r="AV173" s="409">
        <v>0</v>
      </c>
      <c r="AW173" s="409">
        <v>0</v>
      </c>
      <c r="AX173" s="409">
        <v>0</v>
      </c>
      <c r="AY173" s="409">
        <v>0</v>
      </c>
      <c r="AZ173" s="453">
        <f t="shared" si="59"/>
        <v>100</v>
      </c>
      <c r="BA173" s="452">
        <v>0</v>
      </c>
      <c r="BB173" s="452">
        <v>0</v>
      </c>
      <c r="BC173" s="452">
        <v>0</v>
      </c>
      <c r="BD173" s="452">
        <v>0</v>
      </c>
      <c r="BE173" s="452">
        <v>0</v>
      </c>
      <c r="BF173" s="452">
        <v>0</v>
      </c>
      <c r="BG173" s="452">
        <v>0</v>
      </c>
      <c r="BH173" s="409">
        <v>2267</v>
      </c>
      <c r="BI173" s="409">
        <v>0</v>
      </c>
      <c r="BJ173" s="409">
        <v>0</v>
      </c>
      <c r="BK173" s="409">
        <v>0</v>
      </c>
      <c r="BL173" s="409">
        <v>0</v>
      </c>
      <c r="BM173" s="453">
        <f t="shared" si="60"/>
        <v>2267</v>
      </c>
      <c r="BN173" s="452">
        <v>0</v>
      </c>
      <c r="BO173" s="452">
        <v>0</v>
      </c>
      <c r="BP173" s="452">
        <v>0</v>
      </c>
      <c r="BQ173" s="452">
        <v>0</v>
      </c>
      <c r="BR173" s="452">
        <v>0</v>
      </c>
      <c r="BS173" s="452">
        <v>0</v>
      </c>
      <c r="BT173" s="452">
        <v>0</v>
      </c>
      <c r="BU173" s="409">
        <v>2267</v>
      </c>
      <c r="BV173" s="409">
        <v>0</v>
      </c>
      <c r="BW173" s="409">
        <v>0</v>
      </c>
      <c r="BX173" s="409">
        <v>0</v>
      </c>
      <c r="BY173" s="409">
        <v>0</v>
      </c>
      <c r="BZ173" s="453">
        <f t="shared" si="61"/>
        <v>2267</v>
      </c>
      <c r="CA173" s="454">
        <f t="shared" si="62"/>
        <v>4834</v>
      </c>
      <c r="CB173" s="427"/>
      <c r="CC173" s="427">
        <v>1</v>
      </c>
      <c r="CD173" s="427">
        <v>1</v>
      </c>
      <c r="CE173" s="427">
        <v>1</v>
      </c>
      <c r="CF173" s="427">
        <v>-1</v>
      </c>
      <c r="CG173" s="439">
        <f>IFERROR((FE173/Z173%),0)</f>
        <v>0</v>
      </c>
      <c r="CH173" s="440">
        <f>IFERROR((FK173/Z173%),0)</f>
        <v>99.022499084472656</v>
      </c>
      <c r="CI173" s="414" t="s">
        <v>1623</v>
      </c>
      <c r="CJ173" s="415">
        <v>0</v>
      </c>
      <c r="CK173" s="415">
        <v>0</v>
      </c>
      <c r="CL173" s="415">
        <v>0</v>
      </c>
      <c r="CM173" s="415">
        <v>0</v>
      </c>
      <c r="CN173" s="415">
        <v>0</v>
      </c>
      <c r="CO173" s="415">
        <v>0</v>
      </c>
      <c r="CP173" s="415">
        <v>0</v>
      </c>
      <c r="CQ173" s="415">
        <v>1</v>
      </c>
      <c r="CR173" s="415">
        <v>0</v>
      </c>
      <c r="CS173" s="415">
        <v>0</v>
      </c>
      <c r="CT173" s="415">
        <v>0</v>
      </c>
      <c r="CU173" s="415">
        <v>0</v>
      </c>
      <c r="CV173" s="410">
        <f t="shared" si="64"/>
        <v>1</v>
      </c>
      <c r="CW173" s="415">
        <v>0</v>
      </c>
      <c r="CX173" s="415">
        <v>0</v>
      </c>
      <c r="CY173" s="415">
        <v>0</v>
      </c>
      <c r="CZ173" s="415">
        <v>0</v>
      </c>
      <c r="DA173" s="415">
        <v>0</v>
      </c>
      <c r="DB173" s="415">
        <v>0</v>
      </c>
      <c r="DC173" s="415">
        <v>0</v>
      </c>
      <c r="DD173" s="415">
        <v>1</v>
      </c>
      <c r="DE173" s="415">
        <v>0</v>
      </c>
      <c r="DF173" s="415">
        <v>0</v>
      </c>
      <c r="DG173" s="415">
        <v>0</v>
      </c>
      <c r="DH173" s="415">
        <v>0</v>
      </c>
      <c r="DI173" s="410">
        <f t="shared" si="65"/>
        <v>1</v>
      </c>
      <c r="DJ173" s="415">
        <v>0</v>
      </c>
      <c r="DK173" s="415">
        <v>0</v>
      </c>
      <c r="DL173" s="415">
        <v>0</v>
      </c>
      <c r="DM173" s="415">
        <v>0</v>
      </c>
      <c r="DN173" s="415">
        <v>0</v>
      </c>
      <c r="DO173" s="415">
        <v>0</v>
      </c>
      <c r="DP173" s="415">
        <v>0</v>
      </c>
      <c r="DQ173" s="415">
        <v>1</v>
      </c>
      <c r="DR173" s="415">
        <v>0</v>
      </c>
      <c r="DS173" s="415">
        <v>0</v>
      </c>
      <c r="DT173" s="415">
        <v>0</v>
      </c>
      <c r="DU173" s="415">
        <v>0</v>
      </c>
      <c r="DV173" s="410">
        <f t="shared" si="66"/>
        <v>1</v>
      </c>
      <c r="DW173" s="415">
        <v>0</v>
      </c>
      <c r="DX173" s="415">
        <v>0</v>
      </c>
      <c r="DY173" s="415">
        <v>0</v>
      </c>
      <c r="DZ173" s="415">
        <v>0</v>
      </c>
      <c r="EA173" s="415">
        <v>0</v>
      </c>
      <c r="EB173" s="415">
        <v>0</v>
      </c>
      <c r="EC173" s="415">
        <v>0</v>
      </c>
      <c r="ED173" s="415">
        <v>1</v>
      </c>
      <c r="EE173" s="415">
        <v>0</v>
      </c>
      <c r="EF173" s="415">
        <v>0</v>
      </c>
      <c r="EG173" s="415">
        <v>0</v>
      </c>
      <c r="EH173" s="415">
        <v>0</v>
      </c>
      <c r="EI173" s="410">
        <f t="shared" si="67"/>
        <v>1</v>
      </c>
      <c r="EJ173" s="415">
        <v>0</v>
      </c>
      <c r="EK173" s="415">
        <v>0</v>
      </c>
      <c r="EL173" s="415">
        <v>0</v>
      </c>
      <c r="EM173" s="415">
        <v>0</v>
      </c>
      <c r="EN173" s="415">
        <v>0</v>
      </c>
      <c r="EO173" s="415">
        <v>0</v>
      </c>
      <c r="EP173" s="415">
        <v>0</v>
      </c>
      <c r="EQ173" s="415">
        <v>1</v>
      </c>
      <c r="ER173" s="415">
        <v>0</v>
      </c>
      <c r="ES173" s="415">
        <v>0</v>
      </c>
      <c r="ET173" s="415">
        <v>0</v>
      </c>
      <c r="EU173" s="415">
        <v>0</v>
      </c>
      <c r="EV173" s="410">
        <f t="shared" si="68"/>
        <v>1</v>
      </c>
      <c r="EW173" s="416">
        <f t="shared" si="69"/>
        <v>5</v>
      </c>
      <c r="EX173" s="417">
        <f>IFERROR(VLOOKUP(H173,CEI_012018!$A$1:$U$509,9,FALSE),0)</f>
        <v>0</v>
      </c>
      <c r="EY173" s="417">
        <f>IFERROR(VLOOKUP(H173,CEI_022018!$A$1:$U$509,9,FALSE),0)</f>
        <v>0</v>
      </c>
      <c r="EZ173" s="417">
        <f>IFERROR(VLOOKUP(H173,CEI_032018!$A$1:$U$509,9,FALSE),0)</f>
        <v>0</v>
      </c>
      <c r="FA173" s="417">
        <f>IFERROR(VLOOKUP(H173,CEI_042018!$A$1:$U$491,9,FALSE),0)</f>
        <v>0</v>
      </c>
      <c r="FB173" s="417">
        <f>IFERROR(VLOOKUP(H173,CEI_052018!$A$1:$U$489,9,FALSE),0)</f>
        <v>0</v>
      </c>
      <c r="FC173" s="417">
        <f>IFERROR(VLOOKUP(H173,CEI_062018!$A$1:$U$489,9,FALSE),0)</f>
        <v>0</v>
      </c>
      <c r="FD173" s="417">
        <f>IFERROR(VLOOKUP(H173,CEI_072018!$A$1:$U$489,9,FALSE),0)</f>
        <v>0</v>
      </c>
      <c r="FE173" s="417">
        <f>IFERROR(VLOOKUP(H173,CEI_082018!$A$1:$U$489,9,FALSE),0)</f>
        <v>0</v>
      </c>
      <c r="FF173" s="417">
        <f>IFERROR(VLOOKUP(H173,CEI_092018!$A$1:$U$489,9,FALSE),0)</f>
        <v>0</v>
      </c>
      <c r="FG173" s="417"/>
      <c r="FH173" s="417"/>
      <c r="FI173" s="417"/>
      <c r="FJ173" s="418">
        <f>IFERROR(VLOOKUP(H173,CEI_092018!$A$1:$U$489,12,FALSE),0)</f>
        <v>99.022499084472656</v>
      </c>
      <c r="FK173" s="418">
        <f t="shared" si="70"/>
        <v>99.022499084472656</v>
      </c>
      <c r="FL173" s="418">
        <f t="shared" si="71"/>
        <v>0.97750091552734375</v>
      </c>
      <c r="FM173" s="417"/>
      <c r="FN173" s="417"/>
      <c r="FO173" s="417"/>
      <c r="FP173" s="417"/>
      <c r="FQ173" s="417"/>
      <c r="FR173" s="417"/>
      <c r="FS173" s="417"/>
      <c r="FT173" s="417"/>
      <c r="FU173" s="417"/>
      <c r="FV173" s="417"/>
      <c r="FW173" s="417"/>
      <c r="FX173" s="417"/>
      <c r="FY173" s="418"/>
      <c r="FZ173" s="418"/>
      <c r="GA173" s="418"/>
      <c r="GB173" s="417"/>
      <c r="GC173" s="417"/>
      <c r="GD173" s="417"/>
      <c r="GE173" s="417"/>
      <c r="GF173" s="417"/>
      <c r="GG173" s="417"/>
      <c r="GH173" s="417"/>
      <c r="GI173" s="417"/>
      <c r="GJ173" s="417"/>
      <c r="GK173" s="417"/>
      <c r="GL173" s="417"/>
      <c r="GM173" s="417"/>
      <c r="GN173" s="418"/>
      <c r="GO173" s="418"/>
      <c r="GP173" s="418"/>
      <c r="GQ173" s="417"/>
      <c r="GR173" s="417"/>
      <c r="GS173" s="417"/>
      <c r="GT173" s="417"/>
      <c r="GU173" s="417"/>
      <c r="GV173" s="417"/>
      <c r="GW173" s="417"/>
      <c r="GX173" s="417"/>
      <c r="GY173" s="417"/>
      <c r="GZ173" s="417"/>
      <c r="HA173" s="417"/>
      <c r="HB173" s="417"/>
      <c r="HC173" s="418"/>
      <c r="HD173" s="418"/>
      <c r="HE173" s="418"/>
      <c r="HF173" s="417"/>
      <c r="HG173" s="417"/>
      <c r="HH173" s="417"/>
      <c r="HI173" s="417"/>
      <c r="HJ173" s="417"/>
      <c r="HK173" s="417"/>
      <c r="HL173" s="417"/>
      <c r="HM173" s="417"/>
      <c r="HN173" s="417"/>
      <c r="HO173" s="417"/>
      <c r="HP173" s="417"/>
      <c r="HQ173" s="417"/>
      <c r="HR173" s="418"/>
      <c r="HS173" s="418"/>
      <c r="HT173" s="418"/>
    </row>
    <row r="174" spans="1:228" s="387" customFormat="1" ht="12.75" customHeight="1" x14ac:dyDescent="0.2">
      <c r="A174" s="406" t="s">
        <v>55</v>
      </c>
      <c r="B174" s="407" t="s">
        <v>42</v>
      </c>
      <c r="C174" s="406" t="s">
        <v>999</v>
      </c>
      <c r="D174" s="407" t="s">
        <v>1003</v>
      </c>
      <c r="E174" s="407" t="s">
        <v>455</v>
      </c>
      <c r="F174" s="407" t="s">
        <v>1755</v>
      </c>
      <c r="G174" s="406" t="s">
        <v>60</v>
      </c>
      <c r="H174" s="408" t="s">
        <v>520</v>
      </c>
      <c r="I174" s="408" t="s">
        <v>57</v>
      </c>
      <c r="J174" s="406" t="s">
        <v>755</v>
      </c>
      <c r="K174" s="406" t="s">
        <v>756</v>
      </c>
      <c r="L174" s="406" t="s">
        <v>757</v>
      </c>
      <c r="M174" s="406" t="s">
        <v>57</v>
      </c>
      <c r="N174" s="452">
        <v>0</v>
      </c>
      <c r="O174" s="452">
        <v>0</v>
      </c>
      <c r="P174" s="452">
        <v>0</v>
      </c>
      <c r="Q174" s="452">
        <v>0</v>
      </c>
      <c r="R174" s="452">
        <v>0</v>
      </c>
      <c r="S174" s="452">
        <v>0</v>
      </c>
      <c r="T174" s="452">
        <v>0</v>
      </c>
      <c r="U174" s="409">
        <v>0</v>
      </c>
      <c r="V174" s="409">
        <v>0</v>
      </c>
      <c r="W174" s="409">
        <v>0</v>
      </c>
      <c r="X174" s="409">
        <v>0</v>
      </c>
      <c r="Y174" s="409">
        <v>120</v>
      </c>
      <c r="Z174" s="453">
        <f t="shared" si="63"/>
        <v>120</v>
      </c>
      <c r="AA174" s="452">
        <v>0</v>
      </c>
      <c r="AB174" s="452">
        <v>0</v>
      </c>
      <c r="AC174" s="452">
        <v>0</v>
      </c>
      <c r="AD174" s="452">
        <v>0</v>
      </c>
      <c r="AE174" s="452">
        <v>0</v>
      </c>
      <c r="AF174" s="452">
        <v>0</v>
      </c>
      <c r="AG174" s="452">
        <v>0</v>
      </c>
      <c r="AH174" s="409">
        <v>0</v>
      </c>
      <c r="AI174" s="409">
        <v>0</v>
      </c>
      <c r="AJ174" s="409">
        <v>0</v>
      </c>
      <c r="AK174" s="409">
        <v>0</v>
      </c>
      <c r="AL174" s="409">
        <v>0</v>
      </c>
      <c r="AM174" s="453">
        <f t="shared" si="58"/>
        <v>0</v>
      </c>
      <c r="AN174" s="452">
        <v>0</v>
      </c>
      <c r="AO174" s="452">
        <v>0</v>
      </c>
      <c r="AP174" s="452">
        <v>0</v>
      </c>
      <c r="AQ174" s="452">
        <v>0</v>
      </c>
      <c r="AR174" s="452">
        <v>0</v>
      </c>
      <c r="AS174" s="452">
        <v>0</v>
      </c>
      <c r="AT174" s="452">
        <v>0</v>
      </c>
      <c r="AU174" s="409">
        <v>0</v>
      </c>
      <c r="AV174" s="409">
        <v>0</v>
      </c>
      <c r="AW174" s="409">
        <v>0</v>
      </c>
      <c r="AX174" s="409">
        <v>0</v>
      </c>
      <c r="AY174" s="409">
        <v>0</v>
      </c>
      <c r="AZ174" s="453">
        <f t="shared" si="59"/>
        <v>0</v>
      </c>
      <c r="BA174" s="452">
        <v>0</v>
      </c>
      <c r="BB174" s="452">
        <v>0</v>
      </c>
      <c r="BC174" s="452">
        <v>0</v>
      </c>
      <c r="BD174" s="452">
        <v>0</v>
      </c>
      <c r="BE174" s="452">
        <v>0</v>
      </c>
      <c r="BF174" s="452">
        <v>0</v>
      </c>
      <c r="BG174" s="452">
        <v>0</v>
      </c>
      <c r="BH174" s="409">
        <v>0</v>
      </c>
      <c r="BI174" s="409">
        <v>0</v>
      </c>
      <c r="BJ174" s="409">
        <v>0</v>
      </c>
      <c r="BK174" s="409">
        <v>0</v>
      </c>
      <c r="BL174" s="409">
        <v>0</v>
      </c>
      <c r="BM174" s="453">
        <f t="shared" si="60"/>
        <v>0</v>
      </c>
      <c r="BN174" s="452">
        <v>0</v>
      </c>
      <c r="BO174" s="452">
        <v>0</v>
      </c>
      <c r="BP174" s="452">
        <v>0</v>
      </c>
      <c r="BQ174" s="452">
        <v>0</v>
      </c>
      <c r="BR174" s="452">
        <v>0</v>
      </c>
      <c r="BS174" s="452">
        <v>0</v>
      </c>
      <c r="BT174" s="452">
        <v>0</v>
      </c>
      <c r="BU174" s="409">
        <v>0</v>
      </c>
      <c r="BV174" s="409">
        <v>0</v>
      </c>
      <c r="BW174" s="409">
        <v>0</v>
      </c>
      <c r="BX174" s="409">
        <v>0</v>
      </c>
      <c r="BY174" s="409">
        <v>0</v>
      </c>
      <c r="BZ174" s="453">
        <f t="shared" si="61"/>
        <v>0</v>
      </c>
      <c r="CA174" s="454">
        <f t="shared" si="62"/>
        <v>120</v>
      </c>
      <c r="CB174" s="419"/>
      <c r="CC174" s="419">
        <v>-1</v>
      </c>
      <c r="CD174" s="419">
        <v>-1</v>
      </c>
      <c r="CE174" s="419">
        <v>-1</v>
      </c>
      <c r="CF174" s="419">
        <v>-1</v>
      </c>
      <c r="CG174" s="420">
        <f>IFERROR((FE174/Z174%),0)</f>
        <v>0</v>
      </c>
      <c r="CH174" s="420">
        <f>IFERROR((FK174/Z174%),0)</f>
        <v>0</v>
      </c>
      <c r="CI174" s="414" t="s">
        <v>1624</v>
      </c>
      <c r="CJ174" s="415">
        <v>0</v>
      </c>
      <c r="CK174" s="415">
        <v>0</v>
      </c>
      <c r="CL174" s="415">
        <v>0</v>
      </c>
      <c r="CM174" s="415">
        <v>0</v>
      </c>
      <c r="CN174" s="415">
        <v>0</v>
      </c>
      <c r="CO174" s="415">
        <v>0</v>
      </c>
      <c r="CP174" s="415">
        <v>0</v>
      </c>
      <c r="CQ174" s="415">
        <v>0</v>
      </c>
      <c r="CR174" s="415">
        <v>1</v>
      </c>
      <c r="CS174" s="415">
        <v>0</v>
      </c>
      <c r="CT174" s="415">
        <v>0</v>
      </c>
      <c r="CU174" s="415">
        <v>0</v>
      </c>
      <c r="CV174" s="410">
        <f t="shared" si="64"/>
        <v>1</v>
      </c>
      <c r="CW174" s="415">
        <v>0</v>
      </c>
      <c r="CX174" s="415">
        <v>0</v>
      </c>
      <c r="CY174" s="415">
        <v>0</v>
      </c>
      <c r="CZ174" s="415">
        <v>0</v>
      </c>
      <c r="DA174" s="415">
        <v>0</v>
      </c>
      <c r="DB174" s="415">
        <v>0</v>
      </c>
      <c r="DC174" s="415">
        <v>0</v>
      </c>
      <c r="DD174" s="415">
        <v>0</v>
      </c>
      <c r="DE174" s="415">
        <v>0</v>
      </c>
      <c r="DF174" s="415">
        <v>0</v>
      </c>
      <c r="DG174" s="415">
        <v>0</v>
      </c>
      <c r="DH174" s="415">
        <v>0</v>
      </c>
      <c r="DI174" s="410">
        <f t="shared" si="65"/>
        <v>0</v>
      </c>
      <c r="DJ174" s="415">
        <v>0</v>
      </c>
      <c r="DK174" s="415">
        <v>0</v>
      </c>
      <c r="DL174" s="415">
        <v>0</v>
      </c>
      <c r="DM174" s="415">
        <v>0</v>
      </c>
      <c r="DN174" s="415">
        <v>0</v>
      </c>
      <c r="DO174" s="415">
        <v>0</v>
      </c>
      <c r="DP174" s="415">
        <v>0</v>
      </c>
      <c r="DQ174" s="415">
        <v>0</v>
      </c>
      <c r="DR174" s="415">
        <v>0</v>
      </c>
      <c r="DS174" s="415">
        <v>0</v>
      </c>
      <c r="DT174" s="415">
        <v>0</v>
      </c>
      <c r="DU174" s="415">
        <v>0</v>
      </c>
      <c r="DV174" s="410">
        <f t="shared" si="66"/>
        <v>0</v>
      </c>
      <c r="DW174" s="415">
        <v>0</v>
      </c>
      <c r="DX174" s="415">
        <v>0</v>
      </c>
      <c r="DY174" s="415">
        <v>0</v>
      </c>
      <c r="DZ174" s="415">
        <v>0</v>
      </c>
      <c r="EA174" s="415">
        <v>0</v>
      </c>
      <c r="EB174" s="415">
        <v>0</v>
      </c>
      <c r="EC174" s="415">
        <v>0</v>
      </c>
      <c r="ED174" s="415">
        <v>0</v>
      </c>
      <c r="EE174" s="415">
        <v>0</v>
      </c>
      <c r="EF174" s="415">
        <v>0</v>
      </c>
      <c r="EG174" s="415">
        <v>0</v>
      </c>
      <c r="EH174" s="415">
        <v>0</v>
      </c>
      <c r="EI174" s="410">
        <f t="shared" si="67"/>
        <v>0</v>
      </c>
      <c r="EJ174" s="415">
        <v>0</v>
      </c>
      <c r="EK174" s="415">
        <v>0</v>
      </c>
      <c r="EL174" s="415">
        <v>0</v>
      </c>
      <c r="EM174" s="415">
        <v>0</v>
      </c>
      <c r="EN174" s="415">
        <v>0</v>
      </c>
      <c r="EO174" s="415">
        <v>0</v>
      </c>
      <c r="EP174" s="415">
        <v>0</v>
      </c>
      <c r="EQ174" s="415">
        <v>0</v>
      </c>
      <c r="ER174" s="415">
        <v>0</v>
      </c>
      <c r="ES174" s="415">
        <v>0</v>
      </c>
      <c r="ET174" s="415">
        <v>0</v>
      </c>
      <c r="EU174" s="415">
        <v>0</v>
      </c>
      <c r="EV174" s="410">
        <f t="shared" si="68"/>
        <v>0</v>
      </c>
      <c r="EW174" s="416">
        <f t="shared" si="69"/>
        <v>1</v>
      </c>
      <c r="EX174" s="417">
        <f>IFERROR(VLOOKUP(H174,CEI_012018!$A$1:$U$509,9,FALSE),0)</f>
        <v>0</v>
      </c>
      <c r="EY174" s="417">
        <f>IFERROR(VLOOKUP(H174,CEI_022018!$A$1:$U$509,9,FALSE),0)</f>
        <v>0</v>
      </c>
      <c r="EZ174" s="417">
        <f>IFERROR(VLOOKUP(H174,CEI_032018!$A$1:$U$509,9,FALSE),0)</f>
        <v>0</v>
      </c>
      <c r="FA174" s="417">
        <f>IFERROR(VLOOKUP(H174,CEI_042018!$A$1:$U$491,9,FALSE),0)</f>
        <v>0</v>
      </c>
      <c r="FB174" s="417">
        <f>IFERROR(VLOOKUP(H174,CEI_052018!$A$1:$U$489,9,FALSE),0)</f>
        <v>0</v>
      </c>
      <c r="FC174" s="417">
        <f>IFERROR(VLOOKUP(H174,CEI_062018!$A$1:$U$489,9,FALSE),0)</f>
        <v>0</v>
      </c>
      <c r="FD174" s="417">
        <f>IFERROR(VLOOKUP(H174,CEI_072018!$A$1:$U$489,9,FALSE),0)</f>
        <v>0</v>
      </c>
      <c r="FE174" s="417">
        <f>IFERROR(VLOOKUP(H174,CEI_082018!$A$1:$U$489,9,FALSE),0)</f>
        <v>0</v>
      </c>
      <c r="FF174" s="417">
        <f>IFERROR(VLOOKUP(H174,CEI_092018!$A$1:$U$489,9,FALSE),0)</f>
        <v>0</v>
      </c>
      <c r="FG174" s="417"/>
      <c r="FH174" s="417"/>
      <c r="FI174" s="417"/>
      <c r="FJ174" s="418">
        <f>IFERROR(VLOOKUP(H174,CEI_092018!$A$1:$U$489,12,FALSE),0)</f>
        <v>0</v>
      </c>
      <c r="FK174" s="418">
        <f t="shared" si="70"/>
        <v>0</v>
      </c>
      <c r="FL174" s="418">
        <f t="shared" si="71"/>
        <v>120</v>
      </c>
      <c r="FM174" s="417"/>
      <c r="FN174" s="417"/>
      <c r="FO174" s="417"/>
      <c r="FP174" s="417"/>
      <c r="FQ174" s="417"/>
      <c r="FR174" s="417"/>
      <c r="FS174" s="417"/>
      <c r="FT174" s="417"/>
      <c r="FU174" s="417"/>
      <c r="FV174" s="417"/>
      <c r="FW174" s="417"/>
      <c r="FX174" s="417"/>
      <c r="FY174" s="418"/>
      <c r="FZ174" s="418"/>
      <c r="GA174" s="418"/>
      <c r="GB174" s="417"/>
      <c r="GC174" s="417"/>
      <c r="GD174" s="417"/>
      <c r="GE174" s="417"/>
      <c r="GF174" s="417"/>
      <c r="GG174" s="417"/>
      <c r="GH174" s="417"/>
      <c r="GI174" s="417"/>
      <c r="GJ174" s="417"/>
      <c r="GK174" s="417"/>
      <c r="GL174" s="417"/>
      <c r="GM174" s="417"/>
      <c r="GN174" s="418"/>
      <c r="GO174" s="418"/>
      <c r="GP174" s="418"/>
      <c r="GQ174" s="417"/>
      <c r="GR174" s="417"/>
      <c r="GS174" s="417"/>
      <c r="GT174" s="417"/>
      <c r="GU174" s="417"/>
      <c r="GV174" s="417"/>
      <c r="GW174" s="417"/>
      <c r="GX174" s="417"/>
      <c r="GY174" s="417"/>
      <c r="GZ174" s="417"/>
      <c r="HA174" s="417"/>
      <c r="HB174" s="417"/>
      <c r="HC174" s="418"/>
      <c r="HD174" s="418"/>
      <c r="HE174" s="418"/>
      <c r="HF174" s="417"/>
      <c r="HG174" s="417"/>
      <c r="HH174" s="417"/>
      <c r="HI174" s="417"/>
      <c r="HJ174" s="417"/>
      <c r="HK174" s="417"/>
      <c r="HL174" s="417"/>
      <c r="HM174" s="417"/>
      <c r="HN174" s="417"/>
      <c r="HO174" s="417"/>
      <c r="HP174" s="417"/>
      <c r="HQ174" s="417"/>
      <c r="HR174" s="418"/>
      <c r="HS174" s="418"/>
      <c r="HT174" s="418"/>
    </row>
    <row r="175" spans="1:228" s="387" customFormat="1" ht="12.75" customHeight="1" x14ac:dyDescent="0.2">
      <c r="A175" s="406" t="s">
        <v>55</v>
      </c>
      <c r="B175" s="407" t="s">
        <v>42</v>
      </c>
      <c r="C175" s="406" t="s">
        <v>999</v>
      </c>
      <c r="D175" s="407" t="s">
        <v>1003</v>
      </c>
      <c r="E175" s="407" t="s">
        <v>455</v>
      </c>
      <c r="F175" s="407" t="s">
        <v>1756</v>
      </c>
      <c r="G175" s="406" t="s">
        <v>60</v>
      </c>
      <c r="H175" s="408" t="s">
        <v>520</v>
      </c>
      <c r="I175" s="408" t="s">
        <v>57</v>
      </c>
      <c r="J175" s="406" t="s">
        <v>749</v>
      </c>
      <c r="K175" s="406" t="s">
        <v>750</v>
      </c>
      <c r="L175" s="406" t="s">
        <v>751</v>
      </c>
      <c r="M175" s="406" t="s">
        <v>57</v>
      </c>
      <c r="N175" s="452">
        <v>0</v>
      </c>
      <c r="O175" s="452">
        <v>0</v>
      </c>
      <c r="P175" s="452">
        <v>0</v>
      </c>
      <c r="Q175" s="452">
        <v>0</v>
      </c>
      <c r="R175" s="452">
        <v>0</v>
      </c>
      <c r="S175" s="452">
        <v>0</v>
      </c>
      <c r="T175" s="452">
        <v>0</v>
      </c>
      <c r="U175" s="409">
        <v>0</v>
      </c>
      <c r="V175" s="409">
        <v>0</v>
      </c>
      <c r="W175" s="409">
        <v>0</v>
      </c>
      <c r="X175" s="409">
        <v>0</v>
      </c>
      <c r="Y175" s="409">
        <v>72</v>
      </c>
      <c r="Z175" s="453">
        <f t="shared" si="63"/>
        <v>72</v>
      </c>
      <c r="AA175" s="452">
        <v>0</v>
      </c>
      <c r="AB175" s="452">
        <v>0</v>
      </c>
      <c r="AC175" s="452">
        <v>0</v>
      </c>
      <c r="AD175" s="452">
        <v>0</v>
      </c>
      <c r="AE175" s="452">
        <v>0</v>
      </c>
      <c r="AF175" s="452">
        <v>0</v>
      </c>
      <c r="AG175" s="452">
        <v>0</v>
      </c>
      <c r="AH175" s="409">
        <v>0</v>
      </c>
      <c r="AI175" s="409">
        <v>0</v>
      </c>
      <c r="AJ175" s="409">
        <v>0</v>
      </c>
      <c r="AK175" s="409">
        <v>0</v>
      </c>
      <c r="AL175" s="409">
        <v>0</v>
      </c>
      <c r="AM175" s="453">
        <f t="shared" si="58"/>
        <v>0</v>
      </c>
      <c r="AN175" s="452">
        <v>0</v>
      </c>
      <c r="AO175" s="452">
        <v>0</v>
      </c>
      <c r="AP175" s="452">
        <v>0</v>
      </c>
      <c r="AQ175" s="452">
        <v>0</v>
      </c>
      <c r="AR175" s="452">
        <v>0</v>
      </c>
      <c r="AS175" s="452">
        <v>0</v>
      </c>
      <c r="AT175" s="452">
        <v>0</v>
      </c>
      <c r="AU175" s="409">
        <v>0</v>
      </c>
      <c r="AV175" s="409">
        <v>0</v>
      </c>
      <c r="AW175" s="409">
        <v>0</v>
      </c>
      <c r="AX175" s="409">
        <v>0</v>
      </c>
      <c r="AY175" s="409">
        <v>0</v>
      </c>
      <c r="AZ175" s="453">
        <f t="shared" si="59"/>
        <v>0</v>
      </c>
      <c r="BA175" s="452">
        <v>0</v>
      </c>
      <c r="BB175" s="452">
        <v>0</v>
      </c>
      <c r="BC175" s="452">
        <v>0</v>
      </c>
      <c r="BD175" s="452">
        <v>0</v>
      </c>
      <c r="BE175" s="452">
        <v>0</v>
      </c>
      <c r="BF175" s="452">
        <v>0</v>
      </c>
      <c r="BG175" s="452">
        <v>0</v>
      </c>
      <c r="BH175" s="409">
        <v>0</v>
      </c>
      <c r="BI175" s="409">
        <v>0</v>
      </c>
      <c r="BJ175" s="409">
        <v>0</v>
      </c>
      <c r="BK175" s="409">
        <v>0</v>
      </c>
      <c r="BL175" s="409">
        <v>0</v>
      </c>
      <c r="BM175" s="453">
        <f t="shared" si="60"/>
        <v>0</v>
      </c>
      <c r="BN175" s="452">
        <v>0</v>
      </c>
      <c r="BO175" s="452">
        <v>0</v>
      </c>
      <c r="BP175" s="452">
        <v>0</v>
      </c>
      <c r="BQ175" s="452">
        <v>0</v>
      </c>
      <c r="BR175" s="452">
        <v>0</v>
      </c>
      <c r="BS175" s="452">
        <v>0</v>
      </c>
      <c r="BT175" s="452">
        <v>0</v>
      </c>
      <c r="BU175" s="409">
        <v>0</v>
      </c>
      <c r="BV175" s="409">
        <v>0</v>
      </c>
      <c r="BW175" s="409">
        <v>0</v>
      </c>
      <c r="BX175" s="409">
        <v>0</v>
      </c>
      <c r="BY175" s="409">
        <v>0</v>
      </c>
      <c r="BZ175" s="453">
        <f t="shared" si="61"/>
        <v>0</v>
      </c>
      <c r="CA175" s="454">
        <f t="shared" si="62"/>
        <v>72</v>
      </c>
      <c r="CB175" s="419"/>
      <c r="CC175" s="419">
        <v>-1</v>
      </c>
      <c r="CD175" s="419">
        <v>-1</v>
      </c>
      <c r="CE175" s="419">
        <v>-1</v>
      </c>
      <c r="CF175" s="419">
        <v>-1</v>
      </c>
      <c r="CG175" s="420">
        <f>IFERROR((FE175/Z175%),0)</f>
        <v>0</v>
      </c>
      <c r="CH175" s="421">
        <f>IFERROR((FK175/Z175%),0)</f>
        <v>0</v>
      </c>
      <c r="CI175" s="414" t="s">
        <v>1624</v>
      </c>
      <c r="CJ175" s="415">
        <v>0</v>
      </c>
      <c r="CK175" s="415">
        <v>0</v>
      </c>
      <c r="CL175" s="415">
        <v>0</v>
      </c>
      <c r="CM175" s="415">
        <v>0</v>
      </c>
      <c r="CN175" s="415">
        <v>0</v>
      </c>
      <c r="CO175" s="415">
        <v>0</v>
      </c>
      <c r="CP175" s="415">
        <v>0</v>
      </c>
      <c r="CQ175" s="415">
        <v>0</v>
      </c>
      <c r="CR175" s="415">
        <v>1</v>
      </c>
      <c r="CS175" s="415">
        <v>0</v>
      </c>
      <c r="CT175" s="415">
        <v>0</v>
      </c>
      <c r="CU175" s="415">
        <v>0</v>
      </c>
      <c r="CV175" s="410">
        <f t="shared" ref="CV175:CV206" si="72">SUM(CJ175:CU175)</f>
        <v>1</v>
      </c>
      <c r="CW175" s="415">
        <v>0</v>
      </c>
      <c r="CX175" s="415">
        <v>0</v>
      </c>
      <c r="CY175" s="415">
        <v>0</v>
      </c>
      <c r="CZ175" s="415">
        <v>0</v>
      </c>
      <c r="DA175" s="415">
        <v>0</v>
      </c>
      <c r="DB175" s="415">
        <v>0</v>
      </c>
      <c r="DC175" s="415">
        <v>0</v>
      </c>
      <c r="DD175" s="415">
        <v>0</v>
      </c>
      <c r="DE175" s="415">
        <v>0</v>
      </c>
      <c r="DF175" s="415">
        <v>0</v>
      </c>
      <c r="DG175" s="415">
        <v>0</v>
      </c>
      <c r="DH175" s="415">
        <v>0</v>
      </c>
      <c r="DI175" s="410">
        <f t="shared" ref="DI175:DI206" si="73">SUM(CW175:DH175)</f>
        <v>0</v>
      </c>
      <c r="DJ175" s="415">
        <v>0</v>
      </c>
      <c r="DK175" s="415">
        <v>0</v>
      </c>
      <c r="DL175" s="415">
        <v>0</v>
      </c>
      <c r="DM175" s="415">
        <v>0</v>
      </c>
      <c r="DN175" s="415">
        <v>0</v>
      </c>
      <c r="DO175" s="415">
        <v>0</v>
      </c>
      <c r="DP175" s="415">
        <v>0</v>
      </c>
      <c r="DQ175" s="415">
        <v>0</v>
      </c>
      <c r="DR175" s="415">
        <v>0</v>
      </c>
      <c r="DS175" s="415">
        <v>0</v>
      </c>
      <c r="DT175" s="415">
        <v>0</v>
      </c>
      <c r="DU175" s="415">
        <v>0</v>
      </c>
      <c r="DV175" s="410">
        <f t="shared" ref="DV175:DV206" si="74">SUM(DJ175:DU175)</f>
        <v>0</v>
      </c>
      <c r="DW175" s="415">
        <v>0</v>
      </c>
      <c r="DX175" s="415">
        <v>0</v>
      </c>
      <c r="DY175" s="415">
        <v>0</v>
      </c>
      <c r="DZ175" s="415">
        <v>0</v>
      </c>
      <c r="EA175" s="415">
        <v>0</v>
      </c>
      <c r="EB175" s="415">
        <v>0</v>
      </c>
      <c r="EC175" s="415">
        <v>0</v>
      </c>
      <c r="ED175" s="415">
        <v>0</v>
      </c>
      <c r="EE175" s="415">
        <v>0</v>
      </c>
      <c r="EF175" s="415">
        <v>0</v>
      </c>
      <c r="EG175" s="415">
        <v>0</v>
      </c>
      <c r="EH175" s="415">
        <v>0</v>
      </c>
      <c r="EI175" s="410">
        <f t="shared" ref="EI175:EI206" si="75">SUM(DW175:EH175)</f>
        <v>0</v>
      </c>
      <c r="EJ175" s="415">
        <v>0</v>
      </c>
      <c r="EK175" s="415">
        <v>0</v>
      </c>
      <c r="EL175" s="415">
        <v>0</v>
      </c>
      <c r="EM175" s="415">
        <v>0</v>
      </c>
      <c r="EN175" s="415">
        <v>0</v>
      </c>
      <c r="EO175" s="415">
        <v>0</v>
      </c>
      <c r="EP175" s="415">
        <v>0</v>
      </c>
      <c r="EQ175" s="415">
        <v>0</v>
      </c>
      <c r="ER175" s="415">
        <v>0</v>
      </c>
      <c r="ES175" s="415">
        <v>0</v>
      </c>
      <c r="ET175" s="415">
        <v>0</v>
      </c>
      <c r="EU175" s="415">
        <v>0</v>
      </c>
      <c r="EV175" s="410">
        <f t="shared" ref="EV175:EV206" si="76">SUM(EJ175:EU175)</f>
        <v>0</v>
      </c>
      <c r="EW175" s="416">
        <f t="shared" ref="EW175:EW206" si="77">SUM(EV175,EI175,DV175,DI175,CV175)</f>
        <v>1</v>
      </c>
      <c r="EX175" s="417">
        <f>IFERROR(VLOOKUP(H175,CEI_012018!$A$1:$U$509,9,FALSE),0)</f>
        <v>0</v>
      </c>
      <c r="EY175" s="417">
        <f>IFERROR(VLOOKUP(H175,CEI_022018!$A$1:$U$509,9,FALSE),0)</f>
        <v>0</v>
      </c>
      <c r="EZ175" s="417">
        <f>IFERROR(VLOOKUP(H175,CEI_032018!$A$1:$U$509,9,FALSE),0)</f>
        <v>0</v>
      </c>
      <c r="FA175" s="417">
        <f>IFERROR(VLOOKUP(H175,CEI_042018!$A$1:$U$491,9,FALSE),0)</f>
        <v>0</v>
      </c>
      <c r="FB175" s="417">
        <f>IFERROR(VLOOKUP(H175,CEI_052018!$A$1:$U$489,9,FALSE),0)</f>
        <v>0</v>
      </c>
      <c r="FC175" s="417">
        <f>IFERROR(VLOOKUP(H175,CEI_062018!$A$1:$U$489,9,FALSE),0)</f>
        <v>0</v>
      </c>
      <c r="FD175" s="417">
        <f>IFERROR(VLOOKUP(H175,CEI_072018!$A$1:$U$489,9,FALSE),0)</f>
        <v>0</v>
      </c>
      <c r="FE175" s="417">
        <f>IFERROR(VLOOKUP(H175,CEI_082018!$A$1:$U$489,9,FALSE),0)</f>
        <v>0</v>
      </c>
      <c r="FF175" s="417">
        <f>IFERROR(VLOOKUP(H175,CEI_092018!$A$1:$U$489,9,FALSE),0)</f>
        <v>0</v>
      </c>
      <c r="FG175" s="417"/>
      <c r="FH175" s="417"/>
      <c r="FI175" s="417"/>
      <c r="FJ175" s="418">
        <f>IFERROR(VLOOKUP(H175,CEI_092018!$A$1:$U$489,12,FALSE),0)</f>
        <v>0</v>
      </c>
      <c r="FK175" s="418">
        <f t="shared" si="70"/>
        <v>0</v>
      </c>
      <c r="FL175" s="418">
        <f t="shared" si="71"/>
        <v>72</v>
      </c>
      <c r="FM175" s="417"/>
      <c r="FN175" s="417"/>
      <c r="FO175" s="417"/>
      <c r="FP175" s="417"/>
      <c r="FQ175" s="417"/>
      <c r="FR175" s="417"/>
      <c r="FS175" s="417"/>
      <c r="FT175" s="417"/>
      <c r="FU175" s="417"/>
      <c r="FV175" s="417"/>
      <c r="FW175" s="417"/>
      <c r="FX175" s="417"/>
      <c r="FY175" s="418"/>
      <c r="FZ175" s="418"/>
      <c r="GA175" s="418"/>
      <c r="GB175" s="417"/>
      <c r="GC175" s="417"/>
      <c r="GD175" s="417"/>
      <c r="GE175" s="417"/>
      <c r="GF175" s="417"/>
      <c r="GG175" s="417"/>
      <c r="GH175" s="417"/>
      <c r="GI175" s="417"/>
      <c r="GJ175" s="417"/>
      <c r="GK175" s="417"/>
      <c r="GL175" s="417"/>
      <c r="GM175" s="417"/>
      <c r="GN175" s="418"/>
      <c r="GO175" s="418"/>
      <c r="GP175" s="418"/>
      <c r="GQ175" s="417"/>
      <c r="GR175" s="417"/>
      <c r="GS175" s="417"/>
      <c r="GT175" s="417"/>
      <c r="GU175" s="417"/>
      <c r="GV175" s="417"/>
      <c r="GW175" s="417"/>
      <c r="GX175" s="417"/>
      <c r="GY175" s="417"/>
      <c r="GZ175" s="417"/>
      <c r="HA175" s="417"/>
      <c r="HB175" s="417"/>
      <c r="HC175" s="418"/>
      <c r="HD175" s="418"/>
      <c r="HE175" s="418"/>
      <c r="HF175" s="417"/>
      <c r="HG175" s="417"/>
      <c r="HH175" s="417"/>
      <c r="HI175" s="417"/>
      <c r="HJ175" s="417"/>
      <c r="HK175" s="417"/>
      <c r="HL175" s="417"/>
      <c r="HM175" s="417"/>
      <c r="HN175" s="417"/>
      <c r="HO175" s="417"/>
      <c r="HP175" s="417"/>
      <c r="HQ175" s="417"/>
      <c r="HR175" s="418"/>
      <c r="HS175" s="418"/>
      <c r="HT175" s="418"/>
    </row>
    <row r="176" spans="1:228" s="387" customFormat="1" ht="12.75" customHeight="1" x14ac:dyDescent="0.2">
      <c r="A176" s="406" t="s">
        <v>55</v>
      </c>
      <c r="B176" s="407" t="s">
        <v>42</v>
      </c>
      <c r="C176" s="406" t="s">
        <v>999</v>
      </c>
      <c r="D176" s="407" t="s">
        <v>1003</v>
      </c>
      <c r="E176" s="407" t="s">
        <v>455</v>
      </c>
      <c r="F176" s="407" t="s">
        <v>1756</v>
      </c>
      <c r="G176" s="406" t="s">
        <v>60</v>
      </c>
      <c r="H176" s="408" t="s">
        <v>520</v>
      </c>
      <c r="I176" s="408" t="s">
        <v>57</v>
      </c>
      <c r="J176" s="406" t="s">
        <v>752</v>
      </c>
      <c r="K176" s="406" t="s">
        <v>753</v>
      </c>
      <c r="L176" s="406" t="s">
        <v>754</v>
      </c>
      <c r="M176" s="406" t="s">
        <v>57</v>
      </c>
      <c r="N176" s="452">
        <v>0</v>
      </c>
      <c r="O176" s="452">
        <v>0</v>
      </c>
      <c r="P176" s="452">
        <v>0</v>
      </c>
      <c r="Q176" s="452">
        <v>0</v>
      </c>
      <c r="R176" s="452">
        <v>0</v>
      </c>
      <c r="S176" s="452">
        <v>0</v>
      </c>
      <c r="T176" s="452">
        <v>0</v>
      </c>
      <c r="U176" s="409">
        <v>0</v>
      </c>
      <c r="V176" s="409">
        <v>0</v>
      </c>
      <c r="W176" s="409">
        <v>0</v>
      </c>
      <c r="X176" s="409">
        <v>0</v>
      </c>
      <c r="Y176" s="409">
        <v>95</v>
      </c>
      <c r="Z176" s="453">
        <f t="shared" si="63"/>
        <v>95</v>
      </c>
      <c r="AA176" s="452">
        <v>0</v>
      </c>
      <c r="AB176" s="452">
        <v>0</v>
      </c>
      <c r="AC176" s="452">
        <v>0</v>
      </c>
      <c r="AD176" s="452">
        <v>0</v>
      </c>
      <c r="AE176" s="452">
        <v>0</v>
      </c>
      <c r="AF176" s="452">
        <v>0</v>
      </c>
      <c r="AG176" s="452">
        <v>0</v>
      </c>
      <c r="AH176" s="409">
        <v>0</v>
      </c>
      <c r="AI176" s="409">
        <v>0</v>
      </c>
      <c r="AJ176" s="409">
        <v>0</v>
      </c>
      <c r="AK176" s="409">
        <v>0</v>
      </c>
      <c r="AL176" s="409">
        <v>0</v>
      </c>
      <c r="AM176" s="453">
        <f t="shared" si="58"/>
        <v>0</v>
      </c>
      <c r="AN176" s="452">
        <v>0</v>
      </c>
      <c r="AO176" s="452">
        <v>0</v>
      </c>
      <c r="AP176" s="452">
        <v>0</v>
      </c>
      <c r="AQ176" s="452">
        <v>0</v>
      </c>
      <c r="AR176" s="452">
        <v>0</v>
      </c>
      <c r="AS176" s="452">
        <v>0</v>
      </c>
      <c r="AT176" s="452">
        <v>0</v>
      </c>
      <c r="AU176" s="409">
        <v>0</v>
      </c>
      <c r="AV176" s="409">
        <v>0</v>
      </c>
      <c r="AW176" s="409">
        <v>0</v>
      </c>
      <c r="AX176" s="409">
        <v>0</v>
      </c>
      <c r="AY176" s="409">
        <v>0</v>
      </c>
      <c r="AZ176" s="453">
        <f t="shared" si="59"/>
        <v>0</v>
      </c>
      <c r="BA176" s="452">
        <v>0</v>
      </c>
      <c r="BB176" s="452">
        <v>0</v>
      </c>
      <c r="BC176" s="452">
        <v>0</v>
      </c>
      <c r="BD176" s="452">
        <v>0</v>
      </c>
      <c r="BE176" s="452">
        <v>0</v>
      </c>
      <c r="BF176" s="452">
        <v>0</v>
      </c>
      <c r="BG176" s="452">
        <v>0</v>
      </c>
      <c r="BH176" s="409">
        <v>0</v>
      </c>
      <c r="BI176" s="409">
        <v>0</v>
      </c>
      <c r="BJ176" s="409">
        <v>0</v>
      </c>
      <c r="BK176" s="409">
        <v>0</v>
      </c>
      <c r="BL176" s="409">
        <v>0</v>
      </c>
      <c r="BM176" s="453">
        <f t="shared" si="60"/>
        <v>0</v>
      </c>
      <c r="BN176" s="452">
        <v>0</v>
      </c>
      <c r="BO176" s="452">
        <v>0</v>
      </c>
      <c r="BP176" s="452">
        <v>0</v>
      </c>
      <c r="BQ176" s="452">
        <v>0</v>
      </c>
      <c r="BR176" s="452">
        <v>0</v>
      </c>
      <c r="BS176" s="452">
        <v>0</v>
      </c>
      <c r="BT176" s="452">
        <v>0</v>
      </c>
      <c r="BU176" s="409">
        <v>0</v>
      </c>
      <c r="BV176" s="409">
        <v>0</v>
      </c>
      <c r="BW176" s="409">
        <v>0</v>
      </c>
      <c r="BX176" s="409">
        <v>0</v>
      </c>
      <c r="BY176" s="409">
        <v>0</v>
      </c>
      <c r="BZ176" s="453">
        <f t="shared" si="61"/>
        <v>0</v>
      </c>
      <c r="CA176" s="454">
        <f t="shared" si="62"/>
        <v>95</v>
      </c>
      <c r="CB176" s="419"/>
      <c r="CC176" s="419">
        <v>-1</v>
      </c>
      <c r="CD176" s="419">
        <v>-1</v>
      </c>
      <c r="CE176" s="419">
        <v>-1</v>
      </c>
      <c r="CF176" s="419">
        <v>-1</v>
      </c>
      <c r="CG176" s="420">
        <f>IFERROR((FE176/Z176%),0)</f>
        <v>0</v>
      </c>
      <c r="CH176" s="421">
        <f>IFERROR((FK176/Z176%),0)</f>
        <v>0</v>
      </c>
      <c r="CI176" s="414" t="s">
        <v>1624</v>
      </c>
      <c r="CJ176" s="415">
        <v>0</v>
      </c>
      <c r="CK176" s="415">
        <v>0</v>
      </c>
      <c r="CL176" s="415">
        <v>0</v>
      </c>
      <c r="CM176" s="415">
        <v>0</v>
      </c>
      <c r="CN176" s="415">
        <v>0</v>
      </c>
      <c r="CO176" s="415">
        <v>0</v>
      </c>
      <c r="CP176" s="415">
        <v>0</v>
      </c>
      <c r="CQ176" s="415">
        <v>0</v>
      </c>
      <c r="CR176" s="415">
        <v>1</v>
      </c>
      <c r="CS176" s="415">
        <v>0</v>
      </c>
      <c r="CT176" s="415">
        <v>0</v>
      </c>
      <c r="CU176" s="415">
        <v>0</v>
      </c>
      <c r="CV176" s="410">
        <f t="shared" si="72"/>
        <v>1</v>
      </c>
      <c r="CW176" s="415">
        <v>0</v>
      </c>
      <c r="CX176" s="415">
        <v>0</v>
      </c>
      <c r="CY176" s="415">
        <v>0</v>
      </c>
      <c r="CZ176" s="415">
        <v>0</v>
      </c>
      <c r="DA176" s="415">
        <v>0</v>
      </c>
      <c r="DB176" s="415">
        <v>0</v>
      </c>
      <c r="DC176" s="415">
        <v>0</v>
      </c>
      <c r="DD176" s="415">
        <v>0</v>
      </c>
      <c r="DE176" s="415">
        <v>0</v>
      </c>
      <c r="DF176" s="415">
        <v>0</v>
      </c>
      <c r="DG176" s="415">
        <v>0</v>
      </c>
      <c r="DH176" s="415">
        <v>0</v>
      </c>
      <c r="DI176" s="410">
        <f t="shared" si="73"/>
        <v>0</v>
      </c>
      <c r="DJ176" s="415">
        <v>0</v>
      </c>
      <c r="DK176" s="415">
        <v>0</v>
      </c>
      <c r="DL176" s="415">
        <v>0</v>
      </c>
      <c r="DM176" s="415">
        <v>0</v>
      </c>
      <c r="DN176" s="415">
        <v>0</v>
      </c>
      <c r="DO176" s="415">
        <v>0</v>
      </c>
      <c r="DP176" s="415">
        <v>0</v>
      </c>
      <c r="DQ176" s="415">
        <v>0</v>
      </c>
      <c r="DR176" s="415">
        <v>0</v>
      </c>
      <c r="DS176" s="415">
        <v>0</v>
      </c>
      <c r="DT176" s="415">
        <v>0</v>
      </c>
      <c r="DU176" s="415">
        <v>0</v>
      </c>
      <c r="DV176" s="410">
        <f t="shared" si="74"/>
        <v>0</v>
      </c>
      <c r="DW176" s="415">
        <v>0</v>
      </c>
      <c r="DX176" s="415">
        <v>0</v>
      </c>
      <c r="DY176" s="415">
        <v>0</v>
      </c>
      <c r="DZ176" s="415">
        <v>0</v>
      </c>
      <c r="EA176" s="415">
        <v>0</v>
      </c>
      <c r="EB176" s="415">
        <v>0</v>
      </c>
      <c r="EC176" s="415">
        <v>0</v>
      </c>
      <c r="ED176" s="415">
        <v>0</v>
      </c>
      <c r="EE176" s="415">
        <v>0</v>
      </c>
      <c r="EF176" s="415">
        <v>0</v>
      </c>
      <c r="EG176" s="415">
        <v>0</v>
      </c>
      <c r="EH176" s="415">
        <v>0</v>
      </c>
      <c r="EI176" s="410">
        <f t="shared" si="75"/>
        <v>0</v>
      </c>
      <c r="EJ176" s="415">
        <v>0</v>
      </c>
      <c r="EK176" s="415">
        <v>0</v>
      </c>
      <c r="EL176" s="415">
        <v>0</v>
      </c>
      <c r="EM176" s="415">
        <v>0</v>
      </c>
      <c r="EN176" s="415">
        <v>0</v>
      </c>
      <c r="EO176" s="415">
        <v>0</v>
      </c>
      <c r="EP176" s="415">
        <v>0</v>
      </c>
      <c r="EQ176" s="415">
        <v>0</v>
      </c>
      <c r="ER176" s="415">
        <v>0</v>
      </c>
      <c r="ES176" s="415">
        <v>0</v>
      </c>
      <c r="ET176" s="415">
        <v>0</v>
      </c>
      <c r="EU176" s="415">
        <v>0</v>
      </c>
      <c r="EV176" s="410">
        <f t="shared" si="76"/>
        <v>0</v>
      </c>
      <c r="EW176" s="416">
        <f t="shared" si="77"/>
        <v>1</v>
      </c>
      <c r="EX176" s="417">
        <f>IFERROR(VLOOKUP(H176,CEI_012018!$A$1:$U$509,9,FALSE),0)</f>
        <v>0</v>
      </c>
      <c r="EY176" s="417">
        <f>IFERROR(VLOOKUP(H176,CEI_022018!$A$1:$U$509,9,FALSE),0)</f>
        <v>0</v>
      </c>
      <c r="EZ176" s="417">
        <f>IFERROR(VLOOKUP(H176,CEI_032018!$A$1:$U$509,9,FALSE),0)</f>
        <v>0</v>
      </c>
      <c r="FA176" s="417">
        <f>IFERROR(VLOOKUP(H176,CEI_042018!$A$1:$U$491,9,FALSE),0)</f>
        <v>0</v>
      </c>
      <c r="FB176" s="417">
        <f>IFERROR(VLOOKUP(H176,CEI_052018!$A$1:$U$489,9,FALSE),0)</f>
        <v>0</v>
      </c>
      <c r="FC176" s="417">
        <f>IFERROR(VLOOKUP(H176,CEI_062018!$A$1:$U$489,9,FALSE),0)</f>
        <v>0</v>
      </c>
      <c r="FD176" s="417">
        <f>IFERROR(VLOOKUP(H176,CEI_072018!$A$1:$U$489,9,FALSE),0)</f>
        <v>0</v>
      </c>
      <c r="FE176" s="417">
        <f>IFERROR(VLOOKUP(H176,CEI_082018!$A$1:$U$489,9,FALSE),0)</f>
        <v>0</v>
      </c>
      <c r="FF176" s="417">
        <f>IFERROR(VLOOKUP(H176,CEI_092018!$A$1:$U$489,9,FALSE),0)</f>
        <v>0</v>
      </c>
      <c r="FG176" s="417"/>
      <c r="FH176" s="417"/>
      <c r="FI176" s="417"/>
      <c r="FJ176" s="418">
        <f>IFERROR(VLOOKUP(H176,CEI_092018!$A$1:$U$489,12,FALSE),0)</f>
        <v>0</v>
      </c>
      <c r="FK176" s="418">
        <f t="shared" si="70"/>
        <v>0</v>
      </c>
      <c r="FL176" s="418">
        <f t="shared" si="71"/>
        <v>95</v>
      </c>
      <c r="FM176" s="417"/>
      <c r="FN176" s="417"/>
      <c r="FO176" s="417"/>
      <c r="FP176" s="417"/>
      <c r="FQ176" s="417"/>
      <c r="FR176" s="417"/>
      <c r="FS176" s="417"/>
      <c r="FT176" s="417"/>
      <c r="FU176" s="417"/>
      <c r="FV176" s="417"/>
      <c r="FW176" s="417"/>
      <c r="FX176" s="417"/>
      <c r="FY176" s="418"/>
      <c r="FZ176" s="418"/>
      <c r="GA176" s="418"/>
      <c r="GB176" s="417"/>
      <c r="GC176" s="417"/>
      <c r="GD176" s="417"/>
      <c r="GE176" s="417"/>
      <c r="GF176" s="417"/>
      <c r="GG176" s="417"/>
      <c r="GH176" s="417"/>
      <c r="GI176" s="417"/>
      <c r="GJ176" s="417"/>
      <c r="GK176" s="417"/>
      <c r="GL176" s="417"/>
      <c r="GM176" s="417"/>
      <c r="GN176" s="418"/>
      <c r="GO176" s="418"/>
      <c r="GP176" s="418"/>
      <c r="GQ176" s="417"/>
      <c r="GR176" s="417"/>
      <c r="GS176" s="417"/>
      <c r="GT176" s="417"/>
      <c r="GU176" s="417"/>
      <c r="GV176" s="417"/>
      <c r="GW176" s="417"/>
      <c r="GX176" s="417"/>
      <c r="GY176" s="417"/>
      <c r="GZ176" s="417"/>
      <c r="HA176" s="417"/>
      <c r="HB176" s="417"/>
      <c r="HC176" s="418"/>
      <c r="HD176" s="418"/>
      <c r="HE176" s="418"/>
      <c r="HF176" s="417"/>
      <c r="HG176" s="417"/>
      <c r="HH176" s="417"/>
      <c r="HI176" s="417"/>
      <c r="HJ176" s="417"/>
      <c r="HK176" s="417"/>
      <c r="HL176" s="417"/>
      <c r="HM176" s="417"/>
      <c r="HN176" s="417"/>
      <c r="HO176" s="417"/>
      <c r="HP176" s="417"/>
      <c r="HQ176" s="417"/>
      <c r="HR176" s="418"/>
      <c r="HS176" s="418"/>
      <c r="HT176" s="418"/>
    </row>
    <row r="177" spans="1:228" s="387" customFormat="1" ht="12.75" customHeight="1" x14ac:dyDescent="0.2">
      <c r="A177" s="406" t="s">
        <v>55</v>
      </c>
      <c r="B177" s="407" t="s">
        <v>42</v>
      </c>
      <c r="C177" s="406" t="s">
        <v>999</v>
      </c>
      <c r="D177" s="407" t="s">
        <v>1003</v>
      </c>
      <c r="E177" s="407" t="s">
        <v>999</v>
      </c>
      <c r="F177" s="407" t="s">
        <v>1003</v>
      </c>
      <c r="G177" s="406" t="s">
        <v>54</v>
      </c>
      <c r="H177" s="408" t="s">
        <v>520</v>
      </c>
      <c r="I177" s="408" t="s">
        <v>57</v>
      </c>
      <c r="J177" s="406" t="s">
        <v>337</v>
      </c>
      <c r="K177" s="406" t="s">
        <v>338</v>
      </c>
      <c r="L177" s="406" t="s">
        <v>339</v>
      </c>
      <c r="M177" s="406" t="s">
        <v>57</v>
      </c>
      <c r="N177" s="452">
        <v>0</v>
      </c>
      <c r="O177" s="452">
        <v>0</v>
      </c>
      <c r="P177" s="452">
        <v>0</v>
      </c>
      <c r="Q177" s="452">
        <v>0</v>
      </c>
      <c r="R177" s="452">
        <v>0</v>
      </c>
      <c r="S177" s="452">
        <v>0</v>
      </c>
      <c r="T177" s="452">
        <v>0</v>
      </c>
      <c r="U177" s="409">
        <v>0</v>
      </c>
      <c r="V177" s="409">
        <v>0</v>
      </c>
      <c r="W177" s="409">
        <v>0</v>
      </c>
      <c r="X177" s="409">
        <v>0</v>
      </c>
      <c r="Y177" s="409">
        <v>0</v>
      </c>
      <c r="Z177" s="453">
        <f t="shared" si="63"/>
        <v>0</v>
      </c>
      <c r="AA177" s="452">
        <v>0</v>
      </c>
      <c r="AB177" s="452">
        <v>0</v>
      </c>
      <c r="AC177" s="452">
        <v>0</v>
      </c>
      <c r="AD177" s="452">
        <v>0</v>
      </c>
      <c r="AE177" s="452">
        <v>0</v>
      </c>
      <c r="AF177" s="452">
        <v>0</v>
      </c>
      <c r="AG177" s="452">
        <v>0</v>
      </c>
      <c r="AH177" s="409">
        <v>0</v>
      </c>
      <c r="AI177" s="409">
        <v>0</v>
      </c>
      <c r="AJ177" s="409">
        <v>0</v>
      </c>
      <c r="AK177" s="409">
        <v>0</v>
      </c>
      <c r="AL177" s="409">
        <v>0</v>
      </c>
      <c r="AM177" s="453">
        <f t="shared" si="58"/>
        <v>0</v>
      </c>
      <c r="AN177" s="452">
        <v>0</v>
      </c>
      <c r="AO177" s="452">
        <v>0</v>
      </c>
      <c r="AP177" s="452">
        <v>0</v>
      </c>
      <c r="AQ177" s="452">
        <v>0</v>
      </c>
      <c r="AR177" s="452">
        <v>0</v>
      </c>
      <c r="AS177" s="452">
        <v>0</v>
      </c>
      <c r="AT177" s="452">
        <v>0</v>
      </c>
      <c r="AU177" s="409">
        <v>0</v>
      </c>
      <c r="AV177" s="409">
        <v>0</v>
      </c>
      <c r="AW177" s="409">
        <v>0</v>
      </c>
      <c r="AX177" s="409">
        <v>0</v>
      </c>
      <c r="AY177" s="409">
        <v>0</v>
      </c>
      <c r="AZ177" s="453">
        <f t="shared" si="59"/>
        <v>0</v>
      </c>
      <c r="BA177" s="452">
        <v>0</v>
      </c>
      <c r="BB177" s="452">
        <v>0</v>
      </c>
      <c r="BC177" s="452">
        <v>0</v>
      </c>
      <c r="BD177" s="452">
        <v>0</v>
      </c>
      <c r="BE177" s="452">
        <v>0</v>
      </c>
      <c r="BF177" s="452">
        <v>0</v>
      </c>
      <c r="BG177" s="452">
        <v>0</v>
      </c>
      <c r="BH177" s="409">
        <v>0</v>
      </c>
      <c r="BI177" s="409">
        <v>0</v>
      </c>
      <c r="BJ177" s="409">
        <v>0</v>
      </c>
      <c r="BK177" s="409">
        <v>0</v>
      </c>
      <c r="BL177" s="409">
        <v>0</v>
      </c>
      <c r="BM177" s="453">
        <f t="shared" si="60"/>
        <v>0</v>
      </c>
      <c r="BN177" s="452">
        <v>0</v>
      </c>
      <c r="BO177" s="452">
        <v>0</v>
      </c>
      <c r="BP177" s="452">
        <v>0</v>
      </c>
      <c r="BQ177" s="452">
        <v>0</v>
      </c>
      <c r="BR177" s="452">
        <v>0</v>
      </c>
      <c r="BS177" s="452">
        <v>0</v>
      </c>
      <c r="BT177" s="452">
        <v>0</v>
      </c>
      <c r="BU177" s="409">
        <v>0</v>
      </c>
      <c r="BV177" s="409">
        <v>0</v>
      </c>
      <c r="BW177" s="409">
        <v>0</v>
      </c>
      <c r="BX177" s="409">
        <v>0</v>
      </c>
      <c r="BY177" s="409">
        <v>2539.6867243280576</v>
      </c>
      <c r="BZ177" s="453">
        <f t="shared" si="61"/>
        <v>2539.6867243280576</v>
      </c>
      <c r="CA177" s="454">
        <f t="shared" si="62"/>
        <v>2539.6867243280576</v>
      </c>
      <c r="CB177" s="411"/>
      <c r="CC177" s="411"/>
      <c r="CD177" s="411"/>
      <c r="CE177" s="411"/>
      <c r="CF177" s="411"/>
      <c r="CG177" s="412"/>
      <c r="CH177" s="413"/>
      <c r="CI177" s="414" t="s">
        <v>1603</v>
      </c>
      <c r="CJ177" s="415">
        <v>0</v>
      </c>
      <c r="CK177" s="415">
        <v>0</v>
      </c>
      <c r="CL177" s="415">
        <v>0</v>
      </c>
      <c r="CM177" s="415">
        <v>0</v>
      </c>
      <c r="CN177" s="415">
        <v>0</v>
      </c>
      <c r="CO177" s="415">
        <v>0</v>
      </c>
      <c r="CP177" s="415">
        <v>0</v>
      </c>
      <c r="CQ177" s="415">
        <v>0</v>
      </c>
      <c r="CR177" s="415">
        <v>0</v>
      </c>
      <c r="CS177" s="415">
        <v>0</v>
      </c>
      <c r="CT177" s="415">
        <v>0</v>
      </c>
      <c r="CU177" s="415">
        <v>0</v>
      </c>
      <c r="CV177" s="410">
        <f t="shared" si="72"/>
        <v>0</v>
      </c>
      <c r="CW177" s="415">
        <v>0</v>
      </c>
      <c r="CX177" s="415">
        <v>0</v>
      </c>
      <c r="CY177" s="415">
        <v>0</v>
      </c>
      <c r="CZ177" s="415">
        <v>0</v>
      </c>
      <c r="DA177" s="415">
        <v>0</v>
      </c>
      <c r="DB177" s="415">
        <v>0</v>
      </c>
      <c r="DC177" s="415">
        <v>0</v>
      </c>
      <c r="DD177" s="415">
        <v>0</v>
      </c>
      <c r="DE177" s="415">
        <v>0</v>
      </c>
      <c r="DF177" s="415">
        <v>0</v>
      </c>
      <c r="DG177" s="415">
        <v>0</v>
      </c>
      <c r="DH177" s="415">
        <v>0</v>
      </c>
      <c r="DI177" s="410">
        <f t="shared" si="73"/>
        <v>0</v>
      </c>
      <c r="DJ177" s="415">
        <v>0</v>
      </c>
      <c r="DK177" s="415">
        <v>0</v>
      </c>
      <c r="DL177" s="415">
        <v>0</v>
      </c>
      <c r="DM177" s="415">
        <v>0</v>
      </c>
      <c r="DN177" s="415">
        <v>0</v>
      </c>
      <c r="DO177" s="415">
        <v>0</v>
      </c>
      <c r="DP177" s="415">
        <v>0</v>
      </c>
      <c r="DQ177" s="415">
        <v>0</v>
      </c>
      <c r="DR177" s="415">
        <v>0</v>
      </c>
      <c r="DS177" s="415">
        <v>0</v>
      </c>
      <c r="DT177" s="415">
        <v>0</v>
      </c>
      <c r="DU177" s="415">
        <v>0</v>
      </c>
      <c r="DV177" s="410">
        <f t="shared" si="74"/>
        <v>0</v>
      </c>
      <c r="DW177" s="415">
        <v>0</v>
      </c>
      <c r="DX177" s="415">
        <v>0</v>
      </c>
      <c r="DY177" s="415">
        <v>0</v>
      </c>
      <c r="DZ177" s="415">
        <v>0</v>
      </c>
      <c r="EA177" s="415">
        <v>0</v>
      </c>
      <c r="EB177" s="415">
        <v>0</v>
      </c>
      <c r="EC177" s="415">
        <v>0</v>
      </c>
      <c r="ED177" s="415">
        <v>0</v>
      </c>
      <c r="EE177" s="415">
        <v>0</v>
      </c>
      <c r="EF177" s="415">
        <v>0</v>
      </c>
      <c r="EG177" s="415">
        <v>0</v>
      </c>
      <c r="EH177" s="415">
        <v>0</v>
      </c>
      <c r="EI177" s="410">
        <f t="shared" si="75"/>
        <v>0</v>
      </c>
      <c r="EJ177" s="415">
        <v>0</v>
      </c>
      <c r="EK177" s="415">
        <v>0</v>
      </c>
      <c r="EL177" s="415">
        <v>0</v>
      </c>
      <c r="EM177" s="415">
        <v>0</v>
      </c>
      <c r="EN177" s="415">
        <v>0</v>
      </c>
      <c r="EO177" s="415">
        <v>0</v>
      </c>
      <c r="EP177" s="415">
        <v>0</v>
      </c>
      <c r="EQ177" s="415">
        <v>0</v>
      </c>
      <c r="ER177" s="415">
        <v>0</v>
      </c>
      <c r="ES177" s="415">
        <v>0</v>
      </c>
      <c r="ET177" s="415">
        <v>0</v>
      </c>
      <c r="EU177" s="415">
        <v>33.866666666666667</v>
      </c>
      <c r="EV177" s="410">
        <f t="shared" si="76"/>
        <v>33.866666666666667</v>
      </c>
      <c r="EW177" s="416">
        <f t="shared" si="77"/>
        <v>33.866666666666667</v>
      </c>
      <c r="EX177" s="417">
        <f>IFERROR(VLOOKUP(H177,CEI_012018!$A$1:$U$509,9,FALSE),0)</f>
        <v>0</v>
      </c>
      <c r="EY177" s="417">
        <f>IFERROR(VLOOKUP(H177,CEI_022018!$A$1:$U$509,9,FALSE),0)</f>
        <v>0</v>
      </c>
      <c r="EZ177" s="417">
        <f>IFERROR(VLOOKUP(H177,CEI_032018!$A$1:$U$509,9,FALSE),0)</f>
        <v>0</v>
      </c>
      <c r="FA177" s="417">
        <f>IFERROR(VLOOKUP(H177,CEI_042018!$A$1:$U$491,9,FALSE),0)</f>
        <v>0</v>
      </c>
      <c r="FB177" s="417">
        <f>IFERROR(VLOOKUP(H177,CEI_052018!$A$1:$U$489,9,FALSE),0)</f>
        <v>0</v>
      </c>
      <c r="FC177" s="417">
        <f>IFERROR(VLOOKUP(H177,CEI_062018!$A$1:$U$489,9,FALSE),0)</f>
        <v>0</v>
      </c>
      <c r="FD177" s="417">
        <f>IFERROR(VLOOKUP(H177,CEI_072018!$A$1:$U$489,9,FALSE),0)</f>
        <v>0</v>
      </c>
      <c r="FE177" s="417">
        <f>IFERROR(VLOOKUP(H177,CEI_082018!$A$1:$U$489,9,FALSE),0)</f>
        <v>0</v>
      </c>
      <c r="FF177" s="417">
        <f>IFERROR(VLOOKUP(H177,CEI_092018!$A$1:$U$489,9,FALSE),0)</f>
        <v>0</v>
      </c>
      <c r="FG177" s="417"/>
      <c r="FH177" s="417"/>
      <c r="FI177" s="417"/>
      <c r="FJ177" s="418">
        <f>IFERROR(VLOOKUP(H177,CEI_092018!$A$1:$U$489,12,FALSE),0)</f>
        <v>0</v>
      </c>
      <c r="FK177" s="418">
        <f t="shared" si="70"/>
        <v>0</v>
      </c>
      <c r="FL177" s="418">
        <f t="shared" si="71"/>
        <v>0</v>
      </c>
      <c r="FM177" s="417"/>
      <c r="FN177" s="417"/>
      <c r="FO177" s="417"/>
      <c r="FP177" s="417"/>
      <c r="FQ177" s="417"/>
      <c r="FR177" s="417"/>
      <c r="FS177" s="417"/>
      <c r="FT177" s="417"/>
      <c r="FU177" s="417"/>
      <c r="FV177" s="417"/>
      <c r="FW177" s="417"/>
      <c r="FX177" s="417"/>
      <c r="FY177" s="418"/>
      <c r="FZ177" s="418"/>
      <c r="GA177" s="418"/>
      <c r="GB177" s="417"/>
      <c r="GC177" s="417"/>
      <c r="GD177" s="417"/>
      <c r="GE177" s="417"/>
      <c r="GF177" s="417"/>
      <c r="GG177" s="417"/>
      <c r="GH177" s="417"/>
      <c r="GI177" s="417"/>
      <c r="GJ177" s="417"/>
      <c r="GK177" s="417"/>
      <c r="GL177" s="417"/>
      <c r="GM177" s="417"/>
      <c r="GN177" s="418"/>
      <c r="GO177" s="418"/>
      <c r="GP177" s="418"/>
      <c r="GQ177" s="417"/>
      <c r="GR177" s="417"/>
      <c r="GS177" s="417"/>
      <c r="GT177" s="417"/>
      <c r="GU177" s="417"/>
      <c r="GV177" s="417"/>
      <c r="GW177" s="417"/>
      <c r="GX177" s="417"/>
      <c r="GY177" s="417"/>
      <c r="GZ177" s="417"/>
      <c r="HA177" s="417"/>
      <c r="HB177" s="417"/>
      <c r="HC177" s="418"/>
      <c r="HD177" s="418"/>
      <c r="HE177" s="418"/>
      <c r="HF177" s="417"/>
      <c r="HG177" s="417"/>
      <c r="HH177" s="417"/>
      <c r="HI177" s="417"/>
      <c r="HJ177" s="417"/>
      <c r="HK177" s="417"/>
      <c r="HL177" s="417"/>
      <c r="HM177" s="417"/>
      <c r="HN177" s="417"/>
      <c r="HO177" s="417"/>
      <c r="HP177" s="417"/>
      <c r="HQ177" s="417"/>
      <c r="HR177" s="418"/>
      <c r="HS177" s="418"/>
      <c r="HT177" s="418"/>
    </row>
    <row r="178" spans="1:228" s="387" customFormat="1" ht="12.75" customHeight="1" x14ac:dyDescent="0.2">
      <c r="A178" s="406" t="s">
        <v>381</v>
      </c>
      <c r="B178" s="407" t="s">
        <v>44</v>
      </c>
      <c r="C178" s="406" t="s">
        <v>999</v>
      </c>
      <c r="D178" s="407" t="s">
        <v>1003</v>
      </c>
      <c r="E178" s="407" t="s">
        <v>999</v>
      </c>
      <c r="F178" s="407" t="s">
        <v>1003</v>
      </c>
      <c r="G178" s="406" t="s">
        <v>54</v>
      </c>
      <c r="H178" s="408" t="s">
        <v>1421</v>
      </c>
      <c r="I178" s="408" t="s">
        <v>1422</v>
      </c>
      <c r="J178" s="406" t="s">
        <v>1642</v>
      </c>
      <c r="K178" s="406" t="s">
        <v>374</v>
      </c>
      <c r="L178" s="406" t="s">
        <v>57</v>
      </c>
      <c r="M178" s="406" t="s">
        <v>57</v>
      </c>
      <c r="N178" s="452">
        <v>0</v>
      </c>
      <c r="O178" s="452">
        <v>0</v>
      </c>
      <c r="P178" s="452">
        <v>0</v>
      </c>
      <c r="Q178" s="452">
        <v>0</v>
      </c>
      <c r="R178" s="452">
        <v>0</v>
      </c>
      <c r="S178" s="452">
        <v>0</v>
      </c>
      <c r="T178" s="452">
        <v>0</v>
      </c>
      <c r="U178" s="409">
        <v>0</v>
      </c>
      <c r="V178" s="409">
        <v>0</v>
      </c>
      <c r="W178" s="409">
        <v>0</v>
      </c>
      <c r="X178" s="409">
        <v>0</v>
      </c>
      <c r="Y178" s="409">
        <v>75</v>
      </c>
      <c r="Z178" s="453">
        <f t="shared" si="63"/>
        <v>75</v>
      </c>
      <c r="AA178" s="452">
        <v>0</v>
      </c>
      <c r="AB178" s="452">
        <v>0</v>
      </c>
      <c r="AC178" s="452">
        <v>0</v>
      </c>
      <c r="AD178" s="452">
        <v>0</v>
      </c>
      <c r="AE178" s="452">
        <v>0</v>
      </c>
      <c r="AF178" s="452">
        <v>0</v>
      </c>
      <c r="AG178" s="452">
        <v>0</v>
      </c>
      <c r="AH178" s="409">
        <v>0</v>
      </c>
      <c r="AI178" s="409">
        <v>75</v>
      </c>
      <c r="AJ178" s="409">
        <v>0</v>
      </c>
      <c r="AK178" s="409">
        <v>0</v>
      </c>
      <c r="AL178" s="409">
        <v>0</v>
      </c>
      <c r="AM178" s="453">
        <f t="shared" si="58"/>
        <v>75</v>
      </c>
      <c r="AN178" s="452">
        <v>0</v>
      </c>
      <c r="AO178" s="452">
        <v>0</v>
      </c>
      <c r="AP178" s="452">
        <v>0</v>
      </c>
      <c r="AQ178" s="452">
        <v>0</v>
      </c>
      <c r="AR178" s="452">
        <v>0</v>
      </c>
      <c r="AS178" s="452">
        <v>0</v>
      </c>
      <c r="AT178" s="452">
        <v>0</v>
      </c>
      <c r="AU178" s="409">
        <v>0</v>
      </c>
      <c r="AV178" s="409">
        <v>150</v>
      </c>
      <c r="AW178" s="409">
        <v>0</v>
      </c>
      <c r="AX178" s="409">
        <v>0</v>
      </c>
      <c r="AY178" s="409">
        <v>0</v>
      </c>
      <c r="AZ178" s="453">
        <f t="shared" si="59"/>
        <v>150</v>
      </c>
      <c r="BA178" s="452">
        <v>0</v>
      </c>
      <c r="BB178" s="452">
        <v>0</v>
      </c>
      <c r="BC178" s="452">
        <v>0</v>
      </c>
      <c r="BD178" s="452">
        <v>0</v>
      </c>
      <c r="BE178" s="452">
        <v>0</v>
      </c>
      <c r="BF178" s="452">
        <v>0</v>
      </c>
      <c r="BG178" s="452">
        <v>0</v>
      </c>
      <c r="BH178" s="409">
        <v>0</v>
      </c>
      <c r="BI178" s="409">
        <v>150</v>
      </c>
      <c r="BJ178" s="409">
        <v>0</v>
      </c>
      <c r="BK178" s="409">
        <v>0</v>
      </c>
      <c r="BL178" s="409">
        <v>0</v>
      </c>
      <c r="BM178" s="453">
        <f t="shared" si="60"/>
        <v>150</v>
      </c>
      <c r="BN178" s="452">
        <v>0</v>
      </c>
      <c r="BO178" s="452">
        <v>0</v>
      </c>
      <c r="BP178" s="452">
        <v>0</v>
      </c>
      <c r="BQ178" s="452">
        <v>0</v>
      </c>
      <c r="BR178" s="452">
        <v>0</v>
      </c>
      <c r="BS178" s="452">
        <v>0</v>
      </c>
      <c r="BT178" s="452">
        <v>0</v>
      </c>
      <c r="BU178" s="409">
        <v>0</v>
      </c>
      <c r="BV178" s="409">
        <v>0</v>
      </c>
      <c r="BW178" s="409">
        <v>0</v>
      </c>
      <c r="BX178" s="409">
        <v>250</v>
      </c>
      <c r="BY178" s="409">
        <v>0</v>
      </c>
      <c r="BZ178" s="453">
        <f t="shared" si="61"/>
        <v>250</v>
      </c>
      <c r="CA178" s="454">
        <f t="shared" si="62"/>
        <v>700</v>
      </c>
      <c r="CB178" s="419"/>
      <c r="CC178" s="419">
        <v>1</v>
      </c>
      <c r="CD178" s="419">
        <v>1</v>
      </c>
      <c r="CE178" s="419">
        <v>1</v>
      </c>
      <c r="CF178" s="419">
        <v>-1</v>
      </c>
      <c r="CG178" s="420">
        <f>IFERROR((FE178/Z178%),0)</f>
        <v>0</v>
      </c>
      <c r="CH178" s="421">
        <f>IFERROR((FK178/Z178%),0)</f>
        <v>62.997334798177086</v>
      </c>
      <c r="CI178" s="414" t="s">
        <v>1603</v>
      </c>
      <c r="CJ178" s="415">
        <v>0</v>
      </c>
      <c r="CK178" s="415">
        <v>0</v>
      </c>
      <c r="CL178" s="415">
        <v>0</v>
      </c>
      <c r="CM178" s="415">
        <v>0</v>
      </c>
      <c r="CN178" s="415">
        <v>0</v>
      </c>
      <c r="CO178" s="415">
        <v>0</v>
      </c>
      <c r="CP178" s="415">
        <v>0</v>
      </c>
      <c r="CQ178" s="415">
        <v>0</v>
      </c>
      <c r="CR178" s="415">
        <v>0</v>
      </c>
      <c r="CS178" s="415">
        <v>0</v>
      </c>
      <c r="CT178" s="415">
        <v>0</v>
      </c>
      <c r="CU178" s="415">
        <v>11.538461538461538</v>
      </c>
      <c r="CV178" s="410">
        <f t="shared" si="72"/>
        <v>11.538461538461538</v>
      </c>
      <c r="CW178" s="415">
        <v>0</v>
      </c>
      <c r="CX178" s="415">
        <v>0</v>
      </c>
      <c r="CY178" s="415">
        <v>0</v>
      </c>
      <c r="CZ178" s="415">
        <v>0</v>
      </c>
      <c r="DA178" s="415">
        <v>0</v>
      </c>
      <c r="DB178" s="415">
        <v>0</v>
      </c>
      <c r="DC178" s="415">
        <v>0</v>
      </c>
      <c r="DD178" s="415">
        <v>0</v>
      </c>
      <c r="DE178" s="415">
        <v>11.538461538461538</v>
      </c>
      <c r="DF178" s="415">
        <v>0</v>
      </c>
      <c r="DG178" s="415">
        <v>0</v>
      </c>
      <c r="DH178" s="415">
        <v>0</v>
      </c>
      <c r="DI178" s="410">
        <f t="shared" si="73"/>
        <v>11.538461538461538</v>
      </c>
      <c r="DJ178" s="415">
        <v>0</v>
      </c>
      <c r="DK178" s="415">
        <v>0</v>
      </c>
      <c r="DL178" s="415">
        <v>0</v>
      </c>
      <c r="DM178" s="415">
        <v>0</v>
      </c>
      <c r="DN178" s="415">
        <v>0</v>
      </c>
      <c r="DO178" s="415">
        <v>0</v>
      </c>
      <c r="DP178" s="415">
        <v>0</v>
      </c>
      <c r="DQ178" s="415">
        <v>0</v>
      </c>
      <c r="DR178" s="415">
        <v>23.076923076923077</v>
      </c>
      <c r="DS178" s="415">
        <v>0</v>
      </c>
      <c r="DT178" s="415">
        <v>0</v>
      </c>
      <c r="DU178" s="415">
        <v>0</v>
      </c>
      <c r="DV178" s="410">
        <f t="shared" si="74"/>
        <v>23.076923076923077</v>
      </c>
      <c r="DW178" s="415">
        <v>0</v>
      </c>
      <c r="DX178" s="415">
        <v>0</v>
      </c>
      <c r="DY178" s="415">
        <v>0</v>
      </c>
      <c r="DZ178" s="415">
        <v>0</v>
      </c>
      <c r="EA178" s="415">
        <v>0</v>
      </c>
      <c r="EB178" s="415">
        <v>0</v>
      </c>
      <c r="EC178" s="415">
        <v>0</v>
      </c>
      <c r="ED178" s="415">
        <v>0</v>
      </c>
      <c r="EE178" s="415">
        <v>23.076923076923077</v>
      </c>
      <c r="EF178" s="415">
        <v>0</v>
      </c>
      <c r="EG178" s="415">
        <v>0</v>
      </c>
      <c r="EH178" s="415">
        <v>0</v>
      </c>
      <c r="EI178" s="410">
        <f t="shared" si="75"/>
        <v>23.076923076923077</v>
      </c>
      <c r="EJ178" s="415">
        <v>0</v>
      </c>
      <c r="EK178" s="415">
        <v>0</v>
      </c>
      <c r="EL178" s="415">
        <v>0</v>
      </c>
      <c r="EM178" s="415">
        <v>0</v>
      </c>
      <c r="EN178" s="415">
        <v>0</v>
      </c>
      <c r="EO178" s="415">
        <v>0</v>
      </c>
      <c r="EP178" s="415">
        <v>0</v>
      </c>
      <c r="EQ178" s="415">
        <v>0</v>
      </c>
      <c r="ER178" s="415">
        <v>0</v>
      </c>
      <c r="ES178" s="415">
        <v>0</v>
      </c>
      <c r="ET178" s="415">
        <v>38.46153846153846</v>
      </c>
      <c r="EU178" s="415">
        <v>0</v>
      </c>
      <c r="EV178" s="410">
        <f t="shared" si="76"/>
        <v>38.46153846153846</v>
      </c>
      <c r="EW178" s="416">
        <f t="shared" si="77"/>
        <v>107.69230769230768</v>
      </c>
      <c r="EX178" s="417">
        <f>IFERROR(VLOOKUP(H178,CEI_012018!$A$1:$U$509,9,FALSE),0)</f>
        <v>0</v>
      </c>
      <c r="EY178" s="417">
        <f>IFERROR(VLOOKUP(H178,CEI_022018!$A$1:$U$509,9,FALSE),0)</f>
        <v>0</v>
      </c>
      <c r="EZ178" s="417">
        <f>IFERROR(VLOOKUP(H178,CEI_032018!$A$1:$U$509,9,FALSE),0)</f>
        <v>0</v>
      </c>
      <c r="FA178" s="417">
        <f>IFERROR(VLOOKUP(H178,CEI_042018!$A$1:$U$491,9,FALSE),0)</f>
        <v>0</v>
      </c>
      <c r="FB178" s="417">
        <f>IFERROR(VLOOKUP(H178,CEI_052018!$A$1:$U$489,9,FALSE),0)</f>
        <v>0</v>
      </c>
      <c r="FC178" s="417">
        <f>IFERROR(VLOOKUP(H178,CEI_062018!$A$1:$U$489,9,FALSE),0)</f>
        <v>0</v>
      </c>
      <c r="FD178" s="417">
        <f>IFERROR(VLOOKUP(H178,CEI_072018!$A$1:$U$489,9,FALSE),0)</f>
        <v>0</v>
      </c>
      <c r="FE178" s="417">
        <f>IFERROR(VLOOKUP(H178,CEI_082018!$A$1:$U$489,9,FALSE),0)</f>
        <v>0</v>
      </c>
      <c r="FF178" s="417">
        <f>IFERROR(VLOOKUP(H178,CEI_092018!$A$1:$U$489,9,FALSE),0)</f>
        <v>0</v>
      </c>
      <c r="FG178" s="417"/>
      <c r="FH178" s="417"/>
      <c r="FI178" s="417"/>
      <c r="FJ178" s="418">
        <f>IFERROR(VLOOKUP(H178,CEI_092018!$A$1:$U$489,12,FALSE),0)</f>
        <v>47.248001098632812</v>
      </c>
      <c r="FK178" s="418">
        <f t="shared" si="70"/>
        <v>47.248001098632812</v>
      </c>
      <c r="FL178" s="418">
        <f t="shared" si="71"/>
        <v>27.751998901367188</v>
      </c>
      <c r="FM178" s="417"/>
      <c r="FN178" s="417"/>
      <c r="FO178" s="417"/>
      <c r="FP178" s="417"/>
      <c r="FQ178" s="417"/>
      <c r="FR178" s="417"/>
      <c r="FS178" s="417"/>
      <c r="FT178" s="417"/>
      <c r="FU178" s="417"/>
      <c r="FV178" s="417"/>
      <c r="FW178" s="417"/>
      <c r="FX178" s="417"/>
      <c r="FY178" s="418"/>
      <c r="FZ178" s="418"/>
      <c r="GA178" s="418"/>
      <c r="GB178" s="417"/>
      <c r="GC178" s="417"/>
      <c r="GD178" s="417"/>
      <c r="GE178" s="417"/>
      <c r="GF178" s="417"/>
      <c r="GG178" s="417"/>
      <c r="GH178" s="417"/>
      <c r="GI178" s="417"/>
      <c r="GJ178" s="417"/>
      <c r="GK178" s="417"/>
      <c r="GL178" s="417"/>
      <c r="GM178" s="417"/>
      <c r="GN178" s="418"/>
      <c r="GO178" s="418"/>
      <c r="GP178" s="418"/>
      <c r="GQ178" s="417"/>
      <c r="GR178" s="417"/>
      <c r="GS178" s="417"/>
      <c r="GT178" s="417"/>
      <c r="GU178" s="417"/>
      <c r="GV178" s="417"/>
      <c r="GW178" s="417"/>
      <c r="GX178" s="417"/>
      <c r="GY178" s="417"/>
      <c r="GZ178" s="417"/>
      <c r="HA178" s="417"/>
      <c r="HB178" s="417"/>
      <c r="HC178" s="418"/>
      <c r="HD178" s="418"/>
      <c r="HE178" s="418"/>
      <c r="HF178" s="417"/>
      <c r="HG178" s="417"/>
      <c r="HH178" s="417"/>
      <c r="HI178" s="417"/>
      <c r="HJ178" s="417"/>
      <c r="HK178" s="417"/>
      <c r="HL178" s="417"/>
      <c r="HM178" s="417"/>
      <c r="HN178" s="417"/>
      <c r="HO178" s="417"/>
      <c r="HP178" s="417"/>
      <c r="HQ178" s="417"/>
      <c r="HR178" s="418"/>
      <c r="HS178" s="418"/>
      <c r="HT178" s="418"/>
    </row>
    <row r="179" spans="1:228" s="387" customFormat="1" ht="12.75" customHeight="1" x14ac:dyDescent="0.2">
      <c r="A179" s="406" t="s">
        <v>381</v>
      </c>
      <c r="B179" s="407" t="s">
        <v>45</v>
      </c>
      <c r="C179" s="406" t="s">
        <v>999</v>
      </c>
      <c r="D179" s="407" t="s">
        <v>1075</v>
      </c>
      <c r="E179" s="407" t="s">
        <v>999</v>
      </c>
      <c r="F179" s="407" t="s">
        <v>1075</v>
      </c>
      <c r="G179" s="406" t="s">
        <v>54</v>
      </c>
      <c r="H179" s="408" t="s">
        <v>1712</v>
      </c>
      <c r="I179" s="408" t="s">
        <v>1713</v>
      </c>
      <c r="J179" s="406" t="s">
        <v>1635</v>
      </c>
      <c r="K179" s="406" t="s">
        <v>348</v>
      </c>
      <c r="L179" s="406" t="s">
        <v>57</v>
      </c>
      <c r="M179" s="406" t="s">
        <v>1776</v>
      </c>
      <c r="N179" s="452">
        <v>0</v>
      </c>
      <c r="O179" s="452">
        <v>0</v>
      </c>
      <c r="P179" s="452">
        <v>0</v>
      </c>
      <c r="Q179" s="452">
        <v>0</v>
      </c>
      <c r="R179" s="452">
        <v>0</v>
      </c>
      <c r="S179" s="452">
        <v>0</v>
      </c>
      <c r="T179" s="452">
        <v>0</v>
      </c>
      <c r="U179" s="409">
        <v>0</v>
      </c>
      <c r="V179" s="409">
        <v>15</v>
      </c>
      <c r="W179" s="409">
        <v>0</v>
      </c>
      <c r="X179" s="409">
        <v>0</v>
      </c>
      <c r="Y179" s="409"/>
      <c r="Z179" s="453">
        <f t="shared" si="63"/>
        <v>15</v>
      </c>
      <c r="AA179" s="452">
        <v>0</v>
      </c>
      <c r="AB179" s="452">
        <v>0</v>
      </c>
      <c r="AC179" s="452">
        <v>0</v>
      </c>
      <c r="AD179" s="452">
        <v>0</v>
      </c>
      <c r="AE179" s="452">
        <v>0</v>
      </c>
      <c r="AF179" s="452">
        <v>0</v>
      </c>
      <c r="AG179" s="452">
        <v>0</v>
      </c>
      <c r="AH179" s="409">
        <v>15</v>
      </c>
      <c r="AI179" s="409">
        <v>0</v>
      </c>
      <c r="AJ179" s="409">
        <v>0</v>
      </c>
      <c r="AK179" s="409">
        <v>0</v>
      </c>
      <c r="AL179" s="409">
        <v>0</v>
      </c>
      <c r="AM179" s="453">
        <f t="shared" si="58"/>
        <v>15</v>
      </c>
      <c r="AN179" s="452">
        <v>0</v>
      </c>
      <c r="AO179" s="452">
        <v>0</v>
      </c>
      <c r="AP179" s="452">
        <v>0</v>
      </c>
      <c r="AQ179" s="452">
        <v>0</v>
      </c>
      <c r="AR179" s="452">
        <v>0</v>
      </c>
      <c r="AS179" s="452">
        <v>0</v>
      </c>
      <c r="AT179" s="452">
        <v>0</v>
      </c>
      <c r="AU179" s="409">
        <v>15</v>
      </c>
      <c r="AV179" s="409">
        <v>0</v>
      </c>
      <c r="AW179" s="409">
        <v>0</v>
      </c>
      <c r="AX179" s="409">
        <v>0</v>
      </c>
      <c r="AY179" s="409">
        <v>0</v>
      </c>
      <c r="AZ179" s="453">
        <f t="shared" si="59"/>
        <v>15</v>
      </c>
      <c r="BA179" s="452">
        <v>0</v>
      </c>
      <c r="BB179" s="452">
        <v>0</v>
      </c>
      <c r="BC179" s="452">
        <v>0</v>
      </c>
      <c r="BD179" s="452">
        <v>0</v>
      </c>
      <c r="BE179" s="452">
        <v>0</v>
      </c>
      <c r="BF179" s="452">
        <v>0</v>
      </c>
      <c r="BG179" s="452">
        <v>0</v>
      </c>
      <c r="BH179" s="409">
        <v>812</v>
      </c>
      <c r="BI179" s="409">
        <v>0</v>
      </c>
      <c r="BJ179" s="409">
        <v>0</v>
      </c>
      <c r="BK179" s="409">
        <v>0</v>
      </c>
      <c r="BL179" s="409">
        <v>0</v>
      </c>
      <c r="BM179" s="453">
        <f t="shared" si="60"/>
        <v>812</v>
      </c>
      <c r="BN179" s="452">
        <v>0</v>
      </c>
      <c r="BO179" s="452">
        <v>0</v>
      </c>
      <c r="BP179" s="452">
        <v>0</v>
      </c>
      <c r="BQ179" s="452">
        <v>0</v>
      </c>
      <c r="BR179" s="452">
        <v>0</v>
      </c>
      <c r="BS179" s="452">
        <v>0</v>
      </c>
      <c r="BT179" s="452">
        <v>0</v>
      </c>
      <c r="BU179" s="409">
        <v>812</v>
      </c>
      <c r="BV179" s="409">
        <v>0</v>
      </c>
      <c r="BW179" s="409">
        <v>0</v>
      </c>
      <c r="BX179" s="409">
        <v>0</v>
      </c>
      <c r="BY179" s="409">
        <v>0</v>
      </c>
      <c r="BZ179" s="453">
        <f t="shared" si="61"/>
        <v>812</v>
      </c>
      <c r="CA179" s="454">
        <f t="shared" si="62"/>
        <v>1669</v>
      </c>
      <c r="CB179" s="419"/>
      <c r="CC179" s="419">
        <v>1</v>
      </c>
      <c r="CD179" s="419">
        <v>1</v>
      </c>
      <c r="CE179" s="419">
        <v>1</v>
      </c>
      <c r="CF179" s="419">
        <v>-1</v>
      </c>
      <c r="CG179" s="420">
        <f>IFERROR((FE179/Z179%),0)</f>
        <v>0</v>
      </c>
      <c r="CH179" s="421">
        <f>IFERROR((FK179/Z179%),0)</f>
        <v>98.153998057047531</v>
      </c>
      <c r="CI179" s="414" t="s">
        <v>1623</v>
      </c>
      <c r="CJ179" s="415">
        <v>0</v>
      </c>
      <c r="CK179" s="415">
        <v>0</v>
      </c>
      <c r="CL179" s="415">
        <v>0</v>
      </c>
      <c r="CM179" s="415">
        <v>0</v>
      </c>
      <c r="CN179" s="415">
        <v>0</v>
      </c>
      <c r="CO179" s="415">
        <v>0</v>
      </c>
      <c r="CP179" s="415">
        <v>0</v>
      </c>
      <c r="CQ179" s="415">
        <v>1</v>
      </c>
      <c r="CR179" s="415">
        <v>0</v>
      </c>
      <c r="CS179" s="415">
        <v>0</v>
      </c>
      <c r="CT179" s="415">
        <v>0</v>
      </c>
      <c r="CU179" s="415">
        <v>0</v>
      </c>
      <c r="CV179" s="410">
        <f t="shared" si="72"/>
        <v>1</v>
      </c>
      <c r="CW179" s="415">
        <v>0</v>
      </c>
      <c r="CX179" s="415">
        <v>0</v>
      </c>
      <c r="CY179" s="415">
        <v>0</v>
      </c>
      <c r="CZ179" s="415">
        <v>0</v>
      </c>
      <c r="DA179" s="415">
        <v>0</v>
      </c>
      <c r="DB179" s="415">
        <v>0</v>
      </c>
      <c r="DC179" s="415">
        <v>0</v>
      </c>
      <c r="DD179" s="415">
        <v>1</v>
      </c>
      <c r="DE179" s="415">
        <v>0</v>
      </c>
      <c r="DF179" s="415">
        <v>0</v>
      </c>
      <c r="DG179" s="415">
        <v>0</v>
      </c>
      <c r="DH179" s="415">
        <v>0</v>
      </c>
      <c r="DI179" s="410">
        <f t="shared" si="73"/>
        <v>1</v>
      </c>
      <c r="DJ179" s="415">
        <v>0</v>
      </c>
      <c r="DK179" s="415">
        <v>0</v>
      </c>
      <c r="DL179" s="415">
        <v>0</v>
      </c>
      <c r="DM179" s="415">
        <v>0</v>
      </c>
      <c r="DN179" s="415">
        <v>0</v>
      </c>
      <c r="DO179" s="415">
        <v>0</v>
      </c>
      <c r="DP179" s="415">
        <v>0</v>
      </c>
      <c r="DQ179" s="415">
        <v>1</v>
      </c>
      <c r="DR179" s="415">
        <v>0</v>
      </c>
      <c r="DS179" s="415">
        <v>0</v>
      </c>
      <c r="DT179" s="415">
        <v>0</v>
      </c>
      <c r="DU179" s="415">
        <v>0</v>
      </c>
      <c r="DV179" s="410">
        <f t="shared" si="74"/>
        <v>1</v>
      </c>
      <c r="DW179" s="415">
        <v>0</v>
      </c>
      <c r="DX179" s="415">
        <v>0</v>
      </c>
      <c r="DY179" s="415">
        <v>0</v>
      </c>
      <c r="DZ179" s="415">
        <v>0</v>
      </c>
      <c r="EA179" s="415">
        <v>0</v>
      </c>
      <c r="EB179" s="415">
        <v>0</v>
      </c>
      <c r="EC179" s="415">
        <v>0</v>
      </c>
      <c r="ED179" s="415">
        <v>1</v>
      </c>
      <c r="EE179" s="415">
        <v>0</v>
      </c>
      <c r="EF179" s="415">
        <v>0</v>
      </c>
      <c r="EG179" s="415">
        <v>0</v>
      </c>
      <c r="EH179" s="415">
        <v>0</v>
      </c>
      <c r="EI179" s="410">
        <f t="shared" si="75"/>
        <v>1</v>
      </c>
      <c r="EJ179" s="415">
        <v>0</v>
      </c>
      <c r="EK179" s="415">
        <v>0</v>
      </c>
      <c r="EL179" s="415">
        <v>0</v>
      </c>
      <c r="EM179" s="415">
        <v>0</v>
      </c>
      <c r="EN179" s="415">
        <v>0</v>
      </c>
      <c r="EO179" s="415">
        <v>0</v>
      </c>
      <c r="EP179" s="415">
        <v>0</v>
      </c>
      <c r="EQ179" s="415">
        <v>1</v>
      </c>
      <c r="ER179" s="415">
        <v>0</v>
      </c>
      <c r="ES179" s="415">
        <v>0</v>
      </c>
      <c r="ET179" s="415">
        <v>0</v>
      </c>
      <c r="EU179" s="415">
        <v>0</v>
      </c>
      <c r="EV179" s="410">
        <f t="shared" si="76"/>
        <v>1</v>
      </c>
      <c r="EW179" s="416">
        <f t="shared" si="77"/>
        <v>5</v>
      </c>
      <c r="EX179" s="417">
        <f>IFERROR(VLOOKUP(H179,CEI_012018!$A$1:$U$509,9,FALSE),0)</f>
        <v>0</v>
      </c>
      <c r="EY179" s="417">
        <f>IFERROR(VLOOKUP(H179,CEI_022018!$A$1:$U$509,9,FALSE),0)</f>
        <v>0</v>
      </c>
      <c r="EZ179" s="417">
        <f>IFERROR(VLOOKUP(H179,CEI_032018!$A$1:$U$509,9,FALSE),0)</f>
        <v>0</v>
      </c>
      <c r="FA179" s="417">
        <f>IFERROR(VLOOKUP(H179,CEI_042018!$A$1:$U$491,9,FALSE),0)</f>
        <v>0</v>
      </c>
      <c r="FB179" s="417">
        <f>IFERROR(VLOOKUP(H179,CEI_052018!$A$1:$U$489,9,FALSE),0)</f>
        <v>0</v>
      </c>
      <c r="FC179" s="417">
        <f>IFERROR(VLOOKUP(H179,CEI_062018!$A$1:$U$489,9,FALSE),0)</f>
        <v>0</v>
      </c>
      <c r="FD179" s="417">
        <f>IFERROR(VLOOKUP(H179,CEI_072018!$A$1:$U$489,9,FALSE),0)</f>
        <v>0</v>
      </c>
      <c r="FE179" s="417">
        <f>IFERROR(VLOOKUP(H179,CEI_082018!$A$1:$U$489,9,FALSE),0)</f>
        <v>0</v>
      </c>
      <c r="FF179" s="417">
        <f>IFERROR(VLOOKUP(H179,CEI_092018!$A$1:$U$489,9,FALSE),0)</f>
        <v>0</v>
      </c>
      <c r="FG179" s="417"/>
      <c r="FH179" s="417"/>
      <c r="FI179" s="417"/>
      <c r="FJ179" s="418">
        <f>IFERROR(VLOOKUP(H179,CEI_092018!$A$1:$U$489,12,FALSE),0)</f>
        <v>14.723099708557129</v>
      </c>
      <c r="FK179" s="418">
        <f t="shared" si="70"/>
        <v>14.723099708557129</v>
      </c>
      <c r="FL179" s="418">
        <f t="shared" si="71"/>
        <v>0.27690029144287109</v>
      </c>
      <c r="FM179" s="417"/>
      <c r="FN179" s="417"/>
      <c r="FO179" s="417"/>
      <c r="FP179" s="417"/>
      <c r="FQ179" s="417"/>
      <c r="FR179" s="417"/>
      <c r="FS179" s="417"/>
      <c r="FT179" s="417"/>
      <c r="FU179" s="417"/>
      <c r="FV179" s="417"/>
      <c r="FW179" s="417"/>
      <c r="FX179" s="417"/>
      <c r="FY179" s="418"/>
      <c r="FZ179" s="418"/>
      <c r="GA179" s="418"/>
      <c r="GB179" s="417"/>
      <c r="GC179" s="417"/>
      <c r="GD179" s="417"/>
      <c r="GE179" s="417"/>
      <c r="GF179" s="417"/>
      <c r="GG179" s="417"/>
      <c r="GH179" s="417"/>
      <c r="GI179" s="417"/>
      <c r="GJ179" s="417"/>
      <c r="GK179" s="417"/>
      <c r="GL179" s="417"/>
      <c r="GM179" s="417"/>
      <c r="GN179" s="418"/>
      <c r="GO179" s="418"/>
      <c r="GP179" s="418"/>
      <c r="GQ179" s="417"/>
      <c r="GR179" s="417"/>
      <c r="GS179" s="417"/>
      <c r="GT179" s="417"/>
      <c r="GU179" s="417"/>
      <c r="GV179" s="417"/>
      <c r="GW179" s="417"/>
      <c r="GX179" s="417"/>
      <c r="GY179" s="417"/>
      <c r="GZ179" s="417"/>
      <c r="HA179" s="417"/>
      <c r="HB179" s="417"/>
      <c r="HC179" s="418"/>
      <c r="HD179" s="418"/>
      <c r="HE179" s="418"/>
      <c r="HF179" s="417"/>
      <c r="HG179" s="417"/>
      <c r="HH179" s="417"/>
      <c r="HI179" s="417"/>
      <c r="HJ179" s="417"/>
      <c r="HK179" s="417"/>
      <c r="HL179" s="417"/>
      <c r="HM179" s="417"/>
      <c r="HN179" s="417"/>
      <c r="HO179" s="417"/>
      <c r="HP179" s="417"/>
      <c r="HQ179" s="417"/>
      <c r="HR179" s="418"/>
      <c r="HS179" s="418"/>
      <c r="HT179" s="418"/>
    </row>
    <row r="180" spans="1:228" s="387" customFormat="1" ht="12.75" customHeight="1" x14ac:dyDescent="0.2">
      <c r="A180" s="406" t="s">
        <v>52</v>
      </c>
      <c r="B180" s="407" t="s">
        <v>30</v>
      </c>
      <c r="C180" s="406" t="s">
        <v>1001</v>
      </c>
      <c r="D180" s="407" t="s">
        <v>1005</v>
      </c>
      <c r="E180" s="407" t="s">
        <v>56</v>
      </c>
      <c r="F180" s="407" t="s">
        <v>1745</v>
      </c>
      <c r="G180" s="406" t="s">
        <v>54</v>
      </c>
      <c r="H180" s="408" t="s">
        <v>520</v>
      </c>
      <c r="I180" s="408" t="s">
        <v>57</v>
      </c>
      <c r="J180" s="406" t="s">
        <v>1646</v>
      </c>
      <c r="K180" s="406" t="s">
        <v>652</v>
      </c>
      <c r="L180" s="406" t="s">
        <v>57</v>
      </c>
      <c r="M180" s="406" t="s">
        <v>57</v>
      </c>
      <c r="N180" s="452">
        <v>0</v>
      </c>
      <c r="O180" s="452">
        <v>0</v>
      </c>
      <c r="P180" s="452">
        <v>0</v>
      </c>
      <c r="Q180" s="452">
        <v>0</v>
      </c>
      <c r="R180" s="452">
        <v>0</v>
      </c>
      <c r="S180" s="452">
        <v>0</v>
      </c>
      <c r="T180" s="452">
        <v>0</v>
      </c>
      <c r="U180" s="409">
        <v>0</v>
      </c>
      <c r="V180" s="409">
        <v>0</v>
      </c>
      <c r="W180" s="409">
        <v>0</v>
      </c>
      <c r="X180" s="409">
        <v>0</v>
      </c>
      <c r="Y180" s="409">
        <v>0</v>
      </c>
      <c r="Z180" s="453">
        <f t="shared" si="63"/>
        <v>0</v>
      </c>
      <c r="AA180" s="452">
        <v>0</v>
      </c>
      <c r="AB180" s="452">
        <v>0</v>
      </c>
      <c r="AC180" s="452">
        <v>0</v>
      </c>
      <c r="AD180" s="452">
        <v>0</v>
      </c>
      <c r="AE180" s="452">
        <v>0</v>
      </c>
      <c r="AF180" s="452">
        <v>0</v>
      </c>
      <c r="AG180" s="452">
        <v>0</v>
      </c>
      <c r="AH180" s="409">
        <v>0</v>
      </c>
      <c r="AI180" s="409">
        <v>0</v>
      </c>
      <c r="AJ180" s="409">
        <v>0</v>
      </c>
      <c r="AK180" s="409">
        <v>0</v>
      </c>
      <c r="AL180" s="409">
        <v>0</v>
      </c>
      <c r="AM180" s="453">
        <f t="shared" si="58"/>
        <v>0</v>
      </c>
      <c r="AN180" s="452">
        <v>0</v>
      </c>
      <c r="AO180" s="452">
        <v>0</v>
      </c>
      <c r="AP180" s="452">
        <v>0</v>
      </c>
      <c r="AQ180" s="452">
        <v>0</v>
      </c>
      <c r="AR180" s="452">
        <v>0</v>
      </c>
      <c r="AS180" s="452">
        <v>0</v>
      </c>
      <c r="AT180" s="452">
        <v>0</v>
      </c>
      <c r="AU180" s="409">
        <v>0</v>
      </c>
      <c r="AV180" s="409">
        <v>0</v>
      </c>
      <c r="AW180" s="409">
        <v>0</v>
      </c>
      <c r="AX180" s="409">
        <v>0</v>
      </c>
      <c r="AY180" s="409">
        <v>0</v>
      </c>
      <c r="AZ180" s="453">
        <f t="shared" si="59"/>
        <v>0</v>
      </c>
      <c r="BA180" s="452">
        <v>0</v>
      </c>
      <c r="BB180" s="452">
        <v>0</v>
      </c>
      <c r="BC180" s="452">
        <v>0</v>
      </c>
      <c r="BD180" s="452">
        <v>0</v>
      </c>
      <c r="BE180" s="452">
        <v>0</v>
      </c>
      <c r="BF180" s="452">
        <v>0</v>
      </c>
      <c r="BG180" s="452">
        <v>0</v>
      </c>
      <c r="BH180" s="409">
        <v>0</v>
      </c>
      <c r="BI180" s="409">
        <v>0</v>
      </c>
      <c r="BJ180" s="409">
        <v>150</v>
      </c>
      <c r="BK180" s="409">
        <v>0</v>
      </c>
      <c r="BL180" s="409">
        <v>0</v>
      </c>
      <c r="BM180" s="453">
        <f t="shared" si="60"/>
        <v>150</v>
      </c>
      <c r="BN180" s="452">
        <v>0</v>
      </c>
      <c r="BO180" s="452">
        <v>0</v>
      </c>
      <c r="BP180" s="452">
        <v>0</v>
      </c>
      <c r="BQ180" s="452">
        <v>0</v>
      </c>
      <c r="BR180" s="452">
        <v>0</v>
      </c>
      <c r="BS180" s="452">
        <v>0</v>
      </c>
      <c r="BT180" s="452">
        <v>0</v>
      </c>
      <c r="BU180" s="409">
        <v>0</v>
      </c>
      <c r="BV180" s="409">
        <v>0</v>
      </c>
      <c r="BW180" s="409">
        <v>0</v>
      </c>
      <c r="BX180" s="409">
        <v>0</v>
      </c>
      <c r="BY180" s="409">
        <v>0</v>
      </c>
      <c r="BZ180" s="453">
        <f t="shared" si="61"/>
        <v>0</v>
      </c>
      <c r="CA180" s="454">
        <f t="shared" si="62"/>
        <v>150</v>
      </c>
      <c r="CB180" s="411"/>
      <c r="CC180" s="411"/>
      <c r="CD180" s="411"/>
      <c r="CE180" s="411"/>
      <c r="CF180" s="411"/>
      <c r="CG180" s="412"/>
      <c r="CH180" s="413"/>
      <c r="CI180" s="414" t="s">
        <v>1624</v>
      </c>
      <c r="CJ180" s="415">
        <v>0</v>
      </c>
      <c r="CK180" s="415">
        <v>0</v>
      </c>
      <c r="CL180" s="415">
        <v>0</v>
      </c>
      <c r="CM180" s="415">
        <v>0</v>
      </c>
      <c r="CN180" s="415">
        <v>0</v>
      </c>
      <c r="CO180" s="415">
        <v>0</v>
      </c>
      <c r="CP180" s="415">
        <v>0</v>
      </c>
      <c r="CQ180" s="415">
        <v>0</v>
      </c>
      <c r="CR180" s="415">
        <v>0</v>
      </c>
      <c r="CS180" s="415">
        <v>0</v>
      </c>
      <c r="CT180" s="415">
        <v>0</v>
      </c>
      <c r="CU180" s="415">
        <v>0</v>
      </c>
      <c r="CV180" s="410">
        <f t="shared" si="72"/>
        <v>0</v>
      </c>
      <c r="CW180" s="415">
        <v>0</v>
      </c>
      <c r="CX180" s="415">
        <v>0</v>
      </c>
      <c r="CY180" s="415">
        <v>0</v>
      </c>
      <c r="CZ180" s="415">
        <v>0</v>
      </c>
      <c r="DA180" s="415">
        <v>0</v>
      </c>
      <c r="DB180" s="415">
        <v>0</v>
      </c>
      <c r="DC180" s="415">
        <v>10</v>
      </c>
      <c r="DD180" s="415">
        <v>0</v>
      </c>
      <c r="DE180" s="415">
        <v>0</v>
      </c>
      <c r="DF180" s="415">
        <v>0</v>
      </c>
      <c r="DG180" s="415">
        <v>0</v>
      </c>
      <c r="DH180" s="415">
        <v>0</v>
      </c>
      <c r="DI180" s="410">
        <f t="shared" si="73"/>
        <v>10</v>
      </c>
      <c r="DJ180" s="415">
        <v>0</v>
      </c>
      <c r="DK180" s="415">
        <v>0</v>
      </c>
      <c r="DL180" s="415">
        <v>0</v>
      </c>
      <c r="DM180" s="415">
        <v>0</v>
      </c>
      <c r="DN180" s="415">
        <v>0</v>
      </c>
      <c r="DO180" s="415">
        <v>0</v>
      </c>
      <c r="DP180" s="415">
        <v>0</v>
      </c>
      <c r="DQ180" s="415">
        <v>0</v>
      </c>
      <c r="DR180" s="415">
        <v>0</v>
      </c>
      <c r="DS180" s="415">
        <v>0</v>
      </c>
      <c r="DT180" s="415">
        <v>0</v>
      </c>
      <c r="DU180" s="415">
        <v>0</v>
      </c>
      <c r="DV180" s="410">
        <f t="shared" si="74"/>
        <v>0</v>
      </c>
      <c r="DW180" s="415">
        <v>0</v>
      </c>
      <c r="DX180" s="415">
        <v>0</v>
      </c>
      <c r="DY180" s="415">
        <v>0</v>
      </c>
      <c r="DZ180" s="415">
        <v>0</v>
      </c>
      <c r="EA180" s="415">
        <v>0</v>
      </c>
      <c r="EB180" s="415">
        <v>0</v>
      </c>
      <c r="EC180" s="415">
        <v>0</v>
      </c>
      <c r="ED180" s="415">
        <v>0</v>
      </c>
      <c r="EE180" s="415">
        <v>0</v>
      </c>
      <c r="EF180" s="415">
        <v>0</v>
      </c>
      <c r="EG180" s="415">
        <v>0</v>
      </c>
      <c r="EH180" s="415">
        <v>0</v>
      </c>
      <c r="EI180" s="410">
        <f t="shared" si="75"/>
        <v>0</v>
      </c>
      <c r="EJ180" s="415">
        <v>0</v>
      </c>
      <c r="EK180" s="415">
        <v>0</v>
      </c>
      <c r="EL180" s="415">
        <v>0</v>
      </c>
      <c r="EM180" s="415">
        <v>0</v>
      </c>
      <c r="EN180" s="415">
        <v>0</v>
      </c>
      <c r="EO180" s="415">
        <v>0</v>
      </c>
      <c r="EP180" s="415">
        <v>0</v>
      </c>
      <c r="EQ180" s="415">
        <v>0</v>
      </c>
      <c r="ER180" s="415">
        <v>0</v>
      </c>
      <c r="ES180" s="415">
        <v>0</v>
      </c>
      <c r="ET180" s="415">
        <v>0</v>
      </c>
      <c r="EU180" s="415">
        <v>0</v>
      </c>
      <c r="EV180" s="410">
        <f t="shared" si="76"/>
        <v>0</v>
      </c>
      <c r="EW180" s="416">
        <f t="shared" si="77"/>
        <v>10</v>
      </c>
      <c r="EX180" s="417">
        <f>IFERROR(VLOOKUP(H180,CEI_012018!$A$1:$U$509,9,FALSE),0)</f>
        <v>0</v>
      </c>
      <c r="EY180" s="417">
        <f>IFERROR(VLOOKUP(H180,CEI_022018!$A$1:$U$509,9,FALSE),0)</f>
        <v>0</v>
      </c>
      <c r="EZ180" s="417">
        <f>IFERROR(VLOOKUP(H180,CEI_032018!$A$1:$U$509,9,FALSE),0)</f>
        <v>0</v>
      </c>
      <c r="FA180" s="417">
        <f>IFERROR(VLOOKUP(H180,CEI_042018!$A$1:$U$491,9,FALSE),0)</f>
        <v>0</v>
      </c>
      <c r="FB180" s="417">
        <f>IFERROR(VLOOKUP(H180,CEI_052018!$A$1:$U$489,9,FALSE),0)</f>
        <v>0</v>
      </c>
      <c r="FC180" s="417">
        <f>IFERROR(VLOOKUP(H180,CEI_062018!$A$1:$U$489,9,FALSE),0)</f>
        <v>0</v>
      </c>
      <c r="FD180" s="417">
        <f>IFERROR(VLOOKUP(H180,CEI_072018!$A$1:$U$489,9,FALSE),0)</f>
        <v>0</v>
      </c>
      <c r="FE180" s="417">
        <f>IFERROR(VLOOKUP(H180,CEI_082018!$A$1:$U$489,9,FALSE),0)</f>
        <v>0</v>
      </c>
      <c r="FF180" s="417">
        <f>IFERROR(VLOOKUP(H180,CEI_092018!$A$1:$U$489,9,FALSE),0)</f>
        <v>0</v>
      </c>
      <c r="FG180" s="417"/>
      <c r="FH180" s="417"/>
      <c r="FI180" s="417"/>
      <c r="FJ180" s="418">
        <f>IFERROR(VLOOKUP(H180,CEI_092018!$A$1:$U$489,12,FALSE),0)</f>
        <v>0</v>
      </c>
      <c r="FK180" s="418">
        <f t="shared" si="70"/>
        <v>0</v>
      </c>
      <c r="FL180" s="418">
        <f t="shared" si="71"/>
        <v>0</v>
      </c>
      <c r="FM180" s="417"/>
      <c r="FN180" s="417"/>
      <c r="FO180" s="417"/>
      <c r="FP180" s="417"/>
      <c r="FQ180" s="417"/>
      <c r="FR180" s="417"/>
      <c r="FS180" s="417"/>
      <c r="FT180" s="417"/>
      <c r="FU180" s="417"/>
      <c r="FV180" s="417"/>
      <c r="FW180" s="417"/>
      <c r="FX180" s="417"/>
      <c r="FY180" s="418"/>
      <c r="FZ180" s="418"/>
      <c r="GA180" s="418"/>
      <c r="GB180" s="417"/>
      <c r="GC180" s="417"/>
      <c r="GD180" s="417"/>
      <c r="GE180" s="417"/>
      <c r="GF180" s="417"/>
      <c r="GG180" s="417"/>
      <c r="GH180" s="417"/>
      <c r="GI180" s="417"/>
      <c r="GJ180" s="417"/>
      <c r="GK180" s="417"/>
      <c r="GL180" s="417"/>
      <c r="GM180" s="417"/>
      <c r="GN180" s="418"/>
      <c r="GO180" s="418"/>
      <c r="GP180" s="418"/>
      <c r="GQ180" s="417"/>
      <c r="GR180" s="417"/>
      <c r="GS180" s="417"/>
      <c r="GT180" s="417"/>
      <c r="GU180" s="417"/>
      <c r="GV180" s="417"/>
      <c r="GW180" s="417"/>
      <c r="GX180" s="417"/>
      <c r="GY180" s="417"/>
      <c r="GZ180" s="417"/>
      <c r="HA180" s="417"/>
      <c r="HB180" s="417"/>
      <c r="HC180" s="418"/>
      <c r="HD180" s="418"/>
      <c r="HE180" s="418"/>
      <c r="HF180" s="417"/>
      <c r="HG180" s="417"/>
      <c r="HH180" s="417"/>
      <c r="HI180" s="417"/>
      <c r="HJ180" s="417"/>
      <c r="HK180" s="417"/>
      <c r="HL180" s="417"/>
      <c r="HM180" s="417"/>
      <c r="HN180" s="417"/>
      <c r="HO180" s="417"/>
      <c r="HP180" s="417"/>
      <c r="HQ180" s="417"/>
      <c r="HR180" s="418"/>
      <c r="HS180" s="418"/>
      <c r="HT180" s="418"/>
    </row>
    <row r="181" spans="1:228" s="387" customFormat="1" ht="12.75" customHeight="1" x14ac:dyDescent="0.2">
      <c r="A181" s="406" t="s">
        <v>55</v>
      </c>
      <c r="B181" s="407" t="s">
        <v>42</v>
      </c>
      <c r="C181" s="406" t="s">
        <v>1001</v>
      </c>
      <c r="D181" s="407" t="s">
        <v>1005</v>
      </c>
      <c r="E181" s="407" t="s">
        <v>1001</v>
      </c>
      <c r="F181" s="407" t="s">
        <v>1005</v>
      </c>
      <c r="G181" s="406" t="s">
        <v>54</v>
      </c>
      <c r="H181" s="408" t="s">
        <v>520</v>
      </c>
      <c r="I181" s="408" t="s">
        <v>57</v>
      </c>
      <c r="J181" s="406" t="s">
        <v>1647</v>
      </c>
      <c r="K181" s="406" t="s">
        <v>652</v>
      </c>
      <c r="L181" s="406" t="s">
        <v>57</v>
      </c>
      <c r="M181" s="406" t="s">
        <v>57</v>
      </c>
      <c r="N181" s="452">
        <v>0</v>
      </c>
      <c r="O181" s="452">
        <v>0</v>
      </c>
      <c r="P181" s="452">
        <v>0</v>
      </c>
      <c r="Q181" s="452">
        <v>0</v>
      </c>
      <c r="R181" s="452">
        <v>0</v>
      </c>
      <c r="S181" s="452">
        <v>0</v>
      </c>
      <c r="T181" s="452">
        <v>0</v>
      </c>
      <c r="U181" s="409">
        <v>0</v>
      </c>
      <c r="V181" s="409">
        <v>0</v>
      </c>
      <c r="W181" s="409">
        <v>400</v>
      </c>
      <c r="X181" s="409">
        <v>0</v>
      </c>
      <c r="Y181" s="409">
        <v>0</v>
      </c>
      <c r="Z181" s="453">
        <f t="shared" si="63"/>
        <v>400</v>
      </c>
      <c r="AA181" s="452">
        <v>0</v>
      </c>
      <c r="AB181" s="452">
        <v>0</v>
      </c>
      <c r="AC181" s="452">
        <v>0</v>
      </c>
      <c r="AD181" s="452">
        <v>0</v>
      </c>
      <c r="AE181" s="452">
        <v>0</v>
      </c>
      <c r="AF181" s="452">
        <v>0</v>
      </c>
      <c r="AG181" s="452">
        <v>0</v>
      </c>
      <c r="AH181" s="409">
        <v>0</v>
      </c>
      <c r="AI181" s="409">
        <v>0</v>
      </c>
      <c r="AJ181" s="409">
        <v>0</v>
      </c>
      <c r="AK181" s="409">
        <v>0</v>
      </c>
      <c r="AL181" s="409">
        <v>0</v>
      </c>
      <c r="AM181" s="453">
        <f t="shared" si="58"/>
        <v>0</v>
      </c>
      <c r="AN181" s="452">
        <v>0</v>
      </c>
      <c r="AO181" s="452">
        <v>0</v>
      </c>
      <c r="AP181" s="452">
        <v>0</v>
      </c>
      <c r="AQ181" s="452">
        <v>0</v>
      </c>
      <c r="AR181" s="452">
        <v>0</v>
      </c>
      <c r="AS181" s="452">
        <v>0</v>
      </c>
      <c r="AT181" s="452">
        <v>0</v>
      </c>
      <c r="AU181" s="409">
        <v>0</v>
      </c>
      <c r="AV181" s="409">
        <v>0</v>
      </c>
      <c r="AW181" s="409">
        <v>0</v>
      </c>
      <c r="AX181" s="409">
        <v>0</v>
      </c>
      <c r="AY181" s="409">
        <v>0</v>
      </c>
      <c r="AZ181" s="453">
        <f t="shared" si="59"/>
        <v>0</v>
      </c>
      <c r="BA181" s="452">
        <v>0</v>
      </c>
      <c r="BB181" s="452">
        <v>0</v>
      </c>
      <c r="BC181" s="452">
        <v>0</v>
      </c>
      <c r="BD181" s="452">
        <v>0</v>
      </c>
      <c r="BE181" s="452">
        <v>0</v>
      </c>
      <c r="BF181" s="452">
        <v>0</v>
      </c>
      <c r="BG181" s="452">
        <v>0</v>
      </c>
      <c r="BH181" s="409">
        <v>0</v>
      </c>
      <c r="BI181" s="409">
        <v>0</v>
      </c>
      <c r="BJ181" s="409">
        <v>400</v>
      </c>
      <c r="BK181" s="409">
        <v>0</v>
      </c>
      <c r="BL181" s="409">
        <v>0</v>
      </c>
      <c r="BM181" s="453">
        <f t="shared" si="60"/>
        <v>400</v>
      </c>
      <c r="BN181" s="452">
        <v>0</v>
      </c>
      <c r="BO181" s="452">
        <v>0</v>
      </c>
      <c r="BP181" s="452">
        <v>0</v>
      </c>
      <c r="BQ181" s="452">
        <v>0</v>
      </c>
      <c r="BR181" s="452">
        <v>0</v>
      </c>
      <c r="BS181" s="452">
        <v>0</v>
      </c>
      <c r="BT181" s="452">
        <v>0</v>
      </c>
      <c r="BU181" s="409">
        <v>0</v>
      </c>
      <c r="BV181" s="409">
        <v>0</v>
      </c>
      <c r="BW181" s="409">
        <v>0</v>
      </c>
      <c r="BX181" s="409">
        <v>0</v>
      </c>
      <c r="BY181" s="409">
        <v>0</v>
      </c>
      <c r="BZ181" s="453">
        <f t="shared" si="61"/>
        <v>0</v>
      </c>
      <c r="CA181" s="454">
        <f t="shared" si="62"/>
        <v>800</v>
      </c>
      <c r="CB181" s="427"/>
      <c r="CC181" s="427">
        <v>-1</v>
      </c>
      <c r="CD181" s="427">
        <v>-1</v>
      </c>
      <c r="CE181" s="427">
        <v>-1</v>
      </c>
      <c r="CF181" s="427">
        <v>-1</v>
      </c>
      <c r="CG181" s="420">
        <f>IFERROR((FE181/Z181%),0)</f>
        <v>0</v>
      </c>
      <c r="CH181" s="421">
        <f>IFERROR((FK181/Z181%),0)</f>
        <v>0</v>
      </c>
      <c r="CI181" s="414" t="s">
        <v>1624</v>
      </c>
      <c r="CJ181" s="415">
        <v>0</v>
      </c>
      <c r="CK181" s="415">
        <v>0</v>
      </c>
      <c r="CL181" s="415">
        <v>0</v>
      </c>
      <c r="CM181" s="415">
        <v>0</v>
      </c>
      <c r="CN181" s="415">
        <v>0</v>
      </c>
      <c r="CO181" s="415">
        <v>0</v>
      </c>
      <c r="CP181" s="415">
        <v>0</v>
      </c>
      <c r="CQ181" s="415">
        <v>0</v>
      </c>
      <c r="CR181" s="415">
        <v>0</v>
      </c>
      <c r="CS181" s="415">
        <v>0</v>
      </c>
      <c r="CT181" s="415">
        <v>0</v>
      </c>
      <c r="CU181" s="415">
        <v>0</v>
      </c>
      <c r="CV181" s="410">
        <f t="shared" si="72"/>
        <v>0</v>
      </c>
      <c r="CW181" s="415">
        <v>0</v>
      </c>
      <c r="CX181" s="415">
        <v>0</v>
      </c>
      <c r="CY181" s="415">
        <v>0</v>
      </c>
      <c r="CZ181" s="415">
        <v>0</v>
      </c>
      <c r="DA181" s="415">
        <v>0</v>
      </c>
      <c r="DB181" s="415">
        <v>0</v>
      </c>
      <c r="DC181" s="415">
        <v>34.99562554680665</v>
      </c>
      <c r="DD181" s="415">
        <v>0</v>
      </c>
      <c r="DE181" s="415">
        <v>0</v>
      </c>
      <c r="DF181" s="415">
        <v>0</v>
      </c>
      <c r="DG181" s="415">
        <v>0</v>
      </c>
      <c r="DH181" s="415">
        <v>0</v>
      </c>
      <c r="DI181" s="410">
        <f t="shared" si="73"/>
        <v>34.99562554680665</v>
      </c>
      <c r="DJ181" s="415">
        <v>0</v>
      </c>
      <c r="DK181" s="415">
        <v>0</v>
      </c>
      <c r="DL181" s="415">
        <v>0</v>
      </c>
      <c r="DM181" s="415">
        <v>0</v>
      </c>
      <c r="DN181" s="415">
        <v>0</v>
      </c>
      <c r="DO181" s="415">
        <v>0</v>
      </c>
      <c r="DP181" s="415">
        <v>0</v>
      </c>
      <c r="DQ181" s="415">
        <v>0</v>
      </c>
      <c r="DR181" s="415">
        <v>0</v>
      </c>
      <c r="DS181" s="415">
        <v>0</v>
      </c>
      <c r="DT181" s="415">
        <v>0</v>
      </c>
      <c r="DU181" s="415">
        <v>0</v>
      </c>
      <c r="DV181" s="410">
        <f t="shared" si="74"/>
        <v>0</v>
      </c>
      <c r="DW181" s="415">
        <v>0</v>
      </c>
      <c r="DX181" s="415">
        <v>0</v>
      </c>
      <c r="DY181" s="415">
        <v>0</v>
      </c>
      <c r="DZ181" s="415">
        <v>0</v>
      </c>
      <c r="EA181" s="415">
        <v>0</v>
      </c>
      <c r="EB181" s="415">
        <v>0</v>
      </c>
      <c r="EC181" s="415">
        <v>0</v>
      </c>
      <c r="ED181" s="415">
        <v>0</v>
      </c>
      <c r="EE181" s="415">
        <v>0</v>
      </c>
      <c r="EF181" s="415">
        <v>0</v>
      </c>
      <c r="EG181" s="415">
        <v>0</v>
      </c>
      <c r="EH181" s="415">
        <v>0</v>
      </c>
      <c r="EI181" s="410">
        <f t="shared" si="75"/>
        <v>0</v>
      </c>
      <c r="EJ181" s="415">
        <v>0</v>
      </c>
      <c r="EK181" s="415">
        <v>0</v>
      </c>
      <c r="EL181" s="415">
        <v>0</v>
      </c>
      <c r="EM181" s="415">
        <v>0</v>
      </c>
      <c r="EN181" s="415">
        <v>0</v>
      </c>
      <c r="EO181" s="415">
        <v>0</v>
      </c>
      <c r="EP181" s="415">
        <v>0</v>
      </c>
      <c r="EQ181" s="415">
        <v>0</v>
      </c>
      <c r="ER181" s="415">
        <v>0</v>
      </c>
      <c r="ES181" s="415">
        <v>0</v>
      </c>
      <c r="ET181" s="415">
        <v>0</v>
      </c>
      <c r="EU181" s="415">
        <v>0</v>
      </c>
      <c r="EV181" s="410">
        <f t="shared" si="76"/>
        <v>0</v>
      </c>
      <c r="EW181" s="416">
        <f t="shared" si="77"/>
        <v>34.99562554680665</v>
      </c>
      <c r="EX181" s="417">
        <f>IFERROR(VLOOKUP(H181,CEI_012018!$A$1:$U$509,9,FALSE),0)</f>
        <v>0</v>
      </c>
      <c r="EY181" s="417">
        <f>IFERROR(VLOOKUP(H181,CEI_022018!$A$1:$U$509,9,FALSE),0)</f>
        <v>0</v>
      </c>
      <c r="EZ181" s="417">
        <f>IFERROR(VLOOKUP(H181,CEI_032018!$A$1:$U$509,9,FALSE),0)</f>
        <v>0</v>
      </c>
      <c r="FA181" s="417">
        <f>IFERROR(VLOOKUP(H181,CEI_042018!$A$1:$U$491,9,FALSE),0)</f>
        <v>0</v>
      </c>
      <c r="FB181" s="417">
        <f>IFERROR(VLOOKUP(H181,CEI_052018!$A$1:$U$489,9,FALSE),0)</f>
        <v>0</v>
      </c>
      <c r="FC181" s="417">
        <f>IFERROR(VLOOKUP(H181,CEI_062018!$A$1:$U$489,9,FALSE),0)</f>
        <v>0</v>
      </c>
      <c r="FD181" s="417">
        <f>IFERROR(VLOOKUP(H181,CEI_072018!$A$1:$U$489,9,FALSE),0)</f>
        <v>0</v>
      </c>
      <c r="FE181" s="417">
        <f>IFERROR(VLOOKUP(H181,CEI_082018!$A$1:$U$489,9,FALSE),0)</f>
        <v>0</v>
      </c>
      <c r="FF181" s="417">
        <f>IFERROR(VLOOKUP(H181,CEI_092018!$A$1:$U$489,9,FALSE),0)</f>
        <v>0</v>
      </c>
      <c r="FG181" s="417"/>
      <c r="FH181" s="417"/>
      <c r="FI181" s="417"/>
      <c r="FJ181" s="418">
        <f>IFERROR(VLOOKUP(H181,CEI_092018!$A$1:$U$489,12,FALSE),0)</f>
        <v>0</v>
      </c>
      <c r="FK181" s="418">
        <f t="shared" si="70"/>
        <v>0</v>
      </c>
      <c r="FL181" s="418">
        <f t="shared" si="71"/>
        <v>400</v>
      </c>
      <c r="FM181" s="417"/>
      <c r="FN181" s="417"/>
      <c r="FO181" s="417"/>
      <c r="FP181" s="417"/>
      <c r="FQ181" s="417"/>
      <c r="FR181" s="417"/>
      <c r="FS181" s="417"/>
      <c r="FT181" s="417"/>
      <c r="FU181" s="417"/>
      <c r="FV181" s="417"/>
      <c r="FW181" s="417"/>
      <c r="FX181" s="417"/>
      <c r="FY181" s="418"/>
      <c r="FZ181" s="418"/>
      <c r="GA181" s="418"/>
      <c r="GB181" s="417"/>
      <c r="GC181" s="417"/>
      <c r="GD181" s="417"/>
      <c r="GE181" s="417"/>
      <c r="GF181" s="417"/>
      <c r="GG181" s="417"/>
      <c r="GH181" s="417"/>
      <c r="GI181" s="417"/>
      <c r="GJ181" s="417"/>
      <c r="GK181" s="417"/>
      <c r="GL181" s="417"/>
      <c r="GM181" s="417"/>
      <c r="GN181" s="418"/>
      <c r="GO181" s="418"/>
      <c r="GP181" s="418"/>
      <c r="GQ181" s="417"/>
      <c r="GR181" s="417"/>
      <c r="GS181" s="417"/>
      <c r="GT181" s="417"/>
      <c r="GU181" s="417"/>
      <c r="GV181" s="417"/>
      <c r="GW181" s="417"/>
      <c r="GX181" s="417"/>
      <c r="GY181" s="417"/>
      <c r="GZ181" s="417"/>
      <c r="HA181" s="417"/>
      <c r="HB181" s="417"/>
      <c r="HC181" s="418"/>
      <c r="HD181" s="418"/>
      <c r="HE181" s="418"/>
      <c r="HF181" s="417"/>
      <c r="HG181" s="417"/>
      <c r="HH181" s="417"/>
      <c r="HI181" s="417"/>
      <c r="HJ181" s="417"/>
      <c r="HK181" s="417"/>
      <c r="HL181" s="417"/>
      <c r="HM181" s="417"/>
      <c r="HN181" s="417"/>
      <c r="HO181" s="417"/>
      <c r="HP181" s="417"/>
      <c r="HQ181" s="417"/>
      <c r="HR181" s="418"/>
      <c r="HS181" s="418"/>
      <c r="HT181" s="418"/>
    </row>
    <row r="182" spans="1:228" s="387" customFormat="1" ht="12.75" customHeight="1" x14ac:dyDescent="0.2">
      <c r="A182" s="406" t="s">
        <v>55</v>
      </c>
      <c r="B182" s="407" t="s">
        <v>42</v>
      </c>
      <c r="C182" s="406" t="s">
        <v>1001</v>
      </c>
      <c r="D182" s="407" t="s">
        <v>1005</v>
      </c>
      <c r="E182" s="407" t="s">
        <v>1001</v>
      </c>
      <c r="F182" s="407" t="s">
        <v>1005</v>
      </c>
      <c r="G182" s="406" t="s">
        <v>54</v>
      </c>
      <c r="H182" s="408" t="s">
        <v>1547</v>
      </c>
      <c r="I182" s="408" t="s">
        <v>1549</v>
      </c>
      <c r="J182" s="406" t="s">
        <v>1612</v>
      </c>
      <c r="K182" s="406" t="s">
        <v>1613</v>
      </c>
      <c r="L182" s="406" t="s">
        <v>1619</v>
      </c>
      <c r="M182" s="406" t="s">
        <v>1779</v>
      </c>
      <c r="N182" s="452">
        <v>0</v>
      </c>
      <c r="O182" s="452">
        <v>0</v>
      </c>
      <c r="P182" s="452">
        <v>0</v>
      </c>
      <c r="Q182" s="452">
        <v>0</v>
      </c>
      <c r="R182" s="452">
        <v>0</v>
      </c>
      <c r="S182" s="452">
        <v>0</v>
      </c>
      <c r="T182" s="452">
        <v>800</v>
      </c>
      <c r="U182" s="409">
        <v>0</v>
      </c>
      <c r="V182" s="409">
        <v>0</v>
      </c>
      <c r="W182" s="409">
        <v>0</v>
      </c>
      <c r="X182" s="409">
        <v>0</v>
      </c>
      <c r="Y182" s="409">
        <v>0</v>
      </c>
      <c r="Z182" s="453">
        <f t="shared" si="63"/>
        <v>800</v>
      </c>
      <c r="AA182" s="452">
        <v>0</v>
      </c>
      <c r="AB182" s="452">
        <v>0</v>
      </c>
      <c r="AC182" s="452">
        <v>0</v>
      </c>
      <c r="AD182" s="452">
        <v>0</v>
      </c>
      <c r="AE182" s="452">
        <v>0</v>
      </c>
      <c r="AF182" s="452">
        <v>0</v>
      </c>
      <c r="AG182" s="452">
        <v>0</v>
      </c>
      <c r="AH182" s="409">
        <v>0</v>
      </c>
      <c r="AI182" s="409">
        <v>0</v>
      </c>
      <c r="AJ182" s="409">
        <v>0</v>
      </c>
      <c r="AK182" s="409">
        <v>0</v>
      </c>
      <c r="AL182" s="409">
        <v>0</v>
      </c>
      <c r="AM182" s="453">
        <f t="shared" si="58"/>
        <v>0</v>
      </c>
      <c r="AN182" s="452">
        <v>0</v>
      </c>
      <c r="AO182" s="452">
        <v>0</v>
      </c>
      <c r="AP182" s="452">
        <v>0</v>
      </c>
      <c r="AQ182" s="452">
        <v>0</v>
      </c>
      <c r="AR182" s="452">
        <v>0</v>
      </c>
      <c r="AS182" s="452">
        <v>0</v>
      </c>
      <c r="AT182" s="452">
        <v>0</v>
      </c>
      <c r="AU182" s="409">
        <v>0</v>
      </c>
      <c r="AV182" s="409">
        <v>0</v>
      </c>
      <c r="AW182" s="409">
        <v>0</v>
      </c>
      <c r="AX182" s="409">
        <v>0</v>
      </c>
      <c r="AY182" s="409">
        <v>0</v>
      </c>
      <c r="AZ182" s="453">
        <f t="shared" si="59"/>
        <v>0</v>
      </c>
      <c r="BA182" s="452">
        <v>0</v>
      </c>
      <c r="BB182" s="452">
        <v>0</v>
      </c>
      <c r="BC182" s="452">
        <v>0</v>
      </c>
      <c r="BD182" s="452">
        <v>0</v>
      </c>
      <c r="BE182" s="452">
        <v>0</v>
      </c>
      <c r="BF182" s="452">
        <v>0</v>
      </c>
      <c r="BG182" s="452">
        <v>0</v>
      </c>
      <c r="BH182" s="409">
        <v>0</v>
      </c>
      <c r="BI182" s="409">
        <v>0</v>
      </c>
      <c r="BJ182" s="409">
        <v>0</v>
      </c>
      <c r="BK182" s="409">
        <v>0</v>
      </c>
      <c r="BL182" s="409">
        <v>0</v>
      </c>
      <c r="BM182" s="453">
        <f t="shared" si="60"/>
        <v>0</v>
      </c>
      <c r="BN182" s="452"/>
      <c r="BO182" s="452"/>
      <c r="BP182" s="452"/>
      <c r="BQ182" s="452"/>
      <c r="BR182" s="452"/>
      <c r="BS182" s="452"/>
      <c r="BT182" s="452"/>
      <c r="BU182" s="409"/>
      <c r="BV182" s="409"/>
      <c r="BW182" s="409"/>
      <c r="BX182" s="409"/>
      <c r="BY182" s="409"/>
      <c r="BZ182" s="453">
        <f t="shared" si="61"/>
        <v>0</v>
      </c>
      <c r="CA182" s="454">
        <f t="shared" si="62"/>
        <v>800</v>
      </c>
      <c r="CB182" s="419"/>
      <c r="CC182" s="419">
        <v>1</v>
      </c>
      <c r="CD182" s="419">
        <v>1</v>
      </c>
      <c r="CE182" s="419">
        <v>1</v>
      </c>
      <c r="CF182" s="419">
        <v>1</v>
      </c>
      <c r="CG182" s="420">
        <f>IFERROR((FE182/Z182%),0)</f>
        <v>100</v>
      </c>
      <c r="CH182" s="421">
        <f>IFERROR((FK182/Z182%),0)</f>
        <v>100</v>
      </c>
      <c r="CI182" s="414" t="s">
        <v>1623</v>
      </c>
      <c r="CJ182" s="415">
        <v>0</v>
      </c>
      <c r="CK182" s="415">
        <v>0</v>
      </c>
      <c r="CL182" s="415">
        <v>0</v>
      </c>
      <c r="CM182" s="415">
        <v>0</v>
      </c>
      <c r="CN182" s="415">
        <v>0</v>
      </c>
      <c r="CO182" s="415">
        <v>0</v>
      </c>
      <c r="CP182" s="415">
        <v>1</v>
      </c>
      <c r="CQ182" s="415">
        <v>0</v>
      </c>
      <c r="CR182" s="415">
        <v>0</v>
      </c>
      <c r="CS182" s="415">
        <v>0</v>
      </c>
      <c r="CT182" s="415">
        <v>0</v>
      </c>
      <c r="CU182" s="415">
        <v>0</v>
      </c>
      <c r="CV182" s="410">
        <f t="shared" si="72"/>
        <v>1</v>
      </c>
      <c r="CW182" s="415">
        <v>0</v>
      </c>
      <c r="CX182" s="415">
        <v>0</v>
      </c>
      <c r="CY182" s="415">
        <v>0</v>
      </c>
      <c r="CZ182" s="415">
        <v>0</v>
      </c>
      <c r="DA182" s="415">
        <v>0</v>
      </c>
      <c r="DB182" s="415">
        <v>0</v>
      </c>
      <c r="DC182" s="415">
        <v>0</v>
      </c>
      <c r="DD182" s="415">
        <v>0</v>
      </c>
      <c r="DE182" s="415">
        <v>0</v>
      </c>
      <c r="DF182" s="415">
        <v>0</v>
      </c>
      <c r="DG182" s="415">
        <v>0</v>
      </c>
      <c r="DH182" s="415">
        <v>0</v>
      </c>
      <c r="DI182" s="410">
        <f t="shared" si="73"/>
        <v>0</v>
      </c>
      <c r="DJ182" s="415">
        <v>0</v>
      </c>
      <c r="DK182" s="415">
        <v>0</v>
      </c>
      <c r="DL182" s="415">
        <v>0</v>
      </c>
      <c r="DM182" s="415">
        <v>0</v>
      </c>
      <c r="DN182" s="415">
        <v>0</v>
      </c>
      <c r="DO182" s="415">
        <v>0</v>
      </c>
      <c r="DP182" s="415">
        <v>0</v>
      </c>
      <c r="DQ182" s="415">
        <v>0</v>
      </c>
      <c r="DR182" s="415">
        <v>0</v>
      </c>
      <c r="DS182" s="415">
        <v>0</v>
      </c>
      <c r="DT182" s="415">
        <v>0</v>
      </c>
      <c r="DU182" s="415">
        <v>0</v>
      </c>
      <c r="DV182" s="410">
        <f t="shared" si="74"/>
        <v>0</v>
      </c>
      <c r="DW182" s="415">
        <v>0</v>
      </c>
      <c r="DX182" s="415">
        <v>0</v>
      </c>
      <c r="DY182" s="415">
        <v>0</v>
      </c>
      <c r="DZ182" s="415">
        <v>0</v>
      </c>
      <c r="EA182" s="415">
        <v>0</v>
      </c>
      <c r="EB182" s="415">
        <v>0</v>
      </c>
      <c r="EC182" s="415">
        <v>0</v>
      </c>
      <c r="ED182" s="415">
        <v>0</v>
      </c>
      <c r="EE182" s="415">
        <v>0</v>
      </c>
      <c r="EF182" s="415">
        <v>0</v>
      </c>
      <c r="EG182" s="415">
        <v>0</v>
      </c>
      <c r="EH182" s="415">
        <v>0</v>
      </c>
      <c r="EI182" s="410">
        <f t="shared" si="75"/>
        <v>0</v>
      </c>
      <c r="EJ182" s="415">
        <v>0</v>
      </c>
      <c r="EK182" s="415">
        <v>0</v>
      </c>
      <c r="EL182" s="415">
        <v>0</v>
      </c>
      <c r="EM182" s="415">
        <v>0</v>
      </c>
      <c r="EN182" s="415">
        <v>0</v>
      </c>
      <c r="EO182" s="415">
        <v>0</v>
      </c>
      <c r="EP182" s="415">
        <v>0</v>
      </c>
      <c r="EQ182" s="415">
        <v>0</v>
      </c>
      <c r="ER182" s="415">
        <v>0</v>
      </c>
      <c r="ES182" s="415">
        <v>0</v>
      </c>
      <c r="ET182" s="415">
        <v>0</v>
      </c>
      <c r="EU182" s="415">
        <v>0</v>
      </c>
      <c r="EV182" s="410">
        <f t="shared" si="76"/>
        <v>0</v>
      </c>
      <c r="EW182" s="416">
        <f t="shared" si="77"/>
        <v>1</v>
      </c>
      <c r="EX182" s="417">
        <f>IFERROR(VLOOKUP(H182,CEI_012018!$A$1:$U$509,9,FALSE),0)</f>
        <v>0</v>
      </c>
      <c r="EY182" s="417">
        <f>IFERROR(VLOOKUP(H182,CEI_022018!$A$1:$U$509,9,FALSE),0)</f>
        <v>0</v>
      </c>
      <c r="EZ182" s="417">
        <f>IFERROR(VLOOKUP(H182,CEI_032018!$A$1:$U$509,9,FALSE),0)</f>
        <v>0</v>
      </c>
      <c r="FA182" s="417">
        <f>IFERROR(VLOOKUP(H182,CEI_042018!$A$1:$U$491,9,FALSE),0)</f>
        <v>0</v>
      </c>
      <c r="FB182" s="417">
        <f>IFERROR(VLOOKUP(H182,CEI_052018!$A$1:$U$489,9,FALSE),0)</f>
        <v>0</v>
      </c>
      <c r="FC182" s="417">
        <f>IFERROR(VLOOKUP(H182,CEI_062018!$A$1:$U$489,9,FALSE),0)</f>
        <v>0</v>
      </c>
      <c r="FD182" s="417">
        <f>IFERROR(VLOOKUP(H182,CEI_072018!$A$1:$U$489,9,FALSE),0)</f>
        <v>800</v>
      </c>
      <c r="FE182" s="417">
        <f>IFERROR(VLOOKUP(H182,CEI_082018!$A$1:$U$489,9,FALSE),0)</f>
        <v>800</v>
      </c>
      <c r="FF182" s="417">
        <f>IFERROR(VLOOKUP(H182,CEI_092018!$A$1:$U$489,9,FALSE),0)</f>
        <v>800</v>
      </c>
      <c r="FG182" s="417"/>
      <c r="FH182" s="417"/>
      <c r="FI182" s="417"/>
      <c r="FJ182" s="418">
        <f>IFERROR(VLOOKUP(H182,CEI_092018!$A$1:$U$489,12,FALSE),0)</f>
        <v>0</v>
      </c>
      <c r="FK182" s="418">
        <f t="shared" si="70"/>
        <v>800</v>
      </c>
      <c r="FL182" s="418">
        <f t="shared" si="71"/>
        <v>0</v>
      </c>
      <c r="FM182" s="417"/>
      <c r="FN182" s="417"/>
      <c r="FO182" s="417"/>
      <c r="FP182" s="417"/>
      <c r="FQ182" s="417"/>
      <c r="FR182" s="417"/>
      <c r="FS182" s="417"/>
      <c r="FT182" s="417"/>
      <c r="FU182" s="417"/>
      <c r="FV182" s="417"/>
      <c r="FW182" s="417"/>
      <c r="FX182" s="417"/>
      <c r="FY182" s="418"/>
      <c r="FZ182" s="418"/>
      <c r="GA182" s="418"/>
      <c r="GB182" s="417"/>
      <c r="GC182" s="417"/>
      <c r="GD182" s="417"/>
      <c r="GE182" s="417"/>
      <c r="GF182" s="417"/>
      <c r="GG182" s="417"/>
      <c r="GH182" s="417"/>
      <c r="GI182" s="417"/>
      <c r="GJ182" s="417"/>
      <c r="GK182" s="417"/>
      <c r="GL182" s="417"/>
      <c r="GM182" s="417"/>
      <c r="GN182" s="418"/>
      <c r="GO182" s="418"/>
      <c r="GP182" s="418"/>
      <c r="GQ182" s="417"/>
      <c r="GR182" s="417"/>
      <c r="GS182" s="417"/>
      <c r="GT182" s="417"/>
      <c r="GU182" s="417"/>
      <c r="GV182" s="417"/>
      <c r="GW182" s="417"/>
      <c r="GX182" s="417"/>
      <c r="GY182" s="417"/>
      <c r="GZ182" s="417"/>
      <c r="HA182" s="417"/>
      <c r="HB182" s="417"/>
      <c r="HC182" s="418"/>
      <c r="HD182" s="418"/>
      <c r="HE182" s="418"/>
      <c r="HF182" s="417"/>
      <c r="HG182" s="417"/>
      <c r="HH182" s="417"/>
      <c r="HI182" s="417"/>
      <c r="HJ182" s="417"/>
      <c r="HK182" s="417"/>
      <c r="HL182" s="417"/>
      <c r="HM182" s="417"/>
      <c r="HN182" s="417"/>
      <c r="HO182" s="417"/>
      <c r="HP182" s="417"/>
      <c r="HQ182" s="417"/>
      <c r="HR182" s="418"/>
      <c r="HS182" s="418"/>
      <c r="HT182" s="418"/>
    </row>
    <row r="183" spans="1:228" s="387" customFormat="1" ht="12.75" customHeight="1" x14ac:dyDescent="0.2">
      <c r="A183" s="406" t="s">
        <v>55</v>
      </c>
      <c r="B183" s="407" t="s">
        <v>42</v>
      </c>
      <c r="C183" s="406" t="s">
        <v>1001</v>
      </c>
      <c r="D183" s="407" t="s">
        <v>1008</v>
      </c>
      <c r="E183" s="407" t="s">
        <v>1001</v>
      </c>
      <c r="F183" s="407" t="s">
        <v>1008</v>
      </c>
      <c r="G183" s="406" t="s">
        <v>54</v>
      </c>
      <c r="H183" s="408" t="s">
        <v>520</v>
      </c>
      <c r="I183" s="408" t="s">
        <v>57</v>
      </c>
      <c r="J183" s="406" t="s">
        <v>300</v>
      </c>
      <c r="K183" s="406" t="s">
        <v>300</v>
      </c>
      <c r="L183" s="406" t="s">
        <v>695</v>
      </c>
      <c r="M183" s="406" t="s">
        <v>57</v>
      </c>
      <c r="N183" s="452">
        <v>0</v>
      </c>
      <c r="O183" s="452">
        <v>0</v>
      </c>
      <c r="P183" s="452">
        <v>0</v>
      </c>
      <c r="Q183" s="452">
        <v>0</v>
      </c>
      <c r="R183" s="452">
        <v>0</v>
      </c>
      <c r="S183" s="452">
        <v>0</v>
      </c>
      <c r="T183" s="452">
        <v>0</v>
      </c>
      <c r="U183" s="409">
        <v>0</v>
      </c>
      <c r="V183" s="409">
        <v>0</v>
      </c>
      <c r="W183" s="409">
        <v>0</v>
      </c>
      <c r="X183" s="409">
        <v>0</v>
      </c>
      <c r="Y183" s="409">
        <v>0</v>
      </c>
      <c r="Z183" s="453">
        <f t="shared" si="63"/>
        <v>0</v>
      </c>
      <c r="AA183" s="452">
        <v>0</v>
      </c>
      <c r="AB183" s="452">
        <v>0</v>
      </c>
      <c r="AC183" s="452">
        <v>0</v>
      </c>
      <c r="AD183" s="452">
        <v>0</v>
      </c>
      <c r="AE183" s="452">
        <v>0</v>
      </c>
      <c r="AF183" s="452">
        <v>0</v>
      </c>
      <c r="AG183" s="452">
        <v>0</v>
      </c>
      <c r="AH183" s="409">
        <v>0</v>
      </c>
      <c r="AI183" s="409">
        <v>0</v>
      </c>
      <c r="AJ183" s="409">
        <v>0</v>
      </c>
      <c r="AK183" s="409">
        <v>0</v>
      </c>
      <c r="AL183" s="409">
        <v>0</v>
      </c>
      <c r="AM183" s="453">
        <f t="shared" si="58"/>
        <v>0</v>
      </c>
      <c r="AN183" s="452">
        <v>300</v>
      </c>
      <c r="AO183" s="452">
        <v>300</v>
      </c>
      <c r="AP183" s="452">
        <v>300</v>
      </c>
      <c r="AQ183" s="452">
        <v>300</v>
      </c>
      <c r="AR183" s="452">
        <v>300</v>
      </c>
      <c r="AS183" s="452">
        <v>300</v>
      </c>
      <c r="AT183" s="452">
        <v>300</v>
      </c>
      <c r="AU183" s="409">
        <v>300</v>
      </c>
      <c r="AV183" s="409">
        <v>300</v>
      </c>
      <c r="AW183" s="409">
        <v>300</v>
      </c>
      <c r="AX183" s="409">
        <v>300</v>
      </c>
      <c r="AY183" s="409">
        <v>155</v>
      </c>
      <c r="AZ183" s="453">
        <f t="shared" si="59"/>
        <v>3455</v>
      </c>
      <c r="BA183" s="452">
        <v>0</v>
      </c>
      <c r="BB183" s="452">
        <v>0</v>
      </c>
      <c r="BC183" s="452">
        <v>0</v>
      </c>
      <c r="BD183" s="452">
        <v>0</v>
      </c>
      <c r="BE183" s="452">
        <v>0</v>
      </c>
      <c r="BF183" s="452">
        <v>0</v>
      </c>
      <c r="BG183" s="452">
        <v>0</v>
      </c>
      <c r="BH183" s="409">
        <v>0</v>
      </c>
      <c r="BI183" s="409">
        <v>0</v>
      </c>
      <c r="BJ183" s="409">
        <v>0</v>
      </c>
      <c r="BK183" s="409">
        <v>0</v>
      </c>
      <c r="BL183" s="409">
        <v>0</v>
      </c>
      <c r="BM183" s="453">
        <f t="shared" si="60"/>
        <v>0</v>
      </c>
      <c r="BN183" s="452">
        <v>0</v>
      </c>
      <c r="BO183" s="452">
        <v>0</v>
      </c>
      <c r="BP183" s="452">
        <v>0</v>
      </c>
      <c r="BQ183" s="452">
        <v>0</v>
      </c>
      <c r="BR183" s="452">
        <v>0</v>
      </c>
      <c r="BS183" s="452">
        <v>0</v>
      </c>
      <c r="BT183" s="452">
        <v>0</v>
      </c>
      <c r="BU183" s="409">
        <v>0</v>
      </c>
      <c r="BV183" s="409">
        <v>0</v>
      </c>
      <c r="BW183" s="409">
        <v>0</v>
      </c>
      <c r="BX183" s="409">
        <v>0</v>
      </c>
      <c r="BY183" s="409">
        <v>0</v>
      </c>
      <c r="BZ183" s="453">
        <f t="shared" si="61"/>
        <v>0</v>
      </c>
      <c r="CA183" s="454">
        <f t="shared" si="62"/>
        <v>3455</v>
      </c>
      <c r="CB183" s="411"/>
      <c r="CC183" s="411"/>
      <c r="CD183" s="411"/>
      <c r="CE183" s="411"/>
      <c r="CF183" s="411"/>
      <c r="CG183" s="412"/>
      <c r="CH183" s="413"/>
      <c r="CI183" s="414" t="s">
        <v>1621</v>
      </c>
      <c r="CJ183" s="415">
        <v>0</v>
      </c>
      <c r="CK183" s="415">
        <v>0</v>
      </c>
      <c r="CL183" s="415">
        <v>0</v>
      </c>
      <c r="CM183" s="415">
        <v>0</v>
      </c>
      <c r="CN183" s="415">
        <v>0</v>
      </c>
      <c r="CO183" s="415">
        <v>0</v>
      </c>
      <c r="CP183" s="415">
        <v>0</v>
      </c>
      <c r="CQ183" s="415">
        <v>0</v>
      </c>
      <c r="CR183" s="415">
        <v>0</v>
      </c>
      <c r="CS183" s="415">
        <v>0</v>
      </c>
      <c r="CT183" s="415">
        <v>0</v>
      </c>
      <c r="CU183" s="415">
        <v>0</v>
      </c>
      <c r="CV183" s="410">
        <f t="shared" si="72"/>
        <v>0</v>
      </c>
      <c r="CW183" s="415">
        <v>0</v>
      </c>
      <c r="CX183" s="415">
        <v>0</v>
      </c>
      <c r="CY183" s="415">
        <v>0</v>
      </c>
      <c r="CZ183" s="415">
        <v>0</v>
      </c>
      <c r="DA183" s="415">
        <v>0</v>
      </c>
      <c r="DB183" s="415">
        <v>0</v>
      </c>
      <c r="DC183" s="415">
        <v>0</v>
      </c>
      <c r="DD183" s="415">
        <v>0</v>
      </c>
      <c r="DE183" s="415">
        <v>0</v>
      </c>
      <c r="DF183" s="415">
        <v>0</v>
      </c>
      <c r="DG183" s="415">
        <v>0</v>
      </c>
      <c r="DH183" s="415">
        <v>0</v>
      </c>
      <c r="DI183" s="410">
        <f t="shared" si="73"/>
        <v>0</v>
      </c>
      <c r="DJ183" s="415">
        <v>0</v>
      </c>
      <c r="DK183" s="415">
        <v>0</v>
      </c>
      <c r="DL183" s="415">
        <v>0</v>
      </c>
      <c r="DM183" s="415">
        <v>0</v>
      </c>
      <c r="DN183" s="415">
        <v>0</v>
      </c>
      <c r="DO183" s="415">
        <v>0</v>
      </c>
      <c r="DP183" s="415">
        <v>0</v>
      </c>
      <c r="DQ183" s="415">
        <v>0</v>
      </c>
      <c r="DR183" s="415">
        <v>0</v>
      </c>
      <c r="DS183" s="415">
        <v>0</v>
      </c>
      <c r="DT183" s="415">
        <v>0</v>
      </c>
      <c r="DU183" s="415">
        <v>1</v>
      </c>
      <c r="DV183" s="410">
        <f t="shared" si="74"/>
        <v>1</v>
      </c>
      <c r="DW183" s="415">
        <v>0</v>
      </c>
      <c r="DX183" s="415">
        <v>0</v>
      </c>
      <c r="DY183" s="415">
        <v>0</v>
      </c>
      <c r="DZ183" s="415">
        <v>0</v>
      </c>
      <c r="EA183" s="415">
        <v>0</v>
      </c>
      <c r="EB183" s="415">
        <v>0</v>
      </c>
      <c r="EC183" s="415">
        <v>0</v>
      </c>
      <c r="ED183" s="415">
        <v>0</v>
      </c>
      <c r="EE183" s="415">
        <v>0</v>
      </c>
      <c r="EF183" s="415">
        <v>0</v>
      </c>
      <c r="EG183" s="415">
        <v>0</v>
      </c>
      <c r="EH183" s="415">
        <v>0</v>
      </c>
      <c r="EI183" s="410">
        <f t="shared" si="75"/>
        <v>0</v>
      </c>
      <c r="EJ183" s="415">
        <v>0</v>
      </c>
      <c r="EK183" s="415">
        <v>0</v>
      </c>
      <c r="EL183" s="415">
        <v>0</v>
      </c>
      <c r="EM183" s="415">
        <v>0</v>
      </c>
      <c r="EN183" s="415">
        <v>0</v>
      </c>
      <c r="EO183" s="415">
        <v>0</v>
      </c>
      <c r="EP183" s="415">
        <v>0</v>
      </c>
      <c r="EQ183" s="415">
        <v>0</v>
      </c>
      <c r="ER183" s="415">
        <v>0</v>
      </c>
      <c r="ES183" s="415">
        <v>0</v>
      </c>
      <c r="ET183" s="415">
        <v>0</v>
      </c>
      <c r="EU183" s="415">
        <v>0</v>
      </c>
      <c r="EV183" s="410">
        <f t="shared" si="76"/>
        <v>0</v>
      </c>
      <c r="EW183" s="416">
        <f t="shared" si="77"/>
        <v>1</v>
      </c>
      <c r="EX183" s="417">
        <f>IFERROR(VLOOKUP(H183,CEI_012018!$A$1:$U$509,9,FALSE),0)</f>
        <v>0</v>
      </c>
      <c r="EY183" s="417">
        <f>IFERROR(VLOOKUP(H183,CEI_022018!$A$1:$U$509,9,FALSE),0)</f>
        <v>0</v>
      </c>
      <c r="EZ183" s="417">
        <f>IFERROR(VLOOKUP(H183,CEI_032018!$A$1:$U$509,9,FALSE),0)</f>
        <v>0</v>
      </c>
      <c r="FA183" s="417">
        <f>IFERROR(VLOOKUP(H183,CEI_042018!$A$1:$U$491,9,FALSE),0)</f>
        <v>0</v>
      </c>
      <c r="FB183" s="417">
        <f>IFERROR(VLOOKUP(H183,CEI_052018!$A$1:$U$489,9,FALSE),0)</f>
        <v>0</v>
      </c>
      <c r="FC183" s="417">
        <f>IFERROR(VLOOKUP(H183,CEI_062018!$A$1:$U$489,9,FALSE),0)</f>
        <v>0</v>
      </c>
      <c r="FD183" s="417">
        <f>IFERROR(VLOOKUP(H183,CEI_072018!$A$1:$U$489,9,FALSE),0)</f>
        <v>0</v>
      </c>
      <c r="FE183" s="417">
        <f>IFERROR(VLOOKUP(H183,CEI_082018!$A$1:$U$489,9,FALSE),0)</f>
        <v>0</v>
      </c>
      <c r="FF183" s="417">
        <f>IFERROR(VLOOKUP(H183,CEI_092018!$A$1:$U$489,9,FALSE),0)</f>
        <v>0</v>
      </c>
      <c r="FG183" s="417"/>
      <c r="FH183" s="417"/>
      <c r="FI183" s="417"/>
      <c r="FJ183" s="418">
        <f>IFERROR(VLOOKUP(H183,CEI_092018!$A$1:$U$489,12,FALSE),0)</f>
        <v>0</v>
      </c>
      <c r="FK183" s="418">
        <f t="shared" si="70"/>
        <v>0</v>
      </c>
      <c r="FL183" s="418">
        <f t="shared" si="71"/>
        <v>0</v>
      </c>
      <c r="FM183" s="417"/>
      <c r="FN183" s="417"/>
      <c r="FO183" s="417"/>
      <c r="FP183" s="417"/>
      <c r="FQ183" s="417"/>
      <c r="FR183" s="417"/>
      <c r="FS183" s="417"/>
      <c r="FT183" s="417"/>
      <c r="FU183" s="417"/>
      <c r="FV183" s="417"/>
      <c r="FW183" s="417"/>
      <c r="FX183" s="417"/>
      <c r="FY183" s="418"/>
      <c r="FZ183" s="418"/>
      <c r="GA183" s="418"/>
      <c r="GB183" s="417"/>
      <c r="GC183" s="417"/>
      <c r="GD183" s="417"/>
      <c r="GE183" s="417"/>
      <c r="GF183" s="417"/>
      <c r="GG183" s="417"/>
      <c r="GH183" s="417"/>
      <c r="GI183" s="417"/>
      <c r="GJ183" s="417"/>
      <c r="GK183" s="417"/>
      <c r="GL183" s="417"/>
      <c r="GM183" s="417"/>
      <c r="GN183" s="418"/>
      <c r="GO183" s="418"/>
      <c r="GP183" s="418"/>
      <c r="GQ183" s="417"/>
      <c r="GR183" s="417"/>
      <c r="GS183" s="417"/>
      <c r="GT183" s="417"/>
      <c r="GU183" s="417"/>
      <c r="GV183" s="417"/>
      <c r="GW183" s="417"/>
      <c r="GX183" s="417"/>
      <c r="GY183" s="417"/>
      <c r="GZ183" s="417"/>
      <c r="HA183" s="417"/>
      <c r="HB183" s="417"/>
      <c r="HC183" s="418"/>
      <c r="HD183" s="418"/>
      <c r="HE183" s="418"/>
      <c r="HF183" s="417"/>
      <c r="HG183" s="417"/>
      <c r="HH183" s="417"/>
      <c r="HI183" s="417"/>
      <c r="HJ183" s="417"/>
      <c r="HK183" s="417"/>
      <c r="HL183" s="417"/>
      <c r="HM183" s="417"/>
      <c r="HN183" s="417"/>
      <c r="HO183" s="417"/>
      <c r="HP183" s="417"/>
      <c r="HQ183" s="417"/>
      <c r="HR183" s="418"/>
      <c r="HS183" s="418"/>
      <c r="HT183" s="418"/>
    </row>
    <row r="184" spans="1:228" s="387" customFormat="1" ht="12.75" customHeight="1" x14ac:dyDescent="0.2">
      <c r="A184" s="406" t="s">
        <v>55</v>
      </c>
      <c r="B184" s="407" t="s">
        <v>42</v>
      </c>
      <c r="C184" s="406" t="s">
        <v>1001</v>
      </c>
      <c r="D184" s="407" t="s">
        <v>1005</v>
      </c>
      <c r="E184" s="407" t="s">
        <v>1001</v>
      </c>
      <c r="F184" s="407" t="s">
        <v>1005</v>
      </c>
      <c r="G184" s="406" t="s">
        <v>54</v>
      </c>
      <c r="H184" s="408" t="s">
        <v>523</v>
      </c>
      <c r="I184" s="408" t="s">
        <v>1314</v>
      </c>
      <c r="J184" s="406" t="s">
        <v>522</v>
      </c>
      <c r="K184" s="406" t="s">
        <v>653</v>
      </c>
      <c r="L184" s="406" t="s">
        <v>654</v>
      </c>
      <c r="M184" s="406" t="s">
        <v>57</v>
      </c>
      <c r="N184" s="452">
        <v>0</v>
      </c>
      <c r="O184" s="452">
        <v>0</v>
      </c>
      <c r="P184" s="452">
        <v>0</v>
      </c>
      <c r="Q184" s="452">
        <v>0</v>
      </c>
      <c r="R184" s="452">
        <v>0</v>
      </c>
      <c r="S184" s="452">
        <v>0</v>
      </c>
      <c r="T184" s="452">
        <v>0</v>
      </c>
      <c r="U184" s="409">
        <v>0</v>
      </c>
      <c r="V184" s="409">
        <v>0</v>
      </c>
      <c r="W184" s="409">
        <v>0</v>
      </c>
      <c r="X184" s="409">
        <v>20</v>
      </c>
      <c r="Y184" s="409">
        <v>35</v>
      </c>
      <c r="Z184" s="453">
        <f t="shared" si="63"/>
        <v>55</v>
      </c>
      <c r="AA184" s="452">
        <v>0</v>
      </c>
      <c r="AB184" s="452">
        <v>0</v>
      </c>
      <c r="AC184" s="452">
        <v>0</v>
      </c>
      <c r="AD184" s="452">
        <v>0</v>
      </c>
      <c r="AE184" s="452">
        <v>0</v>
      </c>
      <c r="AF184" s="452">
        <v>0</v>
      </c>
      <c r="AG184" s="452">
        <v>0</v>
      </c>
      <c r="AH184" s="409">
        <v>20</v>
      </c>
      <c r="AI184" s="409">
        <v>0</v>
      </c>
      <c r="AJ184" s="409">
        <v>0</v>
      </c>
      <c r="AK184" s="409">
        <v>22</v>
      </c>
      <c r="AL184" s="409">
        <v>0</v>
      </c>
      <c r="AM184" s="453">
        <f t="shared" si="58"/>
        <v>42</v>
      </c>
      <c r="AN184" s="452">
        <v>0</v>
      </c>
      <c r="AO184" s="452">
        <v>0</v>
      </c>
      <c r="AP184" s="452">
        <v>0</v>
      </c>
      <c r="AQ184" s="452">
        <v>0</v>
      </c>
      <c r="AR184" s="452">
        <v>0</v>
      </c>
      <c r="AS184" s="452">
        <v>0</v>
      </c>
      <c r="AT184" s="452">
        <v>0</v>
      </c>
      <c r="AU184" s="409">
        <v>0</v>
      </c>
      <c r="AV184" s="409">
        <v>0</v>
      </c>
      <c r="AW184" s="409">
        <v>0</v>
      </c>
      <c r="AX184" s="409">
        <v>0</v>
      </c>
      <c r="AY184" s="409">
        <v>0</v>
      </c>
      <c r="AZ184" s="453">
        <f t="shared" si="59"/>
        <v>0</v>
      </c>
      <c r="BA184" s="452">
        <v>0</v>
      </c>
      <c r="BB184" s="452">
        <v>0</v>
      </c>
      <c r="BC184" s="452">
        <v>0</v>
      </c>
      <c r="BD184" s="452">
        <v>0</v>
      </c>
      <c r="BE184" s="452">
        <v>0</v>
      </c>
      <c r="BF184" s="452">
        <v>0</v>
      </c>
      <c r="BG184" s="452">
        <v>0</v>
      </c>
      <c r="BH184" s="409">
        <v>0</v>
      </c>
      <c r="BI184" s="409">
        <v>0</v>
      </c>
      <c r="BJ184" s="409">
        <v>0</v>
      </c>
      <c r="BK184" s="409">
        <v>0</v>
      </c>
      <c r="BL184" s="409">
        <v>0</v>
      </c>
      <c r="BM184" s="453">
        <f t="shared" si="60"/>
        <v>0</v>
      </c>
      <c r="BN184" s="452">
        <v>0</v>
      </c>
      <c r="BO184" s="452">
        <v>0</v>
      </c>
      <c r="BP184" s="452">
        <v>0</v>
      </c>
      <c r="BQ184" s="452">
        <v>0</v>
      </c>
      <c r="BR184" s="452">
        <v>0</v>
      </c>
      <c r="BS184" s="452">
        <v>0</v>
      </c>
      <c r="BT184" s="452">
        <v>0</v>
      </c>
      <c r="BU184" s="409">
        <v>0</v>
      </c>
      <c r="BV184" s="409">
        <v>0</v>
      </c>
      <c r="BW184" s="409">
        <v>0</v>
      </c>
      <c r="BX184" s="409">
        <v>0</v>
      </c>
      <c r="BY184" s="409">
        <v>0</v>
      </c>
      <c r="BZ184" s="453">
        <f t="shared" si="61"/>
        <v>0</v>
      </c>
      <c r="CA184" s="454">
        <f t="shared" si="62"/>
        <v>97</v>
      </c>
      <c r="CB184" s="419"/>
      <c r="CC184" s="419">
        <v>1</v>
      </c>
      <c r="CD184" s="419">
        <v>1</v>
      </c>
      <c r="CE184" s="419">
        <v>1</v>
      </c>
      <c r="CF184" s="419">
        <v>1</v>
      </c>
      <c r="CG184" s="420">
        <f>IFERROR((FE184/Z184%),0)</f>
        <v>0</v>
      </c>
      <c r="CH184" s="421">
        <f>IFERROR((FK184/Z184%),0)</f>
        <v>63.304693048650563</v>
      </c>
      <c r="CI184" s="414" t="s">
        <v>1621</v>
      </c>
      <c r="CJ184" s="415">
        <v>0</v>
      </c>
      <c r="CK184" s="415">
        <v>0</v>
      </c>
      <c r="CL184" s="415">
        <v>0</v>
      </c>
      <c r="CM184" s="415">
        <v>0</v>
      </c>
      <c r="CN184" s="415">
        <v>0</v>
      </c>
      <c r="CO184" s="415">
        <v>0</v>
      </c>
      <c r="CP184" s="415">
        <v>0</v>
      </c>
      <c r="CQ184" s="415">
        <v>1</v>
      </c>
      <c r="CR184" s="415">
        <v>0</v>
      </c>
      <c r="CS184" s="415">
        <v>0</v>
      </c>
      <c r="CT184" s="415">
        <v>0</v>
      </c>
      <c r="CU184" s="415">
        <v>0</v>
      </c>
      <c r="CV184" s="410">
        <f t="shared" si="72"/>
        <v>1</v>
      </c>
      <c r="CW184" s="415">
        <v>0</v>
      </c>
      <c r="CX184" s="415">
        <v>0</v>
      </c>
      <c r="CY184" s="415">
        <v>0</v>
      </c>
      <c r="CZ184" s="415">
        <v>0</v>
      </c>
      <c r="DA184" s="415">
        <v>0</v>
      </c>
      <c r="DB184" s="415">
        <v>0</v>
      </c>
      <c r="DC184" s="415">
        <v>0</v>
      </c>
      <c r="DD184" s="415">
        <v>0</v>
      </c>
      <c r="DE184" s="415">
        <v>0</v>
      </c>
      <c r="DF184" s="415">
        <v>0</v>
      </c>
      <c r="DG184" s="415">
        <v>0</v>
      </c>
      <c r="DH184" s="415">
        <v>0</v>
      </c>
      <c r="DI184" s="410">
        <f t="shared" si="73"/>
        <v>0</v>
      </c>
      <c r="DJ184" s="415">
        <v>0</v>
      </c>
      <c r="DK184" s="415">
        <v>0</v>
      </c>
      <c r="DL184" s="415">
        <v>0</v>
      </c>
      <c r="DM184" s="415">
        <v>0</v>
      </c>
      <c r="DN184" s="415">
        <v>0</v>
      </c>
      <c r="DO184" s="415">
        <v>0</v>
      </c>
      <c r="DP184" s="415">
        <v>0</v>
      </c>
      <c r="DQ184" s="415">
        <v>0</v>
      </c>
      <c r="DR184" s="415">
        <v>0</v>
      </c>
      <c r="DS184" s="415">
        <v>0</v>
      </c>
      <c r="DT184" s="415">
        <v>0</v>
      </c>
      <c r="DU184" s="415">
        <v>0</v>
      </c>
      <c r="DV184" s="410">
        <f t="shared" si="74"/>
        <v>0</v>
      </c>
      <c r="DW184" s="415">
        <v>0</v>
      </c>
      <c r="DX184" s="415">
        <v>0</v>
      </c>
      <c r="DY184" s="415">
        <v>0</v>
      </c>
      <c r="DZ184" s="415">
        <v>0</v>
      </c>
      <c r="EA184" s="415">
        <v>0</v>
      </c>
      <c r="EB184" s="415">
        <v>0</v>
      </c>
      <c r="EC184" s="415">
        <v>0</v>
      </c>
      <c r="ED184" s="415">
        <v>0</v>
      </c>
      <c r="EE184" s="415">
        <v>0</v>
      </c>
      <c r="EF184" s="415">
        <v>0</v>
      </c>
      <c r="EG184" s="415">
        <v>0</v>
      </c>
      <c r="EH184" s="415">
        <v>0</v>
      </c>
      <c r="EI184" s="410">
        <f t="shared" si="75"/>
        <v>0</v>
      </c>
      <c r="EJ184" s="415">
        <v>0</v>
      </c>
      <c r="EK184" s="415">
        <v>0</v>
      </c>
      <c r="EL184" s="415">
        <v>0</v>
      </c>
      <c r="EM184" s="415">
        <v>0</v>
      </c>
      <c r="EN184" s="415">
        <v>0</v>
      </c>
      <c r="EO184" s="415">
        <v>0</v>
      </c>
      <c r="EP184" s="415">
        <v>0</v>
      </c>
      <c r="EQ184" s="415">
        <v>0</v>
      </c>
      <c r="ER184" s="415">
        <v>0</v>
      </c>
      <c r="ES184" s="415">
        <v>0</v>
      </c>
      <c r="ET184" s="415">
        <v>0</v>
      </c>
      <c r="EU184" s="415">
        <v>0</v>
      </c>
      <c r="EV184" s="410">
        <f t="shared" si="76"/>
        <v>0</v>
      </c>
      <c r="EW184" s="416">
        <f t="shared" si="77"/>
        <v>1</v>
      </c>
      <c r="EX184" s="417">
        <f>IFERROR(VLOOKUP(H184,CEI_012018!$A$1:$U$509,9,FALSE),0)</f>
        <v>0</v>
      </c>
      <c r="EY184" s="417">
        <f>IFERROR(VLOOKUP(H184,CEI_022018!$A$1:$U$509,9,FALSE),0)</f>
        <v>0</v>
      </c>
      <c r="EZ184" s="417">
        <f>IFERROR(VLOOKUP(H184,CEI_032018!$A$1:$U$509,9,FALSE),0)</f>
        <v>0</v>
      </c>
      <c r="FA184" s="417">
        <f>IFERROR(VLOOKUP(H184,CEI_042018!$A$1:$U$491,9,FALSE),0)</f>
        <v>0</v>
      </c>
      <c r="FB184" s="417">
        <f>IFERROR(VLOOKUP(H184,CEI_052018!$A$1:$U$489,9,FALSE),0)</f>
        <v>0</v>
      </c>
      <c r="FC184" s="417">
        <f>IFERROR(VLOOKUP(H184,CEI_062018!$A$1:$U$489,9,FALSE),0)</f>
        <v>0</v>
      </c>
      <c r="FD184" s="417">
        <f>IFERROR(VLOOKUP(H184,CEI_072018!$A$1:$U$489,9,FALSE),0)</f>
        <v>0</v>
      </c>
      <c r="FE184" s="417">
        <f>IFERROR(VLOOKUP(H184,CEI_082018!$A$1:$U$489,9,FALSE),0)</f>
        <v>0</v>
      </c>
      <c r="FF184" s="417">
        <f>IFERROR(VLOOKUP(H184,CEI_092018!$A$1:$U$489,9,FALSE),0)</f>
        <v>0</v>
      </c>
      <c r="FG184" s="417"/>
      <c r="FH184" s="417"/>
      <c r="FI184" s="417"/>
      <c r="FJ184" s="418">
        <f>IFERROR(VLOOKUP(H184,CEI_092018!$A$1:$U$489,12,FALSE),0)</f>
        <v>34.817581176757813</v>
      </c>
      <c r="FK184" s="418">
        <f t="shared" si="70"/>
        <v>34.817581176757813</v>
      </c>
      <c r="FL184" s="418">
        <f t="shared" si="71"/>
        <v>20.182418823242188</v>
      </c>
      <c r="FM184" s="417"/>
      <c r="FN184" s="417"/>
      <c r="FO184" s="417"/>
      <c r="FP184" s="417"/>
      <c r="FQ184" s="417"/>
      <c r="FR184" s="417"/>
      <c r="FS184" s="417"/>
      <c r="FT184" s="417"/>
      <c r="FU184" s="417"/>
      <c r="FV184" s="417"/>
      <c r="FW184" s="417"/>
      <c r="FX184" s="417"/>
      <c r="FY184" s="418"/>
      <c r="FZ184" s="418"/>
      <c r="GA184" s="418"/>
      <c r="GB184" s="417"/>
      <c r="GC184" s="417"/>
      <c r="GD184" s="417"/>
      <c r="GE184" s="417"/>
      <c r="GF184" s="417"/>
      <c r="GG184" s="417"/>
      <c r="GH184" s="417"/>
      <c r="GI184" s="417"/>
      <c r="GJ184" s="417"/>
      <c r="GK184" s="417"/>
      <c r="GL184" s="417"/>
      <c r="GM184" s="417"/>
      <c r="GN184" s="418"/>
      <c r="GO184" s="418"/>
      <c r="GP184" s="418"/>
      <c r="GQ184" s="417"/>
      <c r="GR184" s="417"/>
      <c r="GS184" s="417"/>
      <c r="GT184" s="417"/>
      <c r="GU184" s="417"/>
      <c r="GV184" s="417"/>
      <c r="GW184" s="417"/>
      <c r="GX184" s="417"/>
      <c r="GY184" s="417"/>
      <c r="GZ184" s="417"/>
      <c r="HA184" s="417"/>
      <c r="HB184" s="417"/>
      <c r="HC184" s="418"/>
      <c r="HD184" s="418"/>
      <c r="HE184" s="418"/>
      <c r="HF184" s="417"/>
      <c r="HG184" s="417"/>
      <c r="HH184" s="417"/>
      <c r="HI184" s="417"/>
      <c r="HJ184" s="417"/>
      <c r="HK184" s="417"/>
      <c r="HL184" s="417"/>
      <c r="HM184" s="417"/>
      <c r="HN184" s="417"/>
      <c r="HO184" s="417"/>
      <c r="HP184" s="417"/>
      <c r="HQ184" s="417"/>
      <c r="HR184" s="418"/>
      <c r="HS184" s="418"/>
      <c r="HT184" s="418"/>
    </row>
    <row r="185" spans="1:228" s="387" customFormat="1" ht="12.75" customHeight="1" x14ac:dyDescent="0.2">
      <c r="A185" s="406" t="s">
        <v>52</v>
      </c>
      <c r="B185" s="407" t="s">
        <v>30</v>
      </c>
      <c r="C185" s="406" t="s">
        <v>1000</v>
      </c>
      <c r="D185" s="407" t="s">
        <v>1004</v>
      </c>
      <c r="E185" s="407" t="s">
        <v>1739</v>
      </c>
      <c r="F185" s="407" t="s">
        <v>1740</v>
      </c>
      <c r="G185" s="406" t="s">
        <v>63</v>
      </c>
      <c r="H185" s="408" t="s">
        <v>1703</v>
      </c>
      <c r="I185" s="408" t="s">
        <v>57</v>
      </c>
      <c r="J185" s="406" t="s">
        <v>789</v>
      </c>
      <c r="K185" s="406"/>
      <c r="L185" s="406"/>
      <c r="M185" s="406" t="s">
        <v>1770</v>
      </c>
      <c r="N185" s="452">
        <v>0</v>
      </c>
      <c r="O185" s="452">
        <v>0</v>
      </c>
      <c r="P185" s="452">
        <v>0</v>
      </c>
      <c r="Q185" s="452">
        <v>0</v>
      </c>
      <c r="R185" s="452">
        <v>0</v>
      </c>
      <c r="S185" s="452">
        <v>0</v>
      </c>
      <c r="T185" s="452">
        <v>0</v>
      </c>
      <c r="U185" s="409">
        <v>0</v>
      </c>
      <c r="V185" s="409">
        <v>0</v>
      </c>
      <c r="W185" s="409">
        <v>420</v>
      </c>
      <c r="X185" s="409">
        <v>0</v>
      </c>
      <c r="Y185" s="409">
        <v>0</v>
      </c>
      <c r="Z185" s="453">
        <f t="shared" si="63"/>
        <v>420</v>
      </c>
      <c r="AA185" s="452">
        <v>0</v>
      </c>
      <c r="AB185" s="452">
        <v>0</v>
      </c>
      <c r="AC185" s="452">
        <v>0</v>
      </c>
      <c r="AD185" s="452">
        <v>0</v>
      </c>
      <c r="AE185" s="452">
        <v>0</v>
      </c>
      <c r="AF185" s="452">
        <v>0</v>
      </c>
      <c r="AG185" s="452">
        <v>0</v>
      </c>
      <c r="AH185" s="409">
        <v>0</v>
      </c>
      <c r="AI185" s="409">
        <v>0</v>
      </c>
      <c r="AJ185" s="409">
        <v>0</v>
      </c>
      <c r="AK185" s="409">
        <v>0</v>
      </c>
      <c r="AL185" s="409">
        <v>0</v>
      </c>
      <c r="AM185" s="453">
        <f t="shared" si="58"/>
        <v>0</v>
      </c>
      <c r="AN185" s="452">
        <v>0</v>
      </c>
      <c r="AO185" s="452">
        <v>0</v>
      </c>
      <c r="AP185" s="452">
        <v>0</v>
      </c>
      <c r="AQ185" s="452">
        <v>0</v>
      </c>
      <c r="AR185" s="452">
        <v>0</v>
      </c>
      <c r="AS185" s="452">
        <v>480</v>
      </c>
      <c r="AT185" s="452">
        <v>0</v>
      </c>
      <c r="AU185" s="409">
        <v>0</v>
      </c>
      <c r="AV185" s="409">
        <v>0</v>
      </c>
      <c r="AW185" s="409">
        <v>0</v>
      </c>
      <c r="AX185" s="409">
        <v>0</v>
      </c>
      <c r="AY185" s="409">
        <v>0</v>
      </c>
      <c r="AZ185" s="453">
        <f t="shared" si="59"/>
        <v>480</v>
      </c>
      <c r="BA185" s="452">
        <v>0</v>
      </c>
      <c r="BB185" s="452">
        <v>0</v>
      </c>
      <c r="BC185" s="452">
        <v>0</v>
      </c>
      <c r="BD185" s="452">
        <v>0</v>
      </c>
      <c r="BE185" s="452">
        <v>0</v>
      </c>
      <c r="BF185" s="452">
        <v>0</v>
      </c>
      <c r="BG185" s="452">
        <v>0</v>
      </c>
      <c r="BH185" s="409">
        <v>0</v>
      </c>
      <c r="BI185" s="409">
        <v>0</v>
      </c>
      <c r="BJ185" s="409">
        <v>0</v>
      </c>
      <c r="BK185" s="409">
        <v>0</v>
      </c>
      <c r="BL185" s="409">
        <v>0</v>
      </c>
      <c r="BM185" s="453">
        <f t="shared" si="60"/>
        <v>0</v>
      </c>
      <c r="BN185" s="452">
        <v>0</v>
      </c>
      <c r="BO185" s="452">
        <v>0</v>
      </c>
      <c r="BP185" s="452">
        <v>0</v>
      </c>
      <c r="BQ185" s="452">
        <v>0</v>
      </c>
      <c r="BR185" s="452">
        <v>0</v>
      </c>
      <c r="BS185" s="452">
        <v>0</v>
      </c>
      <c r="BT185" s="452">
        <v>0</v>
      </c>
      <c r="BU185" s="409">
        <v>0</v>
      </c>
      <c r="BV185" s="409">
        <v>0</v>
      </c>
      <c r="BW185" s="409">
        <v>0</v>
      </c>
      <c r="BX185" s="409">
        <v>0</v>
      </c>
      <c r="BY185" s="409">
        <v>0</v>
      </c>
      <c r="BZ185" s="453">
        <f t="shared" si="61"/>
        <v>0</v>
      </c>
      <c r="CA185" s="454">
        <f t="shared" si="62"/>
        <v>900</v>
      </c>
      <c r="CB185" s="419"/>
      <c r="CC185" s="419">
        <v>-1</v>
      </c>
      <c r="CD185" s="419">
        <v>-1</v>
      </c>
      <c r="CE185" s="419">
        <v>-1</v>
      </c>
      <c r="CF185" s="419">
        <v>-1</v>
      </c>
      <c r="CG185" s="420">
        <f>IFERROR((FE185/Z185%),0)</f>
        <v>0</v>
      </c>
      <c r="CH185" s="421">
        <f>IFERROR((FK185/Z185%),0)</f>
        <v>100</v>
      </c>
      <c r="CI185" s="414" t="s">
        <v>1624</v>
      </c>
      <c r="CJ185" s="415">
        <v>0</v>
      </c>
      <c r="CK185" s="415">
        <v>0</v>
      </c>
      <c r="CL185" s="415">
        <v>0</v>
      </c>
      <c r="CM185" s="415">
        <v>0</v>
      </c>
      <c r="CN185" s="415">
        <v>0</v>
      </c>
      <c r="CO185" s="415">
        <v>0</v>
      </c>
      <c r="CP185" s="415">
        <v>0</v>
      </c>
      <c r="CQ185" s="415">
        <v>0</v>
      </c>
      <c r="CR185" s="415">
        <v>0</v>
      </c>
      <c r="CS185" s="415">
        <v>1</v>
      </c>
      <c r="CT185" s="415">
        <v>0</v>
      </c>
      <c r="CU185" s="415">
        <v>0</v>
      </c>
      <c r="CV185" s="410">
        <f t="shared" si="72"/>
        <v>1</v>
      </c>
      <c r="CW185" s="415">
        <v>0</v>
      </c>
      <c r="CX185" s="415">
        <v>0</v>
      </c>
      <c r="CY185" s="415">
        <v>0</v>
      </c>
      <c r="CZ185" s="415">
        <v>0</v>
      </c>
      <c r="DA185" s="415">
        <v>0</v>
      </c>
      <c r="DB185" s="415">
        <v>0</v>
      </c>
      <c r="DC185" s="415">
        <v>0</v>
      </c>
      <c r="DD185" s="415">
        <v>0</v>
      </c>
      <c r="DE185" s="415">
        <v>0</v>
      </c>
      <c r="DF185" s="415">
        <v>0</v>
      </c>
      <c r="DG185" s="415">
        <v>0</v>
      </c>
      <c r="DH185" s="415">
        <v>0</v>
      </c>
      <c r="DI185" s="410">
        <f t="shared" si="73"/>
        <v>0</v>
      </c>
      <c r="DJ185" s="415">
        <v>0</v>
      </c>
      <c r="DK185" s="415">
        <v>0</v>
      </c>
      <c r="DL185" s="415">
        <v>0</v>
      </c>
      <c r="DM185" s="415">
        <v>0</v>
      </c>
      <c r="DN185" s="415">
        <v>0</v>
      </c>
      <c r="DO185" s="415">
        <v>1</v>
      </c>
      <c r="DP185" s="415">
        <v>0</v>
      </c>
      <c r="DQ185" s="415">
        <v>0</v>
      </c>
      <c r="DR185" s="415">
        <v>0</v>
      </c>
      <c r="DS185" s="415">
        <v>0</v>
      </c>
      <c r="DT185" s="415">
        <v>0</v>
      </c>
      <c r="DU185" s="415">
        <v>0</v>
      </c>
      <c r="DV185" s="410">
        <f t="shared" si="74"/>
        <v>1</v>
      </c>
      <c r="DW185" s="415">
        <v>0</v>
      </c>
      <c r="DX185" s="415">
        <v>0</v>
      </c>
      <c r="DY185" s="415">
        <v>0</v>
      </c>
      <c r="DZ185" s="415">
        <v>0</v>
      </c>
      <c r="EA185" s="415">
        <v>0</v>
      </c>
      <c r="EB185" s="415">
        <v>0</v>
      </c>
      <c r="EC185" s="415">
        <v>0</v>
      </c>
      <c r="ED185" s="415">
        <v>0</v>
      </c>
      <c r="EE185" s="415">
        <v>0</v>
      </c>
      <c r="EF185" s="415">
        <v>0</v>
      </c>
      <c r="EG185" s="415">
        <v>0</v>
      </c>
      <c r="EH185" s="415">
        <v>0</v>
      </c>
      <c r="EI185" s="410">
        <f t="shared" si="75"/>
        <v>0</v>
      </c>
      <c r="EJ185" s="415">
        <v>0</v>
      </c>
      <c r="EK185" s="415">
        <v>0</v>
      </c>
      <c r="EL185" s="415">
        <v>0</v>
      </c>
      <c r="EM185" s="415">
        <v>0</v>
      </c>
      <c r="EN185" s="415">
        <v>0</v>
      </c>
      <c r="EO185" s="415">
        <v>0</v>
      </c>
      <c r="EP185" s="415">
        <v>0</v>
      </c>
      <c r="EQ185" s="415">
        <v>0</v>
      </c>
      <c r="ER185" s="415">
        <v>0</v>
      </c>
      <c r="ES185" s="415">
        <v>0</v>
      </c>
      <c r="ET185" s="415">
        <v>0</v>
      </c>
      <c r="EU185" s="415">
        <v>0</v>
      </c>
      <c r="EV185" s="410">
        <f t="shared" si="76"/>
        <v>0</v>
      </c>
      <c r="EW185" s="416">
        <f t="shared" si="77"/>
        <v>2</v>
      </c>
      <c r="EX185" s="417">
        <f>IFERROR(VLOOKUP(H185,CEI_012018!$A$1:$U$509,9,FALSE),0)</f>
        <v>0</v>
      </c>
      <c r="EY185" s="417">
        <f>IFERROR(VLOOKUP(H185,CEI_022018!$A$1:$U$509,9,FALSE),0)</f>
        <v>0</v>
      </c>
      <c r="EZ185" s="417">
        <f>IFERROR(VLOOKUP(H185,CEI_032018!$A$1:$U$509,9,FALSE),0)</f>
        <v>0</v>
      </c>
      <c r="FA185" s="417">
        <f>IFERROR(VLOOKUP(H185,CEI_042018!$A$1:$U$491,9,FALSE),0)</f>
        <v>0</v>
      </c>
      <c r="FB185" s="417">
        <f>IFERROR(VLOOKUP(H185,CEI_052018!$A$1:$U$489,9,FALSE),0)</f>
        <v>0</v>
      </c>
      <c r="FC185" s="417">
        <f>IFERROR(VLOOKUP(H185,CEI_062018!$A$1:$U$489,9,FALSE),0)</f>
        <v>0</v>
      </c>
      <c r="FD185" s="417">
        <f>IFERROR(VLOOKUP(H185,CEI_072018!$A$1:$U$489,9,FALSE),0)</f>
        <v>0</v>
      </c>
      <c r="FE185" s="417">
        <f>IFERROR(VLOOKUP(H185,CEI_082018!$A$1:$U$489,9,FALSE),0)</f>
        <v>0</v>
      </c>
      <c r="FF185" s="417">
        <f>IFERROR(VLOOKUP(H185,CEI_092018!$A$1:$U$489,9,FALSE),0)</f>
        <v>0</v>
      </c>
      <c r="FG185" s="417"/>
      <c r="FH185" s="417"/>
      <c r="FI185" s="417"/>
      <c r="FJ185" s="418">
        <f>IFERROR(VLOOKUP(H185,CEI_092018!$A$1:$U$489,12,FALSE),0)</f>
        <v>420</v>
      </c>
      <c r="FK185" s="418">
        <f t="shared" si="70"/>
        <v>420</v>
      </c>
      <c r="FL185" s="418">
        <f t="shared" si="71"/>
        <v>0</v>
      </c>
      <c r="FM185" s="417"/>
      <c r="FN185" s="417"/>
      <c r="FO185" s="417"/>
      <c r="FP185" s="417"/>
      <c r="FQ185" s="417"/>
      <c r="FR185" s="417"/>
      <c r="FS185" s="417"/>
      <c r="FT185" s="417"/>
      <c r="FU185" s="417"/>
      <c r="FV185" s="417"/>
      <c r="FW185" s="417"/>
      <c r="FX185" s="417"/>
      <c r="FY185" s="418"/>
      <c r="FZ185" s="418"/>
      <c r="GA185" s="418"/>
      <c r="GB185" s="417"/>
      <c r="GC185" s="417"/>
      <c r="GD185" s="417"/>
      <c r="GE185" s="417"/>
      <c r="GF185" s="417"/>
      <c r="GG185" s="417"/>
      <c r="GH185" s="417"/>
      <c r="GI185" s="417"/>
      <c r="GJ185" s="417"/>
      <c r="GK185" s="417"/>
      <c r="GL185" s="417"/>
      <c r="GM185" s="417"/>
      <c r="GN185" s="418"/>
      <c r="GO185" s="418"/>
      <c r="GP185" s="418"/>
      <c r="GQ185" s="417"/>
      <c r="GR185" s="417"/>
      <c r="GS185" s="417"/>
      <c r="GT185" s="417"/>
      <c r="GU185" s="417"/>
      <c r="GV185" s="417"/>
      <c r="GW185" s="417"/>
      <c r="GX185" s="417"/>
      <c r="GY185" s="417"/>
      <c r="GZ185" s="417"/>
      <c r="HA185" s="417"/>
      <c r="HB185" s="417"/>
      <c r="HC185" s="418"/>
      <c r="HD185" s="418"/>
      <c r="HE185" s="418"/>
      <c r="HF185" s="417"/>
      <c r="HG185" s="417"/>
      <c r="HH185" s="417"/>
      <c r="HI185" s="417"/>
      <c r="HJ185" s="417"/>
      <c r="HK185" s="417"/>
      <c r="HL185" s="417"/>
      <c r="HM185" s="417"/>
      <c r="HN185" s="417"/>
      <c r="HO185" s="417"/>
      <c r="HP185" s="417"/>
      <c r="HQ185" s="417"/>
      <c r="HR185" s="418"/>
      <c r="HS185" s="418"/>
      <c r="HT185" s="418"/>
    </row>
    <row r="186" spans="1:228" s="387" customFormat="1" ht="12.75" customHeight="1" x14ac:dyDescent="0.2">
      <c r="A186" s="406" t="s">
        <v>52</v>
      </c>
      <c r="B186" s="407" t="s">
        <v>30</v>
      </c>
      <c r="C186" s="406" t="s">
        <v>1000</v>
      </c>
      <c r="D186" s="407" t="s">
        <v>1004</v>
      </c>
      <c r="E186" s="407" t="s">
        <v>191</v>
      </c>
      <c r="F186" s="407" t="s">
        <v>1743</v>
      </c>
      <c r="G186" s="406" t="s">
        <v>54</v>
      </c>
      <c r="H186" s="408" t="s">
        <v>1565</v>
      </c>
      <c r="I186" s="408" t="s">
        <v>1566</v>
      </c>
      <c r="J186" s="406" t="s">
        <v>972</v>
      </c>
      <c r="K186" s="406" t="s">
        <v>1628</v>
      </c>
      <c r="L186" s="406" t="s">
        <v>1629</v>
      </c>
      <c r="M186" s="406" t="s">
        <v>1772</v>
      </c>
      <c r="N186" s="452">
        <v>0</v>
      </c>
      <c r="O186" s="452">
        <v>0</v>
      </c>
      <c r="P186" s="452">
        <v>0</v>
      </c>
      <c r="Q186" s="452">
        <v>0</v>
      </c>
      <c r="R186" s="452">
        <v>0</v>
      </c>
      <c r="S186" s="452">
        <v>0</v>
      </c>
      <c r="T186" s="452">
        <v>0</v>
      </c>
      <c r="U186" s="409">
        <v>0</v>
      </c>
      <c r="V186" s="409">
        <v>318</v>
      </c>
      <c r="W186" s="409">
        <v>0</v>
      </c>
      <c r="X186" s="409">
        <v>0</v>
      </c>
      <c r="Y186" s="409">
        <v>0</v>
      </c>
      <c r="Z186" s="453">
        <f t="shared" si="63"/>
        <v>318</v>
      </c>
      <c r="AA186" s="452">
        <v>0</v>
      </c>
      <c r="AB186" s="452">
        <v>188</v>
      </c>
      <c r="AC186" s="452">
        <v>0</v>
      </c>
      <c r="AD186" s="452">
        <v>0</v>
      </c>
      <c r="AE186" s="452">
        <v>0</v>
      </c>
      <c r="AF186" s="452">
        <v>0</v>
      </c>
      <c r="AG186" s="452">
        <v>0</v>
      </c>
      <c r="AH186" s="409">
        <v>0</v>
      </c>
      <c r="AI186" s="409">
        <v>0</v>
      </c>
      <c r="AJ186" s="409">
        <v>0</v>
      </c>
      <c r="AK186" s="409">
        <v>0</v>
      </c>
      <c r="AL186" s="409">
        <v>0</v>
      </c>
      <c r="AM186" s="453">
        <f t="shared" si="58"/>
        <v>188</v>
      </c>
      <c r="AN186" s="452">
        <v>0</v>
      </c>
      <c r="AO186" s="452">
        <v>0</v>
      </c>
      <c r="AP186" s="452">
        <v>0</v>
      </c>
      <c r="AQ186" s="452">
        <v>0</v>
      </c>
      <c r="AR186" s="452">
        <v>0</v>
      </c>
      <c r="AS186" s="452">
        <v>0</v>
      </c>
      <c r="AT186" s="452">
        <v>0</v>
      </c>
      <c r="AU186" s="409">
        <v>0</v>
      </c>
      <c r="AV186" s="409">
        <v>0</v>
      </c>
      <c r="AW186" s="409">
        <v>0</v>
      </c>
      <c r="AX186" s="409">
        <v>0</v>
      </c>
      <c r="AY186" s="409">
        <v>0</v>
      </c>
      <c r="AZ186" s="453">
        <f t="shared" si="59"/>
        <v>0</v>
      </c>
      <c r="BA186" s="452">
        <v>0</v>
      </c>
      <c r="BB186" s="452">
        <v>0</v>
      </c>
      <c r="BC186" s="452">
        <v>0</v>
      </c>
      <c r="BD186" s="452">
        <v>0</v>
      </c>
      <c r="BE186" s="452">
        <v>0</v>
      </c>
      <c r="BF186" s="452">
        <v>0</v>
      </c>
      <c r="BG186" s="452">
        <v>0</v>
      </c>
      <c r="BH186" s="409">
        <v>0</v>
      </c>
      <c r="BI186" s="409">
        <v>0</v>
      </c>
      <c r="BJ186" s="409">
        <v>0</v>
      </c>
      <c r="BK186" s="409">
        <v>0</v>
      </c>
      <c r="BL186" s="409">
        <v>0</v>
      </c>
      <c r="BM186" s="453">
        <f t="shared" si="60"/>
        <v>0</v>
      </c>
      <c r="BN186" s="452">
        <v>0</v>
      </c>
      <c r="BO186" s="452">
        <v>0</v>
      </c>
      <c r="BP186" s="452">
        <v>0</v>
      </c>
      <c r="BQ186" s="452">
        <v>0</v>
      </c>
      <c r="BR186" s="452">
        <v>0</v>
      </c>
      <c r="BS186" s="452">
        <v>0</v>
      </c>
      <c r="BT186" s="452">
        <v>0</v>
      </c>
      <c r="BU186" s="409">
        <v>0</v>
      </c>
      <c r="BV186" s="409">
        <v>0</v>
      </c>
      <c r="BW186" s="409">
        <v>0</v>
      </c>
      <c r="BX186" s="409">
        <v>0</v>
      </c>
      <c r="BY186" s="409">
        <v>0</v>
      </c>
      <c r="BZ186" s="453">
        <f t="shared" si="61"/>
        <v>0</v>
      </c>
      <c r="CA186" s="454">
        <f t="shared" si="62"/>
        <v>506</v>
      </c>
      <c r="CB186" s="419"/>
      <c r="CC186" s="419">
        <v>1</v>
      </c>
      <c r="CD186" s="419">
        <v>1</v>
      </c>
      <c r="CE186" s="419">
        <v>-1</v>
      </c>
      <c r="CF186" s="419">
        <v>-1</v>
      </c>
      <c r="CG186" s="420">
        <f>IFERROR((FE186/Z186%),0)</f>
        <v>0</v>
      </c>
      <c r="CH186" s="421">
        <f>IFERROR((FK186/Z186%),0)</f>
        <v>0</v>
      </c>
      <c r="CI186" s="414" t="s">
        <v>1624</v>
      </c>
      <c r="CJ186" s="415">
        <v>0</v>
      </c>
      <c r="CK186" s="415">
        <v>0</v>
      </c>
      <c r="CL186" s="415">
        <v>0</v>
      </c>
      <c r="CM186" s="415">
        <v>0</v>
      </c>
      <c r="CN186" s="415">
        <v>0</v>
      </c>
      <c r="CO186" s="415">
        <v>0</v>
      </c>
      <c r="CP186" s="415">
        <v>0</v>
      </c>
      <c r="CQ186" s="415">
        <v>1</v>
      </c>
      <c r="CR186" s="415">
        <v>0</v>
      </c>
      <c r="CS186" s="415">
        <v>0</v>
      </c>
      <c r="CT186" s="415">
        <v>0</v>
      </c>
      <c r="CU186" s="415">
        <v>0</v>
      </c>
      <c r="CV186" s="410">
        <f t="shared" si="72"/>
        <v>1</v>
      </c>
      <c r="CW186" s="415">
        <v>0</v>
      </c>
      <c r="CX186" s="415">
        <v>1</v>
      </c>
      <c r="CY186" s="415">
        <v>0</v>
      </c>
      <c r="CZ186" s="415">
        <v>0</v>
      </c>
      <c r="DA186" s="415">
        <v>0</v>
      </c>
      <c r="DB186" s="415">
        <v>0</v>
      </c>
      <c r="DC186" s="415">
        <v>0</v>
      </c>
      <c r="DD186" s="415">
        <v>0</v>
      </c>
      <c r="DE186" s="415">
        <v>0</v>
      </c>
      <c r="DF186" s="415">
        <v>0</v>
      </c>
      <c r="DG186" s="415">
        <v>0</v>
      </c>
      <c r="DH186" s="415">
        <v>0</v>
      </c>
      <c r="DI186" s="410">
        <f t="shared" si="73"/>
        <v>1</v>
      </c>
      <c r="DJ186" s="415">
        <v>0</v>
      </c>
      <c r="DK186" s="415">
        <v>0</v>
      </c>
      <c r="DL186" s="415">
        <v>0</v>
      </c>
      <c r="DM186" s="415">
        <v>0</v>
      </c>
      <c r="DN186" s="415">
        <v>0</v>
      </c>
      <c r="DO186" s="415">
        <v>0</v>
      </c>
      <c r="DP186" s="415">
        <v>0</v>
      </c>
      <c r="DQ186" s="415">
        <v>0</v>
      </c>
      <c r="DR186" s="415">
        <v>0</v>
      </c>
      <c r="DS186" s="415">
        <v>0</v>
      </c>
      <c r="DT186" s="415">
        <v>0</v>
      </c>
      <c r="DU186" s="415">
        <v>0</v>
      </c>
      <c r="DV186" s="410">
        <f t="shared" si="74"/>
        <v>0</v>
      </c>
      <c r="DW186" s="415">
        <v>0</v>
      </c>
      <c r="DX186" s="415">
        <v>0</v>
      </c>
      <c r="DY186" s="415">
        <v>0</v>
      </c>
      <c r="DZ186" s="415">
        <v>0</v>
      </c>
      <c r="EA186" s="415">
        <v>0</v>
      </c>
      <c r="EB186" s="415">
        <v>0</v>
      </c>
      <c r="EC186" s="415">
        <v>0</v>
      </c>
      <c r="ED186" s="415">
        <v>0</v>
      </c>
      <c r="EE186" s="415">
        <v>0</v>
      </c>
      <c r="EF186" s="415">
        <v>0</v>
      </c>
      <c r="EG186" s="415">
        <v>0</v>
      </c>
      <c r="EH186" s="415">
        <v>0</v>
      </c>
      <c r="EI186" s="410">
        <f t="shared" si="75"/>
        <v>0</v>
      </c>
      <c r="EJ186" s="415">
        <v>0</v>
      </c>
      <c r="EK186" s="415">
        <v>0</v>
      </c>
      <c r="EL186" s="415">
        <v>0</v>
      </c>
      <c r="EM186" s="415">
        <v>0</v>
      </c>
      <c r="EN186" s="415">
        <v>0</v>
      </c>
      <c r="EO186" s="415">
        <v>0</v>
      </c>
      <c r="EP186" s="415">
        <v>0</v>
      </c>
      <c r="EQ186" s="415">
        <v>0</v>
      </c>
      <c r="ER186" s="415">
        <v>0</v>
      </c>
      <c r="ES186" s="415">
        <v>0</v>
      </c>
      <c r="ET186" s="415">
        <v>0</v>
      </c>
      <c r="EU186" s="415">
        <v>0</v>
      </c>
      <c r="EV186" s="410">
        <f t="shared" si="76"/>
        <v>0</v>
      </c>
      <c r="EW186" s="416">
        <f t="shared" si="77"/>
        <v>2</v>
      </c>
      <c r="EX186" s="417">
        <f>IFERROR(VLOOKUP(H186,CEI_012018!$A$1:$U$509,9,FALSE),0)</f>
        <v>0</v>
      </c>
      <c r="EY186" s="417">
        <f>IFERROR(VLOOKUP(H186,CEI_022018!$A$1:$U$509,9,FALSE),0)</f>
        <v>0</v>
      </c>
      <c r="EZ186" s="417">
        <f>IFERROR(VLOOKUP(H186,CEI_032018!$A$1:$U$509,9,FALSE),0)</f>
        <v>0</v>
      </c>
      <c r="FA186" s="417">
        <f>IFERROR(VLOOKUP(H186,CEI_042018!$A$1:$U$491,9,FALSE),0)</f>
        <v>0</v>
      </c>
      <c r="FB186" s="417">
        <f>IFERROR(VLOOKUP(H186,CEI_052018!$A$1:$U$489,9,FALSE),0)</f>
        <v>0</v>
      </c>
      <c r="FC186" s="417">
        <f>IFERROR(VLOOKUP(H186,CEI_062018!$A$1:$U$489,9,FALSE),0)</f>
        <v>0</v>
      </c>
      <c r="FD186" s="417">
        <f>IFERROR(VLOOKUP(H186,CEI_072018!$A$1:$U$489,9,FALSE),0)</f>
        <v>0</v>
      </c>
      <c r="FE186" s="417">
        <f>IFERROR(VLOOKUP(H186,CEI_082018!$A$1:$U$489,9,FALSE),0)</f>
        <v>0</v>
      </c>
      <c r="FF186" s="417">
        <f>IFERROR(VLOOKUP(H186,CEI_092018!$A$1:$U$489,9,FALSE),0)</f>
        <v>0</v>
      </c>
      <c r="FG186" s="417"/>
      <c r="FH186" s="417"/>
      <c r="FI186" s="417"/>
      <c r="FJ186" s="418">
        <f>IFERROR(VLOOKUP(H186,CEI_092018!$A$1:$U$489,12,FALSE),0)</f>
        <v>0</v>
      </c>
      <c r="FK186" s="418">
        <f t="shared" si="70"/>
        <v>0</v>
      </c>
      <c r="FL186" s="418">
        <f t="shared" si="71"/>
        <v>318</v>
      </c>
      <c r="FM186" s="417"/>
      <c r="FN186" s="417"/>
      <c r="FO186" s="417"/>
      <c r="FP186" s="417"/>
      <c r="FQ186" s="417"/>
      <c r="FR186" s="417"/>
      <c r="FS186" s="417"/>
      <c r="FT186" s="417"/>
      <c r="FU186" s="417"/>
      <c r="FV186" s="417"/>
      <c r="FW186" s="417"/>
      <c r="FX186" s="417"/>
      <c r="FY186" s="418"/>
      <c r="FZ186" s="418"/>
      <c r="GA186" s="418"/>
      <c r="GB186" s="417"/>
      <c r="GC186" s="417"/>
      <c r="GD186" s="417"/>
      <c r="GE186" s="417"/>
      <c r="GF186" s="417"/>
      <c r="GG186" s="417"/>
      <c r="GH186" s="417"/>
      <c r="GI186" s="417"/>
      <c r="GJ186" s="417"/>
      <c r="GK186" s="417"/>
      <c r="GL186" s="417"/>
      <c r="GM186" s="417"/>
      <c r="GN186" s="418"/>
      <c r="GO186" s="418"/>
      <c r="GP186" s="418"/>
      <c r="GQ186" s="417"/>
      <c r="GR186" s="417"/>
      <c r="GS186" s="417"/>
      <c r="GT186" s="417"/>
      <c r="GU186" s="417"/>
      <c r="GV186" s="417"/>
      <c r="GW186" s="417"/>
      <c r="GX186" s="417"/>
      <c r="GY186" s="417"/>
      <c r="GZ186" s="417"/>
      <c r="HA186" s="417"/>
      <c r="HB186" s="417"/>
      <c r="HC186" s="418"/>
      <c r="HD186" s="418"/>
      <c r="HE186" s="418"/>
      <c r="HF186" s="417"/>
      <c r="HG186" s="417"/>
      <c r="HH186" s="417"/>
      <c r="HI186" s="417"/>
      <c r="HJ186" s="417"/>
      <c r="HK186" s="417"/>
      <c r="HL186" s="417"/>
      <c r="HM186" s="417"/>
      <c r="HN186" s="417"/>
      <c r="HO186" s="417"/>
      <c r="HP186" s="417"/>
      <c r="HQ186" s="417"/>
      <c r="HR186" s="418"/>
      <c r="HS186" s="418"/>
      <c r="HT186" s="418"/>
    </row>
    <row r="187" spans="1:228" s="387" customFormat="1" ht="12.75" customHeight="1" x14ac:dyDescent="0.2">
      <c r="A187" s="406" t="s">
        <v>52</v>
      </c>
      <c r="B187" s="407" t="s">
        <v>30</v>
      </c>
      <c r="C187" s="406" t="s">
        <v>1000</v>
      </c>
      <c r="D187" s="407" t="s">
        <v>1004</v>
      </c>
      <c r="E187" s="407" t="s">
        <v>173</v>
      </c>
      <c r="F187" s="407" t="s">
        <v>1744</v>
      </c>
      <c r="G187" s="406" t="s">
        <v>63</v>
      </c>
      <c r="H187" s="408" t="s">
        <v>520</v>
      </c>
      <c r="I187" s="408" t="s">
        <v>57</v>
      </c>
      <c r="J187" s="406" t="s">
        <v>1028</v>
      </c>
      <c r="K187" s="406"/>
      <c r="L187" s="406"/>
      <c r="M187" s="406" t="s">
        <v>57</v>
      </c>
      <c r="N187" s="452">
        <v>0</v>
      </c>
      <c r="O187" s="452">
        <v>0</v>
      </c>
      <c r="P187" s="452">
        <v>0</v>
      </c>
      <c r="Q187" s="452">
        <v>0</v>
      </c>
      <c r="R187" s="452">
        <v>0</v>
      </c>
      <c r="S187" s="452">
        <v>0</v>
      </c>
      <c r="T187" s="452">
        <v>0</v>
      </c>
      <c r="U187" s="409">
        <v>0</v>
      </c>
      <c r="V187" s="409">
        <v>0</v>
      </c>
      <c r="W187" s="409">
        <v>0</v>
      </c>
      <c r="X187" s="409">
        <v>0</v>
      </c>
      <c r="Y187" s="409">
        <v>0</v>
      </c>
      <c r="Z187" s="453">
        <f t="shared" si="63"/>
        <v>0</v>
      </c>
      <c r="AA187" s="452">
        <v>0</v>
      </c>
      <c r="AB187" s="452">
        <v>0</v>
      </c>
      <c r="AC187" s="452">
        <v>0</v>
      </c>
      <c r="AD187" s="452">
        <v>0</v>
      </c>
      <c r="AE187" s="452">
        <v>0</v>
      </c>
      <c r="AF187" s="452">
        <v>0</v>
      </c>
      <c r="AG187" s="452">
        <v>0</v>
      </c>
      <c r="AH187" s="409">
        <v>0</v>
      </c>
      <c r="AI187" s="409">
        <v>0</v>
      </c>
      <c r="AJ187" s="409">
        <v>0</v>
      </c>
      <c r="AK187" s="409">
        <v>0</v>
      </c>
      <c r="AL187" s="409">
        <v>0</v>
      </c>
      <c r="AM187" s="453">
        <f t="shared" si="58"/>
        <v>0</v>
      </c>
      <c r="AN187" s="452">
        <v>0</v>
      </c>
      <c r="AO187" s="452">
        <v>0</v>
      </c>
      <c r="AP187" s="452">
        <v>0</v>
      </c>
      <c r="AQ187" s="452">
        <v>0</v>
      </c>
      <c r="AR187" s="452">
        <v>0</v>
      </c>
      <c r="AS187" s="452">
        <v>100</v>
      </c>
      <c r="AT187" s="452">
        <v>0</v>
      </c>
      <c r="AU187" s="409">
        <v>0</v>
      </c>
      <c r="AV187" s="409">
        <v>0</v>
      </c>
      <c r="AW187" s="409">
        <v>0</v>
      </c>
      <c r="AX187" s="409">
        <v>0</v>
      </c>
      <c r="AY187" s="409">
        <v>0</v>
      </c>
      <c r="AZ187" s="453">
        <f t="shared" si="59"/>
        <v>100</v>
      </c>
      <c r="BA187" s="452">
        <v>0</v>
      </c>
      <c r="BB187" s="452">
        <v>0</v>
      </c>
      <c r="BC187" s="452">
        <v>0</v>
      </c>
      <c r="BD187" s="452">
        <v>0</v>
      </c>
      <c r="BE187" s="452">
        <v>0</v>
      </c>
      <c r="BF187" s="452">
        <v>0</v>
      </c>
      <c r="BG187" s="452">
        <v>0</v>
      </c>
      <c r="BH187" s="409">
        <v>0</v>
      </c>
      <c r="BI187" s="409">
        <v>0</v>
      </c>
      <c r="BJ187" s="409">
        <v>0</v>
      </c>
      <c r="BK187" s="409">
        <v>0</v>
      </c>
      <c r="BL187" s="409">
        <v>0</v>
      </c>
      <c r="BM187" s="453">
        <f t="shared" si="60"/>
        <v>0</v>
      </c>
      <c r="BN187" s="452">
        <v>0</v>
      </c>
      <c r="BO187" s="452">
        <v>0</v>
      </c>
      <c r="BP187" s="452">
        <v>0</v>
      </c>
      <c r="BQ187" s="452">
        <v>0</v>
      </c>
      <c r="BR187" s="452">
        <v>0</v>
      </c>
      <c r="BS187" s="452">
        <v>0</v>
      </c>
      <c r="BT187" s="452">
        <v>0</v>
      </c>
      <c r="BU187" s="409">
        <v>0</v>
      </c>
      <c r="BV187" s="409">
        <v>0</v>
      </c>
      <c r="BW187" s="409">
        <v>0</v>
      </c>
      <c r="BX187" s="409">
        <v>0</v>
      </c>
      <c r="BY187" s="409">
        <v>0</v>
      </c>
      <c r="BZ187" s="453">
        <f t="shared" si="61"/>
        <v>0</v>
      </c>
      <c r="CA187" s="454">
        <f t="shared" si="62"/>
        <v>100</v>
      </c>
      <c r="CB187" s="411"/>
      <c r="CC187" s="411"/>
      <c r="CD187" s="411"/>
      <c r="CE187" s="411"/>
      <c r="CF187" s="411"/>
      <c r="CG187" s="412"/>
      <c r="CH187" s="413"/>
      <c r="CI187" s="414" t="s">
        <v>1622</v>
      </c>
      <c r="CJ187" s="415">
        <v>0</v>
      </c>
      <c r="CK187" s="415">
        <v>0</v>
      </c>
      <c r="CL187" s="415">
        <v>0</v>
      </c>
      <c r="CM187" s="415">
        <v>0</v>
      </c>
      <c r="CN187" s="415">
        <v>0</v>
      </c>
      <c r="CO187" s="415">
        <v>0</v>
      </c>
      <c r="CP187" s="415">
        <v>0</v>
      </c>
      <c r="CQ187" s="415">
        <v>0</v>
      </c>
      <c r="CR187" s="415">
        <v>0</v>
      </c>
      <c r="CS187" s="415">
        <v>0</v>
      </c>
      <c r="CT187" s="415">
        <v>0</v>
      </c>
      <c r="CU187" s="415">
        <v>0</v>
      </c>
      <c r="CV187" s="410">
        <f t="shared" si="72"/>
        <v>0</v>
      </c>
      <c r="CW187" s="415">
        <v>0</v>
      </c>
      <c r="CX187" s="415">
        <v>0</v>
      </c>
      <c r="CY187" s="415">
        <v>0</v>
      </c>
      <c r="CZ187" s="415">
        <v>0</v>
      </c>
      <c r="DA187" s="415">
        <v>0</v>
      </c>
      <c r="DB187" s="415">
        <v>0</v>
      </c>
      <c r="DC187" s="415">
        <v>0</v>
      </c>
      <c r="DD187" s="415">
        <v>0</v>
      </c>
      <c r="DE187" s="415">
        <v>0</v>
      </c>
      <c r="DF187" s="415">
        <v>0</v>
      </c>
      <c r="DG187" s="415">
        <v>0</v>
      </c>
      <c r="DH187" s="415">
        <v>0</v>
      </c>
      <c r="DI187" s="410">
        <f t="shared" si="73"/>
        <v>0</v>
      </c>
      <c r="DJ187" s="415">
        <v>0</v>
      </c>
      <c r="DK187" s="415">
        <v>0</v>
      </c>
      <c r="DL187" s="415">
        <v>0</v>
      </c>
      <c r="DM187" s="415">
        <v>0</v>
      </c>
      <c r="DN187" s="415">
        <v>0</v>
      </c>
      <c r="DO187" s="415">
        <v>285.71428571428572</v>
      </c>
      <c r="DP187" s="415">
        <v>0</v>
      </c>
      <c r="DQ187" s="415">
        <v>0</v>
      </c>
      <c r="DR187" s="415">
        <v>0</v>
      </c>
      <c r="DS187" s="415">
        <v>0</v>
      </c>
      <c r="DT187" s="415">
        <v>0</v>
      </c>
      <c r="DU187" s="415">
        <v>0</v>
      </c>
      <c r="DV187" s="410">
        <f t="shared" si="74"/>
        <v>285.71428571428572</v>
      </c>
      <c r="DW187" s="415">
        <v>0</v>
      </c>
      <c r="DX187" s="415">
        <v>0</v>
      </c>
      <c r="DY187" s="415">
        <v>0</v>
      </c>
      <c r="DZ187" s="415">
        <v>0</v>
      </c>
      <c r="EA187" s="415">
        <v>0</v>
      </c>
      <c r="EB187" s="415">
        <v>0</v>
      </c>
      <c r="EC187" s="415">
        <v>0</v>
      </c>
      <c r="ED187" s="415">
        <v>0</v>
      </c>
      <c r="EE187" s="415">
        <v>0</v>
      </c>
      <c r="EF187" s="415">
        <v>0</v>
      </c>
      <c r="EG187" s="415">
        <v>0</v>
      </c>
      <c r="EH187" s="415">
        <v>0</v>
      </c>
      <c r="EI187" s="410">
        <f t="shared" si="75"/>
        <v>0</v>
      </c>
      <c r="EJ187" s="415">
        <v>0</v>
      </c>
      <c r="EK187" s="415">
        <v>0</v>
      </c>
      <c r="EL187" s="415">
        <v>0</v>
      </c>
      <c r="EM187" s="415">
        <v>0</v>
      </c>
      <c r="EN187" s="415">
        <v>0</v>
      </c>
      <c r="EO187" s="415">
        <v>0</v>
      </c>
      <c r="EP187" s="415">
        <v>0</v>
      </c>
      <c r="EQ187" s="415">
        <v>0</v>
      </c>
      <c r="ER187" s="415">
        <v>0</v>
      </c>
      <c r="ES187" s="415">
        <v>0</v>
      </c>
      <c r="ET187" s="415">
        <v>0</v>
      </c>
      <c r="EU187" s="415">
        <v>0</v>
      </c>
      <c r="EV187" s="410">
        <f t="shared" si="76"/>
        <v>0</v>
      </c>
      <c r="EW187" s="416">
        <f t="shared" si="77"/>
        <v>285.71428571428572</v>
      </c>
      <c r="EX187" s="417">
        <f>IFERROR(VLOOKUP(H187,CEI_012018!$A$1:$U$509,9,FALSE),0)</f>
        <v>0</v>
      </c>
      <c r="EY187" s="417">
        <f>IFERROR(VLOOKUP(H187,CEI_022018!$A$1:$U$509,9,FALSE),0)</f>
        <v>0</v>
      </c>
      <c r="EZ187" s="417">
        <f>IFERROR(VLOOKUP(H187,CEI_032018!$A$1:$U$509,9,FALSE),0)</f>
        <v>0</v>
      </c>
      <c r="FA187" s="417">
        <f>IFERROR(VLOOKUP(H187,CEI_042018!$A$1:$U$491,9,FALSE),0)</f>
        <v>0</v>
      </c>
      <c r="FB187" s="417">
        <f>IFERROR(VLOOKUP(H187,CEI_052018!$A$1:$U$489,9,FALSE),0)</f>
        <v>0</v>
      </c>
      <c r="FC187" s="417">
        <f>IFERROR(VLOOKUP(H187,CEI_062018!$A$1:$U$489,9,FALSE),0)</f>
        <v>0</v>
      </c>
      <c r="FD187" s="417">
        <f>IFERROR(VLOOKUP(H187,CEI_072018!$A$1:$U$489,9,FALSE),0)</f>
        <v>0</v>
      </c>
      <c r="FE187" s="417">
        <f>IFERROR(VLOOKUP(H187,CEI_082018!$A$1:$U$489,9,FALSE),0)</f>
        <v>0</v>
      </c>
      <c r="FF187" s="417">
        <f>IFERROR(VLOOKUP(H187,CEI_092018!$A$1:$U$489,9,FALSE),0)</f>
        <v>0</v>
      </c>
      <c r="FG187" s="417"/>
      <c r="FH187" s="417"/>
      <c r="FI187" s="417"/>
      <c r="FJ187" s="418">
        <f>IFERROR(VLOOKUP(H187,CEI_092018!$A$1:$U$489,12,FALSE),0)</f>
        <v>0</v>
      </c>
      <c r="FK187" s="418">
        <f t="shared" si="70"/>
        <v>0</v>
      </c>
      <c r="FL187" s="418">
        <f t="shared" si="71"/>
        <v>0</v>
      </c>
      <c r="FM187" s="417"/>
      <c r="FN187" s="417"/>
      <c r="FO187" s="417"/>
      <c r="FP187" s="417"/>
      <c r="FQ187" s="417"/>
      <c r="FR187" s="417"/>
      <c r="FS187" s="417"/>
      <c r="FT187" s="417"/>
      <c r="FU187" s="417"/>
      <c r="FV187" s="417"/>
      <c r="FW187" s="417"/>
      <c r="FX187" s="417"/>
      <c r="FY187" s="418"/>
      <c r="FZ187" s="418"/>
      <c r="GA187" s="418"/>
      <c r="GB187" s="417"/>
      <c r="GC187" s="417"/>
      <c r="GD187" s="417"/>
      <c r="GE187" s="417"/>
      <c r="GF187" s="417"/>
      <c r="GG187" s="417"/>
      <c r="GH187" s="417"/>
      <c r="GI187" s="417"/>
      <c r="GJ187" s="417"/>
      <c r="GK187" s="417"/>
      <c r="GL187" s="417"/>
      <c r="GM187" s="417"/>
      <c r="GN187" s="418"/>
      <c r="GO187" s="418"/>
      <c r="GP187" s="418"/>
      <c r="GQ187" s="417"/>
      <c r="GR187" s="417"/>
      <c r="GS187" s="417"/>
      <c r="GT187" s="417"/>
      <c r="GU187" s="417"/>
      <c r="GV187" s="417"/>
      <c r="GW187" s="417"/>
      <c r="GX187" s="417"/>
      <c r="GY187" s="417"/>
      <c r="GZ187" s="417"/>
      <c r="HA187" s="417"/>
      <c r="HB187" s="417"/>
      <c r="HC187" s="418"/>
      <c r="HD187" s="418"/>
      <c r="HE187" s="418"/>
      <c r="HF187" s="417"/>
      <c r="HG187" s="417"/>
      <c r="HH187" s="417"/>
      <c r="HI187" s="417"/>
      <c r="HJ187" s="417"/>
      <c r="HK187" s="417"/>
      <c r="HL187" s="417"/>
      <c r="HM187" s="417"/>
      <c r="HN187" s="417"/>
      <c r="HO187" s="417"/>
      <c r="HP187" s="417"/>
      <c r="HQ187" s="417"/>
      <c r="HR187" s="418"/>
      <c r="HS187" s="418"/>
      <c r="HT187" s="418"/>
    </row>
    <row r="188" spans="1:228" s="387" customFormat="1" ht="12.75" customHeight="1" x14ac:dyDescent="0.2">
      <c r="A188" s="406" t="s">
        <v>52</v>
      </c>
      <c r="B188" s="407" t="s">
        <v>30</v>
      </c>
      <c r="C188" s="406" t="s">
        <v>1000</v>
      </c>
      <c r="D188" s="407" t="s">
        <v>1004</v>
      </c>
      <c r="E188" s="407" t="s">
        <v>1739</v>
      </c>
      <c r="F188" s="407" t="s">
        <v>1746</v>
      </c>
      <c r="G188" s="406" t="s">
        <v>63</v>
      </c>
      <c r="H188" s="408" t="s">
        <v>1152</v>
      </c>
      <c r="I188" s="408" t="s">
        <v>1153</v>
      </c>
      <c r="J188" s="406" t="s">
        <v>854</v>
      </c>
      <c r="K188" s="406" t="s">
        <v>855</v>
      </c>
      <c r="L188" s="406" t="s">
        <v>973</v>
      </c>
      <c r="M188" s="406" t="s">
        <v>1774</v>
      </c>
      <c r="N188" s="452">
        <v>0</v>
      </c>
      <c r="O188" s="452">
        <v>0</v>
      </c>
      <c r="P188" s="452">
        <v>0</v>
      </c>
      <c r="Q188" s="452">
        <v>0</v>
      </c>
      <c r="R188" s="452">
        <v>0</v>
      </c>
      <c r="S188" s="452">
        <v>0</v>
      </c>
      <c r="T188" s="452">
        <v>0</v>
      </c>
      <c r="U188" s="409">
        <v>0</v>
      </c>
      <c r="V188" s="409">
        <v>16</v>
      </c>
      <c r="W188" s="409">
        <v>20</v>
      </c>
      <c r="X188" s="409">
        <v>20</v>
      </c>
      <c r="Y188" s="409">
        <f>43.199+16</f>
        <v>59.198999999999998</v>
      </c>
      <c r="Z188" s="453">
        <f t="shared" si="63"/>
        <v>115.199</v>
      </c>
      <c r="AA188" s="452">
        <v>0</v>
      </c>
      <c r="AB188" s="452">
        <v>0</v>
      </c>
      <c r="AC188" s="452">
        <v>0</v>
      </c>
      <c r="AD188" s="452">
        <v>0</v>
      </c>
      <c r="AE188" s="452">
        <v>0</v>
      </c>
      <c r="AF188" s="452">
        <v>0</v>
      </c>
      <c r="AG188" s="452">
        <v>0</v>
      </c>
      <c r="AH188" s="409">
        <v>0</v>
      </c>
      <c r="AI188" s="409">
        <v>0</v>
      </c>
      <c r="AJ188" s="409">
        <v>0</v>
      </c>
      <c r="AK188" s="409">
        <v>0</v>
      </c>
      <c r="AL188" s="409">
        <v>0</v>
      </c>
      <c r="AM188" s="453">
        <f t="shared" si="58"/>
        <v>0</v>
      </c>
      <c r="AN188" s="452">
        <v>0</v>
      </c>
      <c r="AO188" s="452">
        <v>0</v>
      </c>
      <c r="AP188" s="452">
        <v>0</v>
      </c>
      <c r="AQ188" s="452">
        <v>0</v>
      </c>
      <c r="AR188" s="452">
        <v>0</v>
      </c>
      <c r="AS188" s="452">
        <v>0</v>
      </c>
      <c r="AT188" s="452">
        <v>0</v>
      </c>
      <c r="AU188" s="409">
        <v>0</v>
      </c>
      <c r="AV188" s="409">
        <v>0</v>
      </c>
      <c r="AW188" s="409">
        <v>0</v>
      </c>
      <c r="AX188" s="409">
        <v>0</v>
      </c>
      <c r="AY188" s="409">
        <v>0</v>
      </c>
      <c r="AZ188" s="453">
        <f t="shared" si="59"/>
        <v>0</v>
      </c>
      <c r="BA188" s="452">
        <v>0</v>
      </c>
      <c r="BB188" s="452">
        <v>0</v>
      </c>
      <c r="BC188" s="452">
        <v>0</v>
      </c>
      <c r="BD188" s="452">
        <v>0</v>
      </c>
      <c r="BE188" s="452">
        <v>0</v>
      </c>
      <c r="BF188" s="452">
        <v>0</v>
      </c>
      <c r="BG188" s="452">
        <v>0</v>
      </c>
      <c r="BH188" s="409">
        <v>0</v>
      </c>
      <c r="BI188" s="409">
        <v>0</v>
      </c>
      <c r="BJ188" s="409">
        <v>0</v>
      </c>
      <c r="BK188" s="409">
        <v>0</v>
      </c>
      <c r="BL188" s="409">
        <v>0</v>
      </c>
      <c r="BM188" s="453">
        <f t="shared" si="60"/>
        <v>0</v>
      </c>
      <c r="BN188" s="452">
        <v>0</v>
      </c>
      <c r="BO188" s="452">
        <v>0</v>
      </c>
      <c r="BP188" s="452">
        <v>0</v>
      </c>
      <c r="BQ188" s="452">
        <v>0</v>
      </c>
      <c r="BR188" s="452">
        <v>0</v>
      </c>
      <c r="BS188" s="452">
        <v>0</v>
      </c>
      <c r="BT188" s="452">
        <v>0</v>
      </c>
      <c r="BU188" s="409">
        <v>0</v>
      </c>
      <c r="BV188" s="409">
        <v>0</v>
      </c>
      <c r="BW188" s="409">
        <v>0</v>
      </c>
      <c r="BX188" s="409">
        <v>0</v>
      </c>
      <c r="BY188" s="409">
        <v>0</v>
      </c>
      <c r="BZ188" s="453">
        <f t="shared" si="61"/>
        <v>0</v>
      </c>
      <c r="CA188" s="454">
        <f t="shared" si="62"/>
        <v>115.199</v>
      </c>
      <c r="CB188" s="419"/>
      <c r="CC188" s="419">
        <v>1</v>
      </c>
      <c r="CD188" s="419">
        <v>1</v>
      </c>
      <c r="CE188" s="419">
        <v>1</v>
      </c>
      <c r="CF188" s="419">
        <v>1</v>
      </c>
      <c r="CG188" s="420">
        <f>IFERROR((FE188/Z188%),0)</f>
        <v>0</v>
      </c>
      <c r="CH188" s="421">
        <f>IFERROR((FK188/Z188%),0)</f>
        <v>100.00086541397251</v>
      </c>
      <c r="CI188" s="414" t="s">
        <v>1621</v>
      </c>
      <c r="CJ188" s="415">
        <v>0</v>
      </c>
      <c r="CK188" s="415">
        <v>0</v>
      </c>
      <c r="CL188" s="415">
        <v>0</v>
      </c>
      <c r="CM188" s="415">
        <v>0</v>
      </c>
      <c r="CN188" s="415">
        <v>0</v>
      </c>
      <c r="CO188" s="415">
        <v>0</v>
      </c>
      <c r="CP188" s="415">
        <v>0</v>
      </c>
      <c r="CQ188" s="415">
        <v>0</v>
      </c>
      <c r="CR188" s="415">
        <v>0</v>
      </c>
      <c r="CS188" s="415">
        <v>0</v>
      </c>
      <c r="CT188" s="415">
        <v>0</v>
      </c>
      <c r="CU188" s="415">
        <v>1</v>
      </c>
      <c r="CV188" s="410">
        <f t="shared" si="72"/>
        <v>1</v>
      </c>
      <c r="CW188" s="415">
        <v>0</v>
      </c>
      <c r="CX188" s="415">
        <v>0</v>
      </c>
      <c r="CY188" s="415">
        <v>0</v>
      </c>
      <c r="CZ188" s="415">
        <v>0</v>
      </c>
      <c r="DA188" s="415">
        <v>0</v>
      </c>
      <c r="DB188" s="415">
        <v>0</v>
      </c>
      <c r="DC188" s="415">
        <v>0</v>
      </c>
      <c r="DD188" s="415">
        <v>0</v>
      </c>
      <c r="DE188" s="415">
        <v>0</v>
      </c>
      <c r="DF188" s="415">
        <v>0</v>
      </c>
      <c r="DG188" s="415">
        <v>0</v>
      </c>
      <c r="DH188" s="415">
        <v>0</v>
      </c>
      <c r="DI188" s="410">
        <f t="shared" si="73"/>
        <v>0</v>
      </c>
      <c r="DJ188" s="415">
        <v>0</v>
      </c>
      <c r="DK188" s="415">
        <v>0</v>
      </c>
      <c r="DL188" s="415">
        <v>0</v>
      </c>
      <c r="DM188" s="415">
        <v>0</v>
      </c>
      <c r="DN188" s="415">
        <v>0</v>
      </c>
      <c r="DO188" s="415">
        <v>0</v>
      </c>
      <c r="DP188" s="415">
        <v>0</v>
      </c>
      <c r="DQ188" s="415">
        <v>0</v>
      </c>
      <c r="DR188" s="415">
        <v>0</v>
      </c>
      <c r="DS188" s="415">
        <v>0</v>
      </c>
      <c r="DT188" s="415">
        <v>0</v>
      </c>
      <c r="DU188" s="415">
        <v>0</v>
      </c>
      <c r="DV188" s="410">
        <f t="shared" si="74"/>
        <v>0</v>
      </c>
      <c r="DW188" s="415">
        <v>0</v>
      </c>
      <c r="DX188" s="415">
        <v>0</v>
      </c>
      <c r="DY188" s="415">
        <v>0</v>
      </c>
      <c r="DZ188" s="415">
        <v>0</v>
      </c>
      <c r="EA188" s="415">
        <v>0</v>
      </c>
      <c r="EB188" s="415">
        <v>0</v>
      </c>
      <c r="EC188" s="415">
        <v>0</v>
      </c>
      <c r="ED188" s="415">
        <v>0</v>
      </c>
      <c r="EE188" s="415">
        <v>0</v>
      </c>
      <c r="EF188" s="415">
        <v>0</v>
      </c>
      <c r="EG188" s="415">
        <v>0</v>
      </c>
      <c r="EH188" s="415">
        <v>0</v>
      </c>
      <c r="EI188" s="410">
        <f t="shared" si="75"/>
        <v>0</v>
      </c>
      <c r="EJ188" s="415">
        <v>0</v>
      </c>
      <c r="EK188" s="415">
        <v>0</v>
      </c>
      <c r="EL188" s="415">
        <v>0</v>
      </c>
      <c r="EM188" s="415">
        <v>0</v>
      </c>
      <c r="EN188" s="415">
        <v>0</v>
      </c>
      <c r="EO188" s="415">
        <v>0</v>
      </c>
      <c r="EP188" s="415">
        <v>0</v>
      </c>
      <c r="EQ188" s="415">
        <v>0</v>
      </c>
      <c r="ER188" s="415">
        <v>0</v>
      </c>
      <c r="ES188" s="415">
        <v>0</v>
      </c>
      <c r="ET188" s="415">
        <v>0</v>
      </c>
      <c r="EU188" s="415">
        <v>0</v>
      </c>
      <c r="EV188" s="410">
        <f t="shared" si="76"/>
        <v>0</v>
      </c>
      <c r="EW188" s="416">
        <f t="shared" si="77"/>
        <v>1</v>
      </c>
      <c r="EX188" s="417">
        <f>IFERROR(VLOOKUP(H188,CEI_012018!$A$1:$U$509,9,FALSE),0)</f>
        <v>0</v>
      </c>
      <c r="EY188" s="417">
        <f>IFERROR(VLOOKUP(H188,CEI_022018!$A$1:$U$509,9,FALSE),0)</f>
        <v>0</v>
      </c>
      <c r="EZ188" s="417">
        <f>IFERROR(VLOOKUP(H188,CEI_032018!$A$1:$U$509,9,FALSE),0)</f>
        <v>0</v>
      </c>
      <c r="FA188" s="417">
        <f>IFERROR(VLOOKUP(H188,CEI_042018!$A$1:$U$491,9,FALSE),0)</f>
        <v>0</v>
      </c>
      <c r="FB188" s="417">
        <f>IFERROR(VLOOKUP(H188,CEI_052018!$A$1:$U$489,9,FALSE),0)</f>
        <v>0</v>
      </c>
      <c r="FC188" s="417">
        <f>IFERROR(VLOOKUP(H188,CEI_062018!$A$1:$U$489,9,FALSE),0)</f>
        <v>0</v>
      </c>
      <c r="FD188" s="417">
        <f>IFERROR(VLOOKUP(H188,CEI_072018!$A$1:$U$489,9,FALSE),0)</f>
        <v>0</v>
      </c>
      <c r="FE188" s="417">
        <f>IFERROR(VLOOKUP(H188,CEI_082018!$A$1:$U$489,9,FALSE),0)</f>
        <v>0</v>
      </c>
      <c r="FF188" s="417">
        <f>IFERROR(VLOOKUP(H188,CEI_092018!$A$1:$U$489,9,FALSE),0)</f>
        <v>0</v>
      </c>
      <c r="FG188" s="417"/>
      <c r="FH188" s="417"/>
      <c r="FI188" s="417"/>
      <c r="FJ188" s="418">
        <f>IFERROR(VLOOKUP(H188,CEI_092018!$A$1:$U$489,12,FALSE),0)</f>
        <v>115.19999694824219</v>
      </c>
      <c r="FK188" s="418">
        <f t="shared" si="70"/>
        <v>115.19999694824219</v>
      </c>
      <c r="FL188" s="418">
        <f t="shared" si="71"/>
        <v>-9.9694824218943268E-4</v>
      </c>
      <c r="FM188" s="417"/>
      <c r="FN188" s="417"/>
      <c r="FO188" s="417"/>
      <c r="FP188" s="417"/>
      <c r="FQ188" s="417"/>
      <c r="FR188" s="417"/>
      <c r="FS188" s="417"/>
      <c r="FT188" s="417"/>
      <c r="FU188" s="417"/>
      <c r="FV188" s="417"/>
      <c r="FW188" s="417"/>
      <c r="FX188" s="417"/>
      <c r="FY188" s="418"/>
      <c r="FZ188" s="418"/>
      <c r="GA188" s="418"/>
      <c r="GB188" s="417"/>
      <c r="GC188" s="417"/>
      <c r="GD188" s="417"/>
      <c r="GE188" s="417"/>
      <c r="GF188" s="417"/>
      <c r="GG188" s="417"/>
      <c r="GH188" s="417"/>
      <c r="GI188" s="417"/>
      <c r="GJ188" s="417"/>
      <c r="GK188" s="417"/>
      <c r="GL188" s="417"/>
      <c r="GM188" s="417"/>
      <c r="GN188" s="418"/>
      <c r="GO188" s="418"/>
      <c r="GP188" s="418"/>
      <c r="GQ188" s="417"/>
      <c r="GR188" s="417"/>
      <c r="GS188" s="417"/>
      <c r="GT188" s="417"/>
      <c r="GU188" s="417"/>
      <c r="GV188" s="417"/>
      <c r="GW188" s="417"/>
      <c r="GX188" s="417"/>
      <c r="GY188" s="417"/>
      <c r="GZ188" s="417"/>
      <c r="HA188" s="417"/>
      <c r="HB188" s="417"/>
      <c r="HC188" s="418"/>
      <c r="HD188" s="418"/>
      <c r="HE188" s="418"/>
      <c r="HF188" s="417"/>
      <c r="HG188" s="417"/>
      <c r="HH188" s="417"/>
      <c r="HI188" s="417"/>
      <c r="HJ188" s="417"/>
      <c r="HK188" s="417"/>
      <c r="HL188" s="417"/>
      <c r="HM188" s="417"/>
      <c r="HN188" s="417"/>
      <c r="HO188" s="417"/>
      <c r="HP188" s="417"/>
      <c r="HQ188" s="417"/>
      <c r="HR188" s="418"/>
      <c r="HS188" s="418"/>
      <c r="HT188" s="418"/>
    </row>
    <row r="189" spans="1:228" s="387" customFormat="1" ht="12.75" customHeight="1" x14ac:dyDescent="0.2">
      <c r="A189" s="406" t="s">
        <v>52</v>
      </c>
      <c r="B189" s="407" t="s">
        <v>30</v>
      </c>
      <c r="C189" s="406" t="s">
        <v>1000</v>
      </c>
      <c r="D189" s="407" t="s">
        <v>1004</v>
      </c>
      <c r="E189" s="407" t="s">
        <v>1000</v>
      </c>
      <c r="F189" s="407" t="s">
        <v>1004</v>
      </c>
      <c r="G189" s="406" t="s">
        <v>54</v>
      </c>
      <c r="H189" s="408" t="s">
        <v>1058</v>
      </c>
      <c r="I189" s="408" t="s">
        <v>1150</v>
      </c>
      <c r="J189" s="406" t="s">
        <v>1638</v>
      </c>
      <c r="K189" s="406" t="s">
        <v>377</v>
      </c>
      <c r="L189" s="406" t="s">
        <v>743</v>
      </c>
      <c r="M189" s="406" t="s">
        <v>1775</v>
      </c>
      <c r="N189" s="452">
        <v>0</v>
      </c>
      <c r="O189" s="452">
        <v>0</v>
      </c>
      <c r="P189" s="452">
        <v>119.11103057861328</v>
      </c>
      <c r="Q189" s="452">
        <v>0</v>
      </c>
      <c r="R189" s="452">
        <v>0</v>
      </c>
      <c r="S189" s="452">
        <v>0</v>
      </c>
      <c r="T189" s="452">
        <v>0</v>
      </c>
      <c r="U189" s="409">
        <v>0</v>
      </c>
      <c r="V189" s="409">
        <v>0</v>
      </c>
      <c r="W189" s="409">
        <v>0</v>
      </c>
      <c r="X189" s="409">
        <v>0</v>
      </c>
      <c r="Y189" s="409">
        <v>0</v>
      </c>
      <c r="Z189" s="453">
        <f t="shared" si="63"/>
        <v>119.11103057861328</v>
      </c>
      <c r="AA189" s="452">
        <v>0</v>
      </c>
      <c r="AB189" s="452">
        <v>125</v>
      </c>
      <c r="AC189" s="452">
        <v>0</v>
      </c>
      <c r="AD189" s="452">
        <v>0</v>
      </c>
      <c r="AE189" s="452">
        <v>0</v>
      </c>
      <c r="AF189" s="452">
        <v>0</v>
      </c>
      <c r="AG189" s="452">
        <v>0</v>
      </c>
      <c r="AH189" s="409">
        <v>0</v>
      </c>
      <c r="AI189" s="409">
        <v>0</v>
      </c>
      <c r="AJ189" s="409">
        <v>0</v>
      </c>
      <c r="AK189" s="409">
        <v>0</v>
      </c>
      <c r="AL189" s="409">
        <v>0</v>
      </c>
      <c r="AM189" s="453">
        <f t="shared" si="58"/>
        <v>125</v>
      </c>
      <c r="AN189" s="452">
        <v>0</v>
      </c>
      <c r="AO189" s="452">
        <v>180</v>
      </c>
      <c r="AP189" s="452">
        <v>0</v>
      </c>
      <c r="AQ189" s="452">
        <v>0</v>
      </c>
      <c r="AR189" s="452">
        <v>0</v>
      </c>
      <c r="AS189" s="452">
        <v>0</v>
      </c>
      <c r="AT189" s="452">
        <v>0</v>
      </c>
      <c r="AU189" s="409">
        <v>0</v>
      </c>
      <c r="AV189" s="409">
        <v>0</v>
      </c>
      <c r="AW189" s="409">
        <v>0</v>
      </c>
      <c r="AX189" s="409">
        <v>0</v>
      </c>
      <c r="AY189" s="409">
        <v>0</v>
      </c>
      <c r="AZ189" s="453">
        <f t="shared" si="59"/>
        <v>180</v>
      </c>
      <c r="BA189" s="452">
        <v>0</v>
      </c>
      <c r="BB189" s="452">
        <v>210</v>
      </c>
      <c r="BC189" s="452">
        <v>0</v>
      </c>
      <c r="BD189" s="452">
        <v>0</v>
      </c>
      <c r="BE189" s="452">
        <v>0</v>
      </c>
      <c r="BF189" s="452">
        <v>0</v>
      </c>
      <c r="BG189" s="452">
        <v>0</v>
      </c>
      <c r="BH189" s="409">
        <v>0</v>
      </c>
      <c r="BI189" s="409">
        <v>0</v>
      </c>
      <c r="BJ189" s="409">
        <v>0</v>
      </c>
      <c r="BK189" s="409">
        <v>0</v>
      </c>
      <c r="BL189" s="409">
        <v>0</v>
      </c>
      <c r="BM189" s="453">
        <f t="shared" si="60"/>
        <v>210</v>
      </c>
      <c r="BN189" s="452">
        <v>0</v>
      </c>
      <c r="BO189" s="452">
        <v>210</v>
      </c>
      <c r="BP189" s="452">
        <v>0</v>
      </c>
      <c r="BQ189" s="452">
        <v>0</v>
      </c>
      <c r="BR189" s="452">
        <v>0</v>
      </c>
      <c r="BS189" s="452">
        <v>0</v>
      </c>
      <c r="BT189" s="452">
        <v>0</v>
      </c>
      <c r="BU189" s="409">
        <v>0</v>
      </c>
      <c r="BV189" s="409">
        <v>0</v>
      </c>
      <c r="BW189" s="409">
        <v>0</v>
      </c>
      <c r="BX189" s="409">
        <v>0</v>
      </c>
      <c r="BY189" s="409">
        <v>0</v>
      </c>
      <c r="BZ189" s="453">
        <f t="shared" si="61"/>
        <v>210</v>
      </c>
      <c r="CA189" s="454">
        <f t="shared" si="62"/>
        <v>844.11103057861328</v>
      </c>
      <c r="CB189" s="419"/>
      <c r="CC189" s="419">
        <v>1</v>
      </c>
      <c r="CD189" s="419">
        <v>1</v>
      </c>
      <c r="CE189" s="419">
        <v>1</v>
      </c>
      <c r="CF189" s="419">
        <v>1</v>
      </c>
      <c r="CG189" s="420">
        <f>IFERROR((FE189/Z189%),0)</f>
        <v>100</v>
      </c>
      <c r="CH189" s="421">
        <f>IFERROR((FK189/Z189%),0)</f>
        <v>100</v>
      </c>
      <c r="CI189" s="414" t="s">
        <v>1623</v>
      </c>
      <c r="CJ189" s="415">
        <v>0</v>
      </c>
      <c r="CK189" s="415">
        <v>0</v>
      </c>
      <c r="CL189" s="415">
        <v>1</v>
      </c>
      <c r="CM189" s="415">
        <v>0</v>
      </c>
      <c r="CN189" s="415">
        <v>0</v>
      </c>
      <c r="CO189" s="415">
        <v>0</v>
      </c>
      <c r="CP189" s="415">
        <v>0</v>
      </c>
      <c r="CQ189" s="415">
        <v>0</v>
      </c>
      <c r="CR189" s="415">
        <v>0</v>
      </c>
      <c r="CS189" s="415">
        <v>0</v>
      </c>
      <c r="CT189" s="415">
        <v>0</v>
      </c>
      <c r="CU189" s="415">
        <v>0</v>
      </c>
      <c r="CV189" s="410">
        <f t="shared" si="72"/>
        <v>1</v>
      </c>
      <c r="CW189" s="415">
        <v>0</v>
      </c>
      <c r="CX189" s="415">
        <v>1</v>
      </c>
      <c r="CY189" s="415">
        <v>0</v>
      </c>
      <c r="CZ189" s="415">
        <v>0</v>
      </c>
      <c r="DA189" s="415">
        <v>0</v>
      </c>
      <c r="DB189" s="415">
        <v>0</v>
      </c>
      <c r="DC189" s="415">
        <v>0</v>
      </c>
      <c r="DD189" s="415">
        <v>0</v>
      </c>
      <c r="DE189" s="415">
        <v>0</v>
      </c>
      <c r="DF189" s="415">
        <v>0</v>
      </c>
      <c r="DG189" s="415">
        <v>0</v>
      </c>
      <c r="DH189" s="415">
        <v>0</v>
      </c>
      <c r="DI189" s="410">
        <f t="shared" si="73"/>
        <v>1</v>
      </c>
      <c r="DJ189" s="415">
        <v>0</v>
      </c>
      <c r="DK189" s="415">
        <v>1</v>
      </c>
      <c r="DL189" s="415">
        <v>0</v>
      </c>
      <c r="DM189" s="415">
        <v>0</v>
      </c>
      <c r="DN189" s="415">
        <v>0</v>
      </c>
      <c r="DO189" s="415">
        <v>0</v>
      </c>
      <c r="DP189" s="415">
        <v>0</v>
      </c>
      <c r="DQ189" s="415">
        <v>0</v>
      </c>
      <c r="DR189" s="415">
        <v>0</v>
      </c>
      <c r="DS189" s="415">
        <v>0</v>
      </c>
      <c r="DT189" s="415">
        <v>0</v>
      </c>
      <c r="DU189" s="415">
        <v>0</v>
      </c>
      <c r="DV189" s="410">
        <f t="shared" si="74"/>
        <v>1</v>
      </c>
      <c r="DW189" s="415">
        <v>0</v>
      </c>
      <c r="DX189" s="415">
        <v>1</v>
      </c>
      <c r="DY189" s="415">
        <v>0</v>
      </c>
      <c r="DZ189" s="415">
        <v>0</v>
      </c>
      <c r="EA189" s="415">
        <v>0</v>
      </c>
      <c r="EB189" s="415">
        <v>0</v>
      </c>
      <c r="EC189" s="415">
        <v>0</v>
      </c>
      <c r="ED189" s="415">
        <v>0</v>
      </c>
      <c r="EE189" s="415">
        <v>0</v>
      </c>
      <c r="EF189" s="415">
        <v>0</v>
      </c>
      <c r="EG189" s="415">
        <v>0</v>
      </c>
      <c r="EH189" s="415">
        <v>0</v>
      </c>
      <c r="EI189" s="410">
        <f t="shared" si="75"/>
        <v>1</v>
      </c>
      <c r="EJ189" s="415">
        <v>0</v>
      </c>
      <c r="EK189" s="415">
        <v>1</v>
      </c>
      <c r="EL189" s="415">
        <v>0</v>
      </c>
      <c r="EM189" s="415">
        <v>0</v>
      </c>
      <c r="EN189" s="415">
        <v>0</v>
      </c>
      <c r="EO189" s="415">
        <v>0</v>
      </c>
      <c r="EP189" s="415">
        <v>0</v>
      </c>
      <c r="EQ189" s="415">
        <v>0</v>
      </c>
      <c r="ER189" s="415">
        <v>0</v>
      </c>
      <c r="ES189" s="415">
        <v>0</v>
      </c>
      <c r="ET189" s="415">
        <v>0</v>
      </c>
      <c r="EU189" s="415">
        <v>0</v>
      </c>
      <c r="EV189" s="410">
        <f t="shared" si="76"/>
        <v>1</v>
      </c>
      <c r="EW189" s="416">
        <f t="shared" si="77"/>
        <v>5</v>
      </c>
      <c r="EX189" s="417">
        <f>IFERROR(VLOOKUP(H189,CEI_012018!$A$1:$U$509,9,FALSE),0)</f>
        <v>0</v>
      </c>
      <c r="EY189" s="417">
        <f>IFERROR(VLOOKUP(H189,CEI_022018!$A$1:$U$509,9,FALSE),0)</f>
        <v>0</v>
      </c>
      <c r="EZ189" s="417">
        <f>IFERROR(VLOOKUP(H189,CEI_032018!$A$1:$U$509,9,FALSE),0)</f>
        <v>119.11103057861328</v>
      </c>
      <c r="FA189" s="417">
        <f>IFERROR(VLOOKUP(H189,CEI_042018!$A$1:$U$491,9,FALSE),0)</f>
        <v>119.11103057861328</v>
      </c>
      <c r="FB189" s="417">
        <f>IFERROR(VLOOKUP(H189,CEI_052018!$A$1:$U$489,9,FALSE),0)</f>
        <v>119.11103057861328</v>
      </c>
      <c r="FC189" s="417">
        <f>IFERROR(VLOOKUP(H189,CEI_062018!$A$1:$U$489,9,FALSE),0)</f>
        <v>119.11103057861328</v>
      </c>
      <c r="FD189" s="417">
        <f>IFERROR(VLOOKUP(H189,CEI_072018!$A$1:$U$489,9,FALSE),0)</f>
        <v>119.11103057861328</v>
      </c>
      <c r="FE189" s="417">
        <f>IFERROR(VLOOKUP(H189,CEI_082018!$A$1:$U$489,9,FALSE),0)</f>
        <v>119.11103057861328</v>
      </c>
      <c r="FF189" s="417">
        <f>IFERROR(VLOOKUP(H189,CEI_092018!$A$1:$U$489,9,FALSE),0)</f>
        <v>119.11103057861328</v>
      </c>
      <c r="FG189" s="417"/>
      <c r="FH189" s="417"/>
      <c r="FI189" s="417"/>
      <c r="FJ189" s="418">
        <f>IFERROR(VLOOKUP(H189,CEI_092018!$A$1:$U$489,12,FALSE),0)</f>
        <v>0</v>
      </c>
      <c r="FK189" s="418">
        <f t="shared" si="70"/>
        <v>119.11103057861328</v>
      </c>
      <c r="FL189" s="418">
        <f t="shared" si="71"/>
        <v>0</v>
      </c>
      <c r="FM189" s="417"/>
      <c r="FN189" s="417"/>
      <c r="FO189" s="417"/>
      <c r="FP189" s="417"/>
      <c r="FQ189" s="417"/>
      <c r="FR189" s="417"/>
      <c r="FS189" s="417"/>
      <c r="FT189" s="417"/>
      <c r="FU189" s="417"/>
      <c r="FV189" s="417"/>
      <c r="FW189" s="417"/>
      <c r="FX189" s="417"/>
      <c r="FY189" s="418"/>
      <c r="FZ189" s="418"/>
      <c r="GA189" s="418"/>
      <c r="GB189" s="417"/>
      <c r="GC189" s="417"/>
      <c r="GD189" s="417"/>
      <c r="GE189" s="417"/>
      <c r="GF189" s="417"/>
      <c r="GG189" s="417"/>
      <c r="GH189" s="417"/>
      <c r="GI189" s="417"/>
      <c r="GJ189" s="417"/>
      <c r="GK189" s="417"/>
      <c r="GL189" s="417"/>
      <c r="GM189" s="417"/>
      <c r="GN189" s="418"/>
      <c r="GO189" s="418"/>
      <c r="GP189" s="418"/>
      <c r="GQ189" s="417"/>
      <c r="GR189" s="417"/>
      <c r="GS189" s="417"/>
      <c r="GT189" s="417"/>
      <c r="GU189" s="417"/>
      <c r="GV189" s="417"/>
      <c r="GW189" s="417"/>
      <c r="GX189" s="417"/>
      <c r="GY189" s="417"/>
      <c r="GZ189" s="417"/>
      <c r="HA189" s="417"/>
      <c r="HB189" s="417"/>
      <c r="HC189" s="418"/>
      <c r="HD189" s="418"/>
      <c r="HE189" s="418"/>
      <c r="HF189" s="417"/>
      <c r="HG189" s="417"/>
      <c r="HH189" s="417"/>
      <c r="HI189" s="417"/>
      <c r="HJ189" s="417"/>
      <c r="HK189" s="417"/>
      <c r="HL189" s="417"/>
      <c r="HM189" s="417"/>
      <c r="HN189" s="417"/>
      <c r="HO189" s="417"/>
      <c r="HP189" s="417"/>
      <c r="HQ189" s="417"/>
      <c r="HR189" s="418"/>
      <c r="HS189" s="418"/>
      <c r="HT189" s="418"/>
    </row>
    <row r="190" spans="1:228" s="387" customFormat="1" ht="12.75" customHeight="1" x14ac:dyDescent="0.2">
      <c r="A190" s="406" t="s">
        <v>52</v>
      </c>
      <c r="B190" s="407" t="s">
        <v>30</v>
      </c>
      <c r="C190" s="406" t="s">
        <v>1000</v>
      </c>
      <c r="D190" s="407" t="s">
        <v>1004</v>
      </c>
      <c r="E190" s="407" t="s">
        <v>1000</v>
      </c>
      <c r="F190" s="407" t="s">
        <v>1004</v>
      </c>
      <c r="G190" s="406" t="s">
        <v>54</v>
      </c>
      <c r="H190" s="408" t="s">
        <v>520</v>
      </c>
      <c r="I190" s="408" t="s">
        <v>57</v>
      </c>
      <c r="J190" s="406" t="s">
        <v>1636</v>
      </c>
      <c r="K190" s="406" t="s">
        <v>360</v>
      </c>
      <c r="L190" s="406" t="s">
        <v>361</v>
      </c>
      <c r="M190" s="406" t="s">
        <v>57</v>
      </c>
      <c r="N190" s="452">
        <v>0</v>
      </c>
      <c r="O190" s="452">
        <v>0</v>
      </c>
      <c r="P190" s="452">
        <v>0</v>
      </c>
      <c r="Q190" s="452">
        <v>0</v>
      </c>
      <c r="R190" s="452">
        <v>0</v>
      </c>
      <c r="S190" s="452">
        <v>0</v>
      </c>
      <c r="T190" s="452">
        <v>0</v>
      </c>
      <c r="U190" s="409">
        <v>0</v>
      </c>
      <c r="V190" s="409">
        <v>0</v>
      </c>
      <c r="W190" s="409">
        <v>0</v>
      </c>
      <c r="X190" s="409">
        <v>0</v>
      </c>
      <c r="Y190" s="409">
        <v>0</v>
      </c>
      <c r="Z190" s="453">
        <f t="shared" si="63"/>
        <v>0</v>
      </c>
      <c r="AA190" s="452">
        <v>0</v>
      </c>
      <c r="AB190" s="452">
        <v>0</v>
      </c>
      <c r="AC190" s="452">
        <v>0</v>
      </c>
      <c r="AD190" s="452">
        <v>0</v>
      </c>
      <c r="AE190" s="452">
        <v>0</v>
      </c>
      <c r="AF190" s="452">
        <v>0</v>
      </c>
      <c r="AG190" s="452">
        <v>0</v>
      </c>
      <c r="AH190" s="409">
        <v>0</v>
      </c>
      <c r="AI190" s="409">
        <v>0</v>
      </c>
      <c r="AJ190" s="409">
        <v>0</v>
      </c>
      <c r="AK190" s="409">
        <v>0</v>
      </c>
      <c r="AL190" s="409">
        <v>0</v>
      </c>
      <c r="AM190" s="453">
        <f t="shared" si="58"/>
        <v>0</v>
      </c>
      <c r="AN190" s="452">
        <v>0</v>
      </c>
      <c r="AO190" s="452">
        <v>335</v>
      </c>
      <c r="AP190" s="452">
        <v>0</v>
      </c>
      <c r="AQ190" s="452">
        <v>0</v>
      </c>
      <c r="AR190" s="452">
        <v>0</v>
      </c>
      <c r="AS190" s="452">
        <v>0</v>
      </c>
      <c r="AT190" s="452">
        <v>0</v>
      </c>
      <c r="AU190" s="409">
        <v>0</v>
      </c>
      <c r="AV190" s="409">
        <v>0</v>
      </c>
      <c r="AW190" s="409">
        <v>0</v>
      </c>
      <c r="AX190" s="409">
        <v>0</v>
      </c>
      <c r="AY190" s="409">
        <v>0</v>
      </c>
      <c r="AZ190" s="453">
        <f t="shared" si="59"/>
        <v>335</v>
      </c>
      <c r="BA190" s="452">
        <v>0</v>
      </c>
      <c r="BB190" s="452">
        <v>335</v>
      </c>
      <c r="BC190" s="452">
        <v>0</v>
      </c>
      <c r="BD190" s="452">
        <v>0</v>
      </c>
      <c r="BE190" s="452">
        <v>0</v>
      </c>
      <c r="BF190" s="452">
        <v>0</v>
      </c>
      <c r="BG190" s="452">
        <v>0</v>
      </c>
      <c r="BH190" s="409">
        <v>0</v>
      </c>
      <c r="BI190" s="409">
        <v>0</v>
      </c>
      <c r="BJ190" s="409">
        <v>0</v>
      </c>
      <c r="BK190" s="409">
        <v>0</v>
      </c>
      <c r="BL190" s="409">
        <v>0</v>
      </c>
      <c r="BM190" s="453">
        <f t="shared" si="60"/>
        <v>335</v>
      </c>
      <c r="BN190" s="452">
        <v>0</v>
      </c>
      <c r="BO190" s="452">
        <v>0</v>
      </c>
      <c r="BP190" s="452">
        <v>0</v>
      </c>
      <c r="BQ190" s="452">
        <v>0</v>
      </c>
      <c r="BR190" s="452">
        <v>0</v>
      </c>
      <c r="BS190" s="452">
        <v>0</v>
      </c>
      <c r="BT190" s="452">
        <v>0</v>
      </c>
      <c r="BU190" s="409">
        <v>0</v>
      </c>
      <c r="BV190" s="409">
        <v>0</v>
      </c>
      <c r="BW190" s="409">
        <v>0</v>
      </c>
      <c r="BX190" s="409">
        <v>0</v>
      </c>
      <c r="BY190" s="409">
        <v>0</v>
      </c>
      <c r="BZ190" s="453">
        <f t="shared" si="61"/>
        <v>0</v>
      </c>
      <c r="CA190" s="454">
        <f t="shared" si="62"/>
        <v>670</v>
      </c>
      <c r="CB190" s="411"/>
      <c r="CC190" s="411"/>
      <c r="CD190" s="411"/>
      <c r="CE190" s="411"/>
      <c r="CF190" s="411"/>
      <c r="CG190" s="412"/>
      <c r="CH190" s="413"/>
      <c r="CI190" s="414" t="s">
        <v>1623</v>
      </c>
      <c r="CJ190" s="415">
        <v>0</v>
      </c>
      <c r="CK190" s="415">
        <v>0</v>
      </c>
      <c r="CL190" s="415">
        <v>0</v>
      </c>
      <c r="CM190" s="415">
        <v>0</v>
      </c>
      <c r="CN190" s="415">
        <v>0</v>
      </c>
      <c r="CO190" s="415">
        <v>0</v>
      </c>
      <c r="CP190" s="415">
        <v>0</v>
      </c>
      <c r="CQ190" s="415">
        <v>0</v>
      </c>
      <c r="CR190" s="415">
        <v>0</v>
      </c>
      <c r="CS190" s="415">
        <v>0</v>
      </c>
      <c r="CT190" s="415">
        <v>0</v>
      </c>
      <c r="CU190" s="415">
        <v>0</v>
      </c>
      <c r="CV190" s="410">
        <f t="shared" si="72"/>
        <v>0</v>
      </c>
      <c r="CW190" s="415">
        <v>0</v>
      </c>
      <c r="CX190" s="415">
        <v>0</v>
      </c>
      <c r="CY190" s="415">
        <v>0</v>
      </c>
      <c r="CZ190" s="415">
        <v>0</v>
      </c>
      <c r="DA190" s="415">
        <v>0</v>
      </c>
      <c r="DB190" s="415">
        <v>0</v>
      </c>
      <c r="DC190" s="415">
        <v>0</v>
      </c>
      <c r="DD190" s="415">
        <v>0</v>
      </c>
      <c r="DE190" s="415">
        <v>0</v>
      </c>
      <c r="DF190" s="415">
        <v>0</v>
      </c>
      <c r="DG190" s="415">
        <v>0</v>
      </c>
      <c r="DH190" s="415">
        <v>0</v>
      </c>
      <c r="DI190" s="410">
        <f t="shared" si="73"/>
        <v>0</v>
      </c>
      <c r="DJ190" s="415">
        <v>0</v>
      </c>
      <c r="DK190" s="415">
        <v>1</v>
      </c>
      <c r="DL190" s="415">
        <v>0</v>
      </c>
      <c r="DM190" s="415">
        <v>0</v>
      </c>
      <c r="DN190" s="415">
        <v>0</v>
      </c>
      <c r="DO190" s="415">
        <v>0</v>
      </c>
      <c r="DP190" s="415">
        <v>0</v>
      </c>
      <c r="DQ190" s="415">
        <v>0</v>
      </c>
      <c r="DR190" s="415">
        <v>0</v>
      </c>
      <c r="DS190" s="415">
        <v>0</v>
      </c>
      <c r="DT190" s="415">
        <v>0</v>
      </c>
      <c r="DU190" s="415">
        <v>0</v>
      </c>
      <c r="DV190" s="410">
        <f t="shared" si="74"/>
        <v>1</v>
      </c>
      <c r="DW190" s="415">
        <v>0</v>
      </c>
      <c r="DX190" s="415">
        <v>1</v>
      </c>
      <c r="DY190" s="415">
        <v>0</v>
      </c>
      <c r="DZ190" s="415">
        <v>0</v>
      </c>
      <c r="EA190" s="415">
        <v>0</v>
      </c>
      <c r="EB190" s="415">
        <v>0</v>
      </c>
      <c r="EC190" s="415">
        <v>0</v>
      </c>
      <c r="ED190" s="415">
        <v>0</v>
      </c>
      <c r="EE190" s="415">
        <v>0</v>
      </c>
      <c r="EF190" s="415">
        <v>0</v>
      </c>
      <c r="EG190" s="415">
        <v>0</v>
      </c>
      <c r="EH190" s="415">
        <v>0</v>
      </c>
      <c r="EI190" s="410">
        <f t="shared" si="75"/>
        <v>1</v>
      </c>
      <c r="EJ190" s="415">
        <v>0</v>
      </c>
      <c r="EK190" s="415">
        <v>0</v>
      </c>
      <c r="EL190" s="415">
        <v>0</v>
      </c>
      <c r="EM190" s="415">
        <v>0</v>
      </c>
      <c r="EN190" s="415">
        <v>0</v>
      </c>
      <c r="EO190" s="415">
        <v>0</v>
      </c>
      <c r="EP190" s="415">
        <v>0</v>
      </c>
      <c r="EQ190" s="415">
        <v>0</v>
      </c>
      <c r="ER190" s="415">
        <v>0</v>
      </c>
      <c r="ES190" s="415">
        <v>0</v>
      </c>
      <c r="ET190" s="415">
        <v>0</v>
      </c>
      <c r="EU190" s="415">
        <v>0</v>
      </c>
      <c r="EV190" s="410">
        <f t="shared" si="76"/>
        <v>0</v>
      </c>
      <c r="EW190" s="416">
        <f t="shared" si="77"/>
        <v>2</v>
      </c>
      <c r="EX190" s="417">
        <f>IFERROR(VLOOKUP(H190,CEI_012018!$A$1:$U$509,9,FALSE),0)</f>
        <v>0</v>
      </c>
      <c r="EY190" s="417">
        <f>IFERROR(VLOOKUP(H190,CEI_022018!$A$1:$U$509,9,FALSE),0)</f>
        <v>0</v>
      </c>
      <c r="EZ190" s="417">
        <f>IFERROR(VLOOKUP(H190,CEI_032018!$A$1:$U$509,9,FALSE),0)</f>
        <v>0</v>
      </c>
      <c r="FA190" s="417">
        <f>IFERROR(VLOOKUP(H190,CEI_042018!$A$1:$U$491,9,FALSE),0)</f>
        <v>0</v>
      </c>
      <c r="FB190" s="417">
        <f>IFERROR(VLOOKUP(H190,CEI_052018!$A$1:$U$489,9,FALSE),0)</f>
        <v>0</v>
      </c>
      <c r="FC190" s="417">
        <f>IFERROR(VLOOKUP(H190,CEI_062018!$A$1:$U$489,9,FALSE),0)</f>
        <v>0</v>
      </c>
      <c r="FD190" s="417">
        <f>IFERROR(VLOOKUP(H190,CEI_072018!$A$1:$U$489,9,FALSE),0)</f>
        <v>0</v>
      </c>
      <c r="FE190" s="417">
        <f>IFERROR(VLOOKUP(H190,CEI_082018!$A$1:$U$489,9,FALSE),0)</f>
        <v>0</v>
      </c>
      <c r="FF190" s="417">
        <f>IFERROR(VLOOKUP(H190,CEI_092018!$A$1:$U$489,9,FALSE),0)</f>
        <v>0</v>
      </c>
      <c r="FG190" s="417"/>
      <c r="FH190" s="417"/>
      <c r="FI190" s="417"/>
      <c r="FJ190" s="418">
        <f>IFERROR(VLOOKUP(H190,CEI_092018!$A$1:$U$489,12,FALSE),0)</f>
        <v>0</v>
      </c>
      <c r="FK190" s="418">
        <f t="shared" si="70"/>
        <v>0</v>
      </c>
      <c r="FL190" s="418">
        <f t="shared" si="71"/>
        <v>0</v>
      </c>
      <c r="FM190" s="417"/>
      <c r="FN190" s="417"/>
      <c r="FO190" s="417"/>
      <c r="FP190" s="417"/>
      <c r="FQ190" s="417"/>
      <c r="FR190" s="417"/>
      <c r="FS190" s="417"/>
      <c r="FT190" s="417"/>
      <c r="FU190" s="417"/>
      <c r="FV190" s="417"/>
      <c r="FW190" s="417"/>
      <c r="FX190" s="417"/>
      <c r="FY190" s="418"/>
      <c r="FZ190" s="418"/>
      <c r="GA190" s="418"/>
      <c r="GB190" s="417"/>
      <c r="GC190" s="417"/>
      <c r="GD190" s="417"/>
      <c r="GE190" s="417"/>
      <c r="GF190" s="417"/>
      <c r="GG190" s="417"/>
      <c r="GH190" s="417"/>
      <c r="GI190" s="417"/>
      <c r="GJ190" s="417"/>
      <c r="GK190" s="417"/>
      <c r="GL190" s="417"/>
      <c r="GM190" s="417"/>
      <c r="GN190" s="418"/>
      <c r="GO190" s="418"/>
      <c r="GP190" s="418"/>
      <c r="GQ190" s="417"/>
      <c r="GR190" s="417"/>
      <c r="GS190" s="417"/>
      <c r="GT190" s="417"/>
      <c r="GU190" s="417"/>
      <c r="GV190" s="417"/>
      <c r="GW190" s="417"/>
      <c r="GX190" s="417"/>
      <c r="GY190" s="417"/>
      <c r="GZ190" s="417"/>
      <c r="HA190" s="417"/>
      <c r="HB190" s="417"/>
      <c r="HC190" s="418"/>
      <c r="HD190" s="418"/>
      <c r="HE190" s="418"/>
      <c r="HF190" s="417"/>
      <c r="HG190" s="417"/>
      <c r="HH190" s="417"/>
      <c r="HI190" s="417"/>
      <c r="HJ190" s="417"/>
      <c r="HK190" s="417"/>
      <c r="HL190" s="417"/>
      <c r="HM190" s="417"/>
      <c r="HN190" s="417"/>
      <c r="HO190" s="417"/>
      <c r="HP190" s="417"/>
      <c r="HQ190" s="417"/>
      <c r="HR190" s="418"/>
      <c r="HS190" s="418"/>
      <c r="HT190" s="418"/>
    </row>
    <row r="191" spans="1:228" s="387" customFormat="1" ht="12.75" customHeight="1" x14ac:dyDescent="0.2">
      <c r="A191" s="406" t="s">
        <v>52</v>
      </c>
      <c r="B191" s="407" t="s">
        <v>30</v>
      </c>
      <c r="C191" s="406" t="s">
        <v>1000</v>
      </c>
      <c r="D191" s="407" t="s">
        <v>1004</v>
      </c>
      <c r="E191" s="407" t="s">
        <v>173</v>
      </c>
      <c r="F191" s="407" t="s">
        <v>1744</v>
      </c>
      <c r="G191" s="406" t="s">
        <v>63</v>
      </c>
      <c r="H191" s="408" t="s">
        <v>520</v>
      </c>
      <c r="I191" s="408" t="s">
        <v>57</v>
      </c>
      <c r="J191" s="406" t="s">
        <v>1048</v>
      </c>
      <c r="K191" s="406" t="s">
        <v>1049</v>
      </c>
      <c r="L191" s="406" t="s">
        <v>1050</v>
      </c>
      <c r="M191" s="406" t="s">
        <v>57</v>
      </c>
      <c r="N191" s="452">
        <v>0</v>
      </c>
      <c r="O191" s="452">
        <v>0</v>
      </c>
      <c r="P191" s="452">
        <v>0</v>
      </c>
      <c r="Q191" s="452">
        <v>0</v>
      </c>
      <c r="R191" s="452">
        <v>0</v>
      </c>
      <c r="S191" s="452">
        <v>0</v>
      </c>
      <c r="T191" s="452">
        <v>0</v>
      </c>
      <c r="U191" s="409">
        <v>0</v>
      </c>
      <c r="V191" s="409">
        <v>0</v>
      </c>
      <c r="W191" s="409">
        <v>0</v>
      </c>
      <c r="X191" s="409">
        <v>0</v>
      </c>
      <c r="Y191" s="409">
        <v>0</v>
      </c>
      <c r="Z191" s="453">
        <f t="shared" si="63"/>
        <v>0</v>
      </c>
      <c r="AA191" s="452">
        <v>0</v>
      </c>
      <c r="AB191" s="452">
        <v>0</v>
      </c>
      <c r="AC191" s="452">
        <v>0</v>
      </c>
      <c r="AD191" s="452">
        <v>0</v>
      </c>
      <c r="AE191" s="452">
        <v>0</v>
      </c>
      <c r="AF191" s="452">
        <v>0</v>
      </c>
      <c r="AG191" s="452">
        <v>0</v>
      </c>
      <c r="AH191" s="409">
        <v>0</v>
      </c>
      <c r="AI191" s="409">
        <v>0</v>
      </c>
      <c r="AJ191" s="409">
        <v>0</v>
      </c>
      <c r="AK191" s="409">
        <v>0</v>
      </c>
      <c r="AL191" s="409">
        <v>0</v>
      </c>
      <c r="AM191" s="453">
        <f t="shared" si="58"/>
        <v>0</v>
      </c>
      <c r="AN191" s="452">
        <v>0</v>
      </c>
      <c r="AO191" s="452">
        <v>0</v>
      </c>
      <c r="AP191" s="452">
        <v>0</v>
      </c>
      <c r="AQ191" s="452">
        <v>0</v>
      </c>
      <c r="AR191" s="452">
        <v>0</v>
      </c>
      <c r="AS191" s="452">
        <v>0</v>
      </c>
      <c r="AT191" s="452">
        <v>0</v>
      </c>
      <c r="AU191" s="409">
        <v>0</v>
      </c>
      <c r="AV191" s="409">
        <v>0</v>
      </c>
      <c r="AW191" s="409">
        <v>0</v>
      </c>
      <c r="AX191" s="409">
        <v>0</v>
      </c>
      <c r="AY191" s="409">
        <v>0</v>
      </c>
      <c r="AZ191" s="453">
        <f t="shared" si="59"/>
        <v>0</v>
      </c>
      <c r="BA191" s="452">
        <v>0</v>
      </c>
      <c r="BB191" s="452">
        <v>0</v>
      </c>
      <c r="BC191" s="452">
        <v>175</v>
      </c>
      <c r="BD191" s="452">
        <v>0</v>
      </c>
      <c r="BE191" s="452">
        <v>0</v>
      </c>
      <c r="BF191" s="452">
        <v>0</v>
      </c>
      <c r="BG191" s="452">
        <v>0</v>
      </c>
      <c r="BH191" s="409">
        <v>0</v>
      </c>
      <c r="BI191" s="409">
        <v>0</v>
      </c>
      <c r="BJ191" s="409">
        <v>0</v>
      </c>
      <c r="BK191" s="409">
        <v>0</v>
      </c>
      <c r="BL191" s="409">
        <v>0</v>
      </c>
      <c r="BM191" s="453">
        <f t="shared" si="60"/>
        <v>175</v>
      </c>
      <c r="BN191" s="452">
        <v>0</v>
      </c>
      <c r="BO191" s="452">
        <v>0</v>
      </c>
      <c r="BP191" s="452">
        <v>0</v>
      </c>
      <c r="BQ191" s="452">
        <v>0</v>
      </c>
      <c r="BR191" s="452">
        <v>0</v>
      </c>
      <c r="BS191" s="452">
        <v>0</v>
      </c>
      <c r="BT191" s="452">
        <v>0</v>
      </c>
      <c r="BU191" s="409">
        <v>0</v>
      </c>
      <c r="BV191" s="409">
        <v>0</v>
      </c>
      <c r="BW191" s="409">
        <v>0</v>
      </c>
      <c r="BX191" s="409">
        <v>0</v>
      </c>
      <c r="BY191" s="409">
        <v>0</v>
      </c>
      <c r="BZ191" s="453">
        <f t="shared" si="61"/>
        <v>0</v>
      </c>
      <c r="CA191" s="454">
        <f t="shared" si="62"/>
        <v>175</v>
      </c>
      <c r="CB191" s="411"/>
      <c r="CC191" s="411"/>
      <c r="CD191" s="411"/>
      <c r="CE191" s="411"/>
      <c r="CF191" s="411"/>
      <c r="CG191" s="412"/>
      <c r="CH191" s="413"/>
      <c r="CI191" s="414" t="s">
        <v>1622</v>
      </c>
      <c r="CJ191" s="415">
        <v>0</v>
      </c>
      <c r="CK191" s="415">
        <v>0</v>
      </c>
      <c r="CL191" s="415">
        <v>0</v>
      </c>
      <c r="CM191" s="415">
        <v>0</v>
      </c>
      <c r="CN191" s="415">
        <v>0</v>
      </c>
      <c r="CO191" s="415">
        <v>0</v>
      </c>
      <c r="CP191" s="415">
        <v>0</v>
      </c>
      <c r="CQ191" s="415">
        <v>0</v>
      </c>
      <c r="CR191" s="415">
        <v>0</v>
      </c>
      <c r="CS191" s="415">
        <v>0</v>
      </c>
      <c r="CT191" s="415">
        <v>0</v>
      </c>
      <c r="CU191" s="415">
        <v>0</v>
      </c>
      <c r="CV191" s="410">
        <f t="shared" si="72"/>
        <v>0</v>
      </c>
      <c r="CW191" s="415">
        <v>0</v>
      </c>
      <c r="CX191" s="415">
        <v>0</v>
      </c>
      <c r="CY191" s="415">
        <v>0</v>
      </c>
      <c r="CZ191" s="415">
        <v>0</v>
      </c>
      <c r="DA191" s="415">
        <v>0</v>
      </c>
      <c r="DB191" s="415">
        <v>0</v>
      </c>
      <c r="DC191" s="415">
        <v>0</v>
      </c>
      <c r="DD191" s="415">
        <v>0</v>
      </c>
      <c r="DE191" s="415">
        <v>0</v>
      </c>
      <c r="DF191" s="415">
        <v>0</v>
      </c>
      <c r="DG191" s="415">
        <v>0</v>
      </c>
      <c r="DH191" s="415">
        <v>0</v>
      </c>
      <c r="DI191" s="410">
        <f t="shared" si="73"/>
        <v>0</v>
      </c>
      <c r="DJ191" s="415">
        <v>0</v>
      </c>
      <c r="DK191" s="415">
        <v>0</v>
      </c>
      <c r="DL191" s="415">
        <v>0</v>
      </c>
      <c r="DM191" s="415">
        <v>0</v>
      </c>
      <c r="DN191" s="415">
        <v>0</v>
      </c>
      <c r="DO191" s="415">
        <v>0</v>
      </c>
      <c r="DP191" s="415">
        <v>0</v>
      </c>
      <c r="DQ191" s="415">
        <v>0</v>
      </c>
      <c r="DR191" s="415">
        <v>0</v>
      </c>
      <c r="DS191" s="415">
        <v>0</v>
      </c>
      <c r="DT191" s="415">
        <v>0</v>
      </c>
      <c r="DU191" s="415">
        <v>0</v>
      </c>
      <c r="DV191" s="410">
        <f t="shared" si="74"/>
        <v>0</v>
      </c>
      <c r="DW191" s="415">
        <v>0</v>
      </c>
      <c r="DX191" s="415">
        <v>0</v>
      </c>
      <c r="DY191" s="415">
        <v>500.00000000000006</v>
      </c>
      <c r="DZ191" s="415">
        <v>0</v>
      </c>
      <c r="EA191" s="415">
        <v>0</v>
      </c>
      <c r="EB191" s="415">
        <v>0</v>
      </c>
      <c r="EC191" s="415">
        <v>0</v>
      </c>
      <c r="ED191" s="415">
        <v>0</v>
      </c>
      <c r="EE191" s="415">
        <v>0</v>
      </c>
      <c r="EF191" s="415">
        <v>0</v>
      </c>
      <c r="EG191" s="415">
        <v>0</v>
      </c>
      <c r="EH191" s="415">
        <v>0</v>
      </c>
      <c r="EI191" s="410">
        <f t="shared" si="75"/>
        <v>500.00000000000006</v>
      </c>
      <c r="EJ191" s="415">
        <v>0</v>
      </c>
      <c r="EK191" s="415">
        <v>0</v>
      </c>
      <c r="EL191" s="415">
        <v>0</v>
      </c>
      <c r="EM191" s="415">
        <v>0</v>
      </c>
      <c r="EN191" s="415">
        <v>0</v>
      </c>
      <c r="EO191" s="415">
        <v>0</v>
      </c>
      <c r="EP191" s="415">
        <v>0</v>
      </c>
      <c r="EQ191" s="415">
        <v>0</v>
      </c>
      <c r="ER191" s="415">
        <v>0</v>
      </c>
      <c r="ES191" s="415">
        <v>0</v>
      </c>
      <c r="ET191" s="415">
        <v>0</v>
      </c>
      <c r="EU191" s="415">
        <v>0</v>
      </c>
      <c r="EV191" s="410">
        <f t="shared" si="76"/>
        <v>0</v>
      </c>
      <c r="EW191" s="416">
        <f t="shared" si="77"/>
        <v>500.00000000000006</v>
      </c>
      <c r="EX191" s="417">
        <f>IFERROR(VLOOKUP(H191,CEI_012018!$A$1:$U$509,9,FALSE),0)</f>
        <v>0</v>
      </c>
      <c r="EY191" s="417">
        <f>IFERROR(VLOOKUP(H191,CEI_022018!$A$1:$U$509,9,FALSE),0)</f>
        <v>0</v>
      </c>
      <c r="EZ191" s="417">
        <f>IFERROR(VLOOKUP(H191,CEI_032018!$A$1:$U$509,9,FALSE),0)</f>
        <v>0</v>
      </c>
      <c r="FA191" s="417">
        <f>IFERROR(VLOOKUP(H191,CEI_042018!$A$1:$U$491,9,FALSE),0)</f>
        <v>0</v>
      </c>
      <c r="FB191" s="417">
        <f>IFERROR(VLOOKUP(H191,CEI_052018!$A$1:$U$489,9,FALSE),0)</f>
        <v>0</v>
      </c>
      <c r="FC191" s="417">
        <f>IFERROR(VLOOKUP(H191,CEI_062018!$A$1:$U$489,9,FALSE),0)</f>
        <v>0</v>
      </c>
      <c r="FD191" s="417">
        <f>IFERROR(VLOOKUP(H191,CEI_072018!$A$1:$U$489,9,FALSE),0)</f>
        <v>0</v>
      </c>
      <c r="FE191" s="417">
        <f>IFERROR(VLOOKUP(H191,CEI_082018!$A$1:$U$489,9,FALSE),0)</f>
        <v>0</v>
      </c>
      <c r="FF191" s="417">
        <f>IFERROR(VLOOKUP(H191,CEI_092018!$A$1:$U$489,9,FALSE),0)</f>
        <v>0</v>
      </c>
      <c r="FG191" s="417"/>
      <c r="FH191" s="417"/>
      <c r="FI191" s="417"/>
      <c r="FJ191" s="418">
        <f>IFERROR(VLOOKUP(H191,CEI_092018!$A$1:$U$489,12,FALSE),0)</f>
        <v>0</v>
      </c>
      <c r="FK191" s="418">
        <f t="shared" si="70"/>
        <v>0</v>
      </c>
      <c r="FL191" s="418">
        <f t="shared" si="71"/>
        <v>0</v>
      </c>
      <c r="FM191" s="417"/>
      <c r="FN191" s="417"/>
      <c r="FO191" s="417"/>
      <c r="FP191" s="417"/>
      <c r="FQ191" s="417"/>
      <c r="FR191" s="417"/>
      <c r="FS191" s="417"/>
      <c r="FT191" s="417"/>
      <c r="FU191" s="417"/>
      <c r="FV191" s="417"/>
      <c r="FW191" s="417"/>
      <c r="FX191" s="417"/>
      <c r="FY191" s="418"/>
      <c r="FZ191" s="418"/>
      <c r="GA191" s="418"/>
      <c r="GB191" s="417"/>
      <c r="GC191" s="417"/>
      <c r="GD191" s="417"/>
      <c r="GE191" s="417"/>
      <c r="GF191" s="417"/>
      <c r="GG191" s="417"/>
      <c r="GH191" s="417"/>
      <c r="GI191" s="417"/>
      <c r="GJ191" s="417"/>
      <c r="GK191" s="417"/>
      <c r="GL191" s="417"/>
      <c r="GM191" s="417"/>
      <c r="GN191" s="418"/>
      <c r="GO191" s="418"/>
      <c r="GP191" s="418"/>
      <c r="GQ191" s="417"/>
      <c r="GR191" s="417"/>
      <c r="GS191" s="417"/>
      <c r="GT191" s="417"/>
      <c r="GU191" s="417"/>
      <c r="GV191" s="417"/>
      <c r="GW191" s="417"/>
      <c r="GX191" s="417"/>
      <c r="GY191" s="417"/>
      <c r="GZ191" s="417"/>
      <c r="HA191" s="417"/>
      <c r="HB191" s="417"/>
      <c r="HC191" s="418"/>
      <c r="HD191" s="418"/>
      <c r="HE191" s="418"/>
      <c r="HF191" s="417"/>
      <c r="HG191" s="417"/>
      <c r="HH191" s="417"/>
      <c r="HI191" s="417"/>
      <c r="HJ191" s="417"/>
      <c r="HK191" s="417"/>
      <c r="HL191" s="417"/>
      <c r="HM191" s="417"/>
      <c r="HN191" s="417"/>
      <c r="HO191" s="417"/>
      <c r="HP191" s="417"/>
      <c r="HQ191" s="417"/>
      <c r="HR191" s="418"/>
      <c r="HS191" s="418"/>
      <c r="HT191" s="418"/>
    </row>
    <row r="192" spans="1:228" s="387" customFormat="1" ht="12.75" customHeight="1" x14ac:dyDescent="0.2">
      <c r="A192" s="406" t="s">
        <v>52</v>
      </c>
      <c r="B192" s="407" t="s">
        <v>30</v>
      </c>
      <c r="C192" s="406" t="s">
        <v>1000</v>
      </c>
      <c r="D192" s="407" t="s">
        <v>1004</v>
      </c>
      <c r="E192" s="407" t="s">
        <v>191</v>
      </c>
      <c r="F192" s="407" t="s">
        <v>1747</v>
      </c>
      <c r="G192" s="406" t="s">
        <v>54</v>
      </c>
      <c r="H192" s="408" t="s">
        <v>520</v>
      </c>
      <c r="I192" s="408" t="s">
        <v>57</v>
      </c>
      <c r="J192" s="406" t="s">
        <v>1051</v>
      </c>
      <c r="K192" s="406" t="s">
        <v>1052</v>
      </c>
      <c r="L192" s="406" t="s">
        <v>1053</v>
      </c>
      <c r="M192" s="406" t="s">
        <v>57</v>
      </c>
      <c r="N192" s="452">
        <v>0</v>
      </c>
      <c r="O192" s="452">
        <v>0</v>
      </c>
      <c r="P192" s="452">
        <v>0</v>
      </c>
      <c r="Q192" s="452">
        <v>0</v>
      </c>
      <c r="R192" s="452">
        <v>0</v>
      </c>
      <c r="S192" s="452">
        <v>0</v>
      </c>
      <c r="T192" s="452">
        <v>0</v>
      </c>
      <c r="U192" s="409">
        <v>0</v>
      </c>
      <c r="V192" s="409">
        <v>0</v>
      </c>
      <c r="W192" s="409">
        <v>0</v>
      </c>
      <c r="X192" s="409">
        <v>0</v>
      </c>
      <c r="Y192" s="409">
        <v>0</v>
      </c>
      <c r="Z192" s="453">
        <f t="shared" si="63"/>
        <v>0</v>
      </c>
      <c r="AA192" s="452">
        <v>0</v>
      </c>
      <c r="AB192" s="452">
        <v>0</v>
      </c>
      <c r="AC192" s="452">
        <v>0</v>
      </c>
      <c r="AD192" s="452">
        <v>0</v>
      </c>
      <c r="AE192" s="452">
        <v>0</v>
      </c>
      <c r="AF192" s="452">
        <v>0</v>
      </c>
      <c r="AG192" s="452">
        <v>0</v>
      </c>
      <c r="AH192" s="409">
        <v>0</v>
      </c>
      <c r="AI192" s="409">
        <v>0</v>
      </c>
      <c r="AJ192" s="409">
        <v>0</v>
      </c>
      <c r="AK192" s="409">
        <v>0</v>
      </c>
      <c r="AL192" s="409">
        <v>0</v>
      </c>
      <c r="AM192" s="453">
        <f t="shared" si="58"/>
        <v>0</v>
      </c>
      <c r="AN192" s="452">
        <v>0</v>
      </c>
      <c r="AO192" s="452">
        <v>0</v>
      </c>
      <c r="AP192" s="452">
        <v>0</v>
      </c>
      <c r="AQ192" s="452">
        <v>0</v>
      </c>
      <c r="AR192" s="452">
        <v>0</v>
      </c>
      <c r="AS192" s="452">
        <v>0</v>
      </c>
      <c r="AT192" s="452">
        <v>0</v>
      </c>
      <c r="AU192" s="409">
        <v>0</v>
      </c>
      <c r="AV192" s="409">
        <v>0</v>
      </c>
      <c r="AW192" s="409">
        <v>0</v>
      </c>
      <c r="AX192" s="409">
        <v>0</v>
      </c>
      <c r="AY192" s="409">
        <v>0</v>
      </c>
      <c r="AZ192" s="453">
        <f t="shared" si="59"/>
        <v>0</v>
      </c>
      <c r="BA192" s="452">
        <v>0</v>
      </c>
      <c r="BB192" s="452">
        <v>0</v>
      </c>
      <c r="BC192" s="452">
        <v>103</v>
      </c>
      <c r="BD192" s="452">
        <v>0</v>
      </c>
      <c r="BE192" s="452">
        <v>0</v>
      </c>
      <c r="BF192" s="452">
        <v>0</v>
      </c>
      <c r="BG192" s="452">
        <v>0</v>
      </c>
      <c r="BH192" s="409">
        <v>0</v>
      </c>
      <c r="BI192" s="409">
        <v>0</v>
      </c>
      <c r="BJ192" s="409">
        <v>0</v>
      </c>
      <c r="BK192" s="409">
        <v>0</v>
      </c>
      <c r="BL192" s="409">
        <v>0</v>
      </c>
      <c r="BM192" s="453">
        <f t="shared" si="60"/>
        <v>103</v>
      </c>
      <c r="BN192" s="452">
        <v>0</v>
      </c>
      <c r="BO192" s="452">
        <v>0</v>
      </c>
      <c r="BP192" s="452">
        <v>122</v>
      </c>
      <c r="BQ192" s="452">
        <v>0</v>
      </c>
      <c r="BR192" s="452">
        <v>0</v>
      </c>
      <c r="BS192" s="452">
        <v>0</v>
      </c>
      <c r="BT192" s="452">
        <v>0</v>
      </c>
      <c r="BU192" s="409">
        <v>0</v>
      </c>
      <c r="BV192" s="409">
        <v>0</v>
      </c>
      <c r="BW192" s="409">
        <v>0</v>
      </c>
      <c r="BX192" s="409">
        <v>0</v>
      </c>
      <c r="BY192" s="409">
        <v>0</v>
      </c>
      <c r="BZ192" s="453">
        <f t="shared" si="61"/>
        <v>122</v>
      </c>
      <c r="CA192" s="454">
        <f t="shared" si="62"/>
        <v>225</v>
      </c>
      <c r="CB192" s="411"/>
      <c r="CC192" s="411"/>
      <c r="CD192" s="411"/>
      <c r="CE192" s="411"/>
      <c r="CF192" s="411"/>
      <c r="CG192" s="412"/>
      <c r="CH192" s="413"/>
      <c r="CI192" s="414" t="s">
        <v>1622</v>
      </c>
      <c r="CJ192" s="415">
        <v>0</v>
      </c>
      <c r="CK192" s="415">
        <v>0</v>
      </c>
      <c r="CL192" s="415">
        <v>0</v>
      </c>
      <c r="CM192" s="415">
        <v>0</v>
      </c>
      <c r="CN192" s="415">
        <v>0</v>
      </c>
      <c r="CO192" s="415">
        <v>0</v>
      </c>
      <c r="CP192" s="415">
        <v>0</v>
      </c>
      <c r="CQ192" s="415">
        <v>0</v>
      </c>
      <c r="CR192" s="415">
        <v>0</v>
      </c>
      <c r="CS192" s="415">
        <v>0</v>
      </c>
      <c r="CT192" s="415">
        <v>0</v>
      </c>
      <c r="CU192" s="415">
        <v>0</v>
      </c>
      <c r="CV192" s="410">
        <f t="shared" si="72"/>
        <v>0</v>
      </c>
      <c r="CW192" s="415">
        <v>0</v>
      </c>
      <c r="CX192" s="415">
        <v>0</v>
      </c>
      <c r="CY192" s="415">
        <v>0</v>
      </c>
      <c r="CZ192" s="415">
        <v>0</v>
      </c>
      <c r="DA192" s="415">
        <v>0</v>
      </c>
      <c r="DB192" s="415">
        <v>0</v>
      </c>
      <c r="DC192" s="415">
        <v>0</v>
      </c>
      <c r="DD192" s="415">
        <v>0</v>
      </c>
      <c r="DE192" s="415">
        <v>0</v>
      </c>
      <c r="DF192" s="415">
        <v>0</v>
      </c>
      <c r="DG192" s="415">
        <v>0</v>
      </c>
      <c r="DH192" s="415">
        <v>0</v>
      </c>
      <c r="DI192" s="410">
        <f t="shared" si="73"/>
        <v>0</v>
      </c>
      <c r="DJ192" s="415">
        <v>0</v>
      </c>
      <c r="DK192" s="415">
        <v>0</v>
      </c>
      <c r="DL192" s="415">
        <v>0</v>
      </c>
      <c r="DM192" s="415">
        <v>0</v>
      </c>
      <c r="DN192" s="415">
        <v>0</v>
      </c>
      <c r="DO192" s="415">
        <v>0</v>
      </c>
      <c r="DP192" s="415">
        <v>0</v>
      </c>
      <c r="DQ192" s="415">
        <v>0</v>
      </c>
      <c r="DR192" s="415">
        <v>0</v>
      </c>
      <c r="DS192" s="415">
        <v>0</v>
      </c>
      <c r="DT192" s="415">
        <v>0</v>
      </c>
      <c r="DU192" s="415">
        <v>0</v>
      </c>
      <c r="DV192" s="410">
        <f t="shared" si="74"/>
        <v>0</v>
      </c>
      <c r="DW192" s="415">
        <v>0</v>
      </c>
      <c r="DX192" s="415">
        <v>0</v>
      </c>
      <c r="DY192" s="415">
        <v>206</v>
      </c>
      <c r="DZ192" s="415">
        <v>0</v>
      </c>
      <c r="EA192" s="415">
        <v>0</v>
      </c>
      <c r="EB192" s="415">
        <v>0</v>
      </c>
      <c r="EC192" s="415">
        <v>0</v>
      </c>
      <c r="ED192" s="415">
        <v>0</v>
      </c>
      <c r="EE192" s="415">
        <v>0</v>
      </c>
      <c r="EF192" s="415">
        <v>0</v>
      </c>
      <c r="EG192" s="415">
        <v>0</v>
      </c>
      <c r="EH192" s="415">
        <v>0</v>
      </c>
      <c r="EI192" s="410">
        <f t="shared" si="75"/>
        <v>206</v>
      </c>
      <c r="EJ192" s="415">
        <v>0</v>
      </c>
      <c r="EK192" s="415">
        <v>0</v>
      </c>
      <c r="EL192" s="415">
        <v>244</v>
      </c>
      <c r="EM192" s="415">
        <v>0</v>
      </c>
      <c r="EN192" s="415">
        <v>0</v>
      </c>
      <c r="EO192" s="415">
        <v>0</v>
      </c>
      <c r="EP192" s="415">
        <v>0</v>
      </c>
      <c r="EQ192" s="415">
        <v>0</v>
      </c>
      <c r="ER192" s="415">
        <v>0</v>
      </c>
      <c r="ES192" s="415">
        <v>0</v>
      </c>
      <c r="ET192" s="415">
        <v>0</v>
      </c>
      <c r="EU192" s="415">
        <v>0</v>
      </c>
      <c r="EV192" s="410">
        <f t="shared" si="76"/>
        <v>244</v>
      </c>
      <c r="EW192" s="416">
        <f t="shared" si="77"/>
        <v>450</v>
      </c>
      <c r="EX192" s="417">
        <f>IFERROR(VLOOKUP(H192,CEI_012018!$A$1:$U$509,9,FALSE),0)</f>
        <v>0</v>
      </c>
      <c r="EY192" s="417">
        <f>IFERROR(VLOOKUP(H192,CEI_022018!$A$1:$U$509,9,FALSE),0)</f>
        <v>0</v>
      </c>
      <c r="EZ192" s="417">
        <f>IFERROR(VLOOKUP(H192,CEI_032018!$A$1:$U$509,9,FALSE),0)</f>
        <v>0</v>
      </c>
      <c r="FA192" s="417">
        <f>IFERROR(VLOOKUP(H192,CEI_042018!$A$1:$U$491,9,FALSE),0)</f>
        <v>0</v>
      </c>
      <c r="FB192" s="417">
        <f>IFERROR(VLOOKUP(H192,CEI_052018!$A$1:$U$489,9,FALSE),0)</f>
        <v>0</v>
      </c>
      <c r="FC192" s="417">
        <f>IFERROR(VLOOKUP(H192,CEI_062018!$A$1:$U$489,9,FALSE),0)</f>
        <v>0</v>
      </c>
      <c r="FD192" s="417">
        <f>IFERROR(VLOOKUP(H192,CEI_072018!$A$1:$U$489,9,FALSE),0)</f>
        <v>0</v>
      </c>
      <c r="FE192" s="417">
        <f>IFERROR(VLOOKUP(H192,CEI_082018!$A$1:$U$489,9,FALSE),0)</f>
        <v>0</v>
      </c>
      <c r="FF192" s="417">
        <f>IFERROR(VLOOKUP(H192,CEI_092018!$A$1:$U$489,9,FALSE),0)</f>
        <v>0</v>
      </c>
      <c r="FG192" s="417"/>
      <c r="FH192" s="417"/>
      <c r="FI192" s="417"/>
      <c r="FJ192" s="418">
        <f>IFERROR(VLOOKUP(H192,CEI_092018!$A$1:$U$489,12,FALSE),0)</f>
        <v>0</v>
      </c>
      <c r="FK192" s="418">
        <f t="shared" si="70"/>
        <v>0</v>
      </c>
      <c r="FL192" s="418">
        <f t="shared" si="71"/>
        <v>0</v>
      </c>
      <c r="FM192" s="417"/>
      <c r="FN192" s="417"/>
      <c r="FO192" s="417"/>
      <c r="FP192" s="417"/>
      <c r="FQ192" s="417"/>
      <c r="FR192" s="417"/>
      <c r="FS192" s="417"/>
      <c r="FT192" s="417"/>
      <c r="FU192" s="417"/>
      <c r="FV192" s="417"/>
      <c r="FW192" s="417"/>
      <c r="FX192" s="417"/>
      <c r="FY192" s="418"/>
      <c r="FZ192" s="418"/>
      <c r="GA192" s="418"/>
      <c r="GB192" s="417"/>
      <c r="GC192" s="417"/>
      <c r="GD192" s="417"/>
      <c r="GE192" s="417"/>
      <c r="GF192" s="417"/>
      <c r="GG192" s="417"/>
      <c r="GH192" s="417"/>
      <c r="GI192" s="417"/>
      <c r="GJ192" s="417"/>
      <c r="GK192" s="417"/>
      <c r="GL192" s="417"/>
      <c r="GM192" s="417"/>
      <c r="GN192" s="418"/>
      <c r="GO192" s="418"/>
      <c r="GP192" s="418"/>
      <c r="GQ192" s="417"/>
      <c r="GR192" s="417"/>
      <c r="GS192" s="417"/>
      <c r="GT192" s="417"/>
      <c r="GU192" s="417"/>
      <c r="GV192" s="417"/>
      <c r="GW192" s="417"/>
      <c r="GX192" s="417"/>
      <c r="GY192" s="417"/>
      <c r="GZ192" s="417"/>
      <c r="HA192" s="417"/>
      <c r="HB192" s="417"/>
      <c r="HC192" s="418"/>
      <c r="HD192" s="418"/>
      <c r="HE192" s="418"/>
      <c r="HF192" s="417"/>
      <c r="HG192" s="417"/>
      <c r="HH192" s="417"/>
      <c r="HI192" s="417"/>
      <c r="HJ192" s="417"/>
      <c r="HK192" s="417"/>
      <c r="HL192" s="417"/>
      <c r="HM192" s="417"/>
      <c r="HN192" s="417"/>
      <c r="HO192" s="417"/>
      <c r="HP192" s="417"/>
      <c r="HQ192" s="417"/>
      <c r="HR192" s="418"/>
      <c r="HS192" s="418"/>
      <c r="HT192" s="418"/>
    </row>
    <row r="193" spans="1:228" s="387" customFormat="1" ht="12.75" customHeight="1" x14ac:dyDescent="0.2">
      <c r="A193" s="406" t="s">
        <v>52</v>
      </c>
      <c r="B193" s="407" t="s">
        <v>30</v>
      </c>
      <c r="C193" s="406" t="s">
        <v>1000</v>
      </c>
      <c r="D193" s="407" t="s">
        <v>1004</v>
      </c>
      <c r="E193" s="407" t="s">
        <v>165</v>
      </c>
      <c r="F193" s="407" t="s">
        <v>1748</v>
      </c>
      <c r="G193" s="406" t="s">
        <v>54</v>
      </c>
      <c r="H193" s="408" t="s">
        <v>744</v>
      </c>
      <c r="I193" s="408" t="s">
        <v>1151</v>
      </c>
      <c r="J193" s="406" t="s">
        <v>378</v>
      </c>
      <c r="K193" s="406" t="s">
        <v>379</v>
      </c>
      <c r="L193" s="406" t="s">
        <v>380</v>
      </c>
      <c r="M193" s="406" t="s">
        <v>57</v>
      </c>
      <c r="N193" s="452">
        <v>0</v>
      </c>
      <c r="O193" s="452">
        <v>33.225898742675781</v>
      </c>
      <c r="P193" s="452">
        <v>15.07450008392334</v>
      </c>
      <c r="Q193" s="452">
        <v>0</v>
      </c>
      <c r="R193" s="452">
        <v>15.07450008392334</v>
      </c>
      <c r="S193" s="452">
        <v>136.12045288085937</v>
      </c>
      <c r="T193" s="452">
        <v>0</v>
      </c>
      <c r="U193" s="409">
        <v>0</v>
      </c>
      <c r="V193" s="409">
        <v>60</v>
      </c>
      <c r="W193" s="409">
        <v>50</v>
      </c>
      <c r="X193" s="409">
        <v>60</v>
      </c>
      <c r="Y193" s="409">
        <v>120.50463999999999</v>
      </c>
      <c r="Z193" s="453">
        <f t="shared" si="63"/>
        <v>489.99999179138183</v>
      </c>
      <c r="AA193" s="452">
        <v>0</v>
      </c>
      <c r="AB193" s="452">
        <v>0</v>
      </c>
      <c r="AC193" s="452">
        <v>0</v>
      </c>
      <c r="AD193" s="452">
        <v>0</v>
      </c>
      <c r="AE193" s="452">
        <v>0</v>
      </c>
      <c r="AF193" s="452">
        <v>0</v>
      </c>
      <c r="AG193" s="452">
        <v>0</v>
      </c>
      <c r="AH193" s="409">
        <v>0</v>
      </c>
      <c r="AI193" s="409">
        <v>0</v>
      </c>
      <c r="AJ193" s="409">
        <v>0</v>
      </c>
      <c r="AK193" s="409">
        <v>0</v>
      </c>
      <c r="AL193" s="409">
        <v>0</v>
      </c>
      <c r="AM193" s="453">
        <f t="shared" si="58"/>
        <v>0</v>
      </c>
      <c r="AN193" s="452">
        <v>0</v>
      </c>
      <c r="AO193" s="452">
        <v>0</v>
      </c>
      <c r="AP193" s="452">
        <v>0</v>
      </c>
      <c r="AQ193" s="452">
        <v>0</v>
      </c>
      <c r="AR193" s="452">
        <v>0</v>
      </c>
      <c r="AS193" s="452">
        <v>0</v>
      </c>
      <c r="AT193" s="452">
        <v>0</v>
      </c>
      <c r="AU193" s="409">
        <v>0</v>
      </c>
      <c r="AV193" s="409">
        <v>0</v>
      </c>
      <c r="AW193" s="409">
        <v>0</v>
      </c>
      <c r="AX193" s="409">
        <v>0</v>
      </c>
      <c r="AY193" s="409">
        <v>0</v>
      </c>
      <c r="AZ193" s="453">
        <f t="shared" si="59"/>
        <v>0</v>
      </c>
      <c r="BA193" s="452">
        <v>0</v>
      </c>
      <c r="BB193" s="452">
        <v>0</v>
      </c>
      <c r="BC193" s="452">
        <v>0</v>
      </c>
      <c r="BD193" s="452">
        <v>0</v>
      </c>
      <c r="BE193" s="452">
        <v>0</v>
      </c>
      <c r="BF193" s="452">
        <v>0</v>
      </c>
      <c r="BG193" s="452">
        <v>0</v>
      </c>
      <c r="BH193" s="409">
        <v>0</v>
      </c>
      <c r="BI193" s="409">
        <v>0</v>
      </c>
      <c r="BJ193" s="409">
        <v>0</v>
      </c>
      <c r="BK193" s="409">
        <v>0</v>
      </c>
      <c r="BL193" s="409">
        <v>0</v>
      </c>
      <c r="BM193" s="453">
        <f t="shared" si="60"/>
        <v>0</v>
      </c>
      <c r="BN193" s="452">
        <v>0</v>
      </c>
      <c r="BO193" s="452">
        <v>0</v>
      </c>
      <c r="BP193" s="452">
        <v>0</v>
      </c>
      <c r="BQ193" s="452">
        <v>0</v>
      </c>
      <c r="BR193" s="452">
        <v>0</v>
      </c>
      <c r="BS193" s="452">
        <v>0</v>
      </c>
      <c r="BT193" s="452">
        <v>0</v>
      </c>
      <c r="BU193" s="409">
        <v>0</v>
      </c>
      <c r="BV193" s="409">
        <v>0</v>
      </c>
      <c r="BW193" s="409">
        <v>0</v>
      </c>
      <c r="BX193" s="409">
        <v>0</v>
      </c>
      <c r="BY193" s="409">
        <v>0</v>
      </c>
      <c r="BZ193" s="453">
        <f t="shared" si="61"/>
        <v>0</v>
      </c>
      <c r="CA193" s="454">
        <f t="shared" si="62"/>
        <v>489.99999179138183</v>
      </c>
      <c r="CB193" s="419"/>
      <c r="CC193" s="419">
        <v>1</v>
      </c>
      <c r="CD193" s="419">
        <v>1</v>
      </c>
      <c r="CE193" s="419">
        <v>1</v>
      </c>
      <c r="CF193" s="419">
        <v>1</v>
      </c>
      <c r="CG193" s="420">
        <f>IFERROR((FE193/Z193%),0)</f>
        <v>40.713337782323322</v>
      </c>
      <c r="CH193" s="421">
        <f>IFERROR((FK193/Z193%),0)</f>
        <v>98.729665035718355</v>
      </c>
      <c r="CI193" s="414" t="s">
        <v>1622</v>
      </c>
      <c r="CJ193" s="415">
        <v>0</v>
      </c>
      <c r="CK193" s="415">
        <v>110.75300000000001</v>
      </c>
      <c r="CL193" s="415">
        <v>50.248333333333335</v>
      </c>
      <c r="CM193" s="415">
        <v>0</v>
      </c>
      <c r="CN193" s="415">
        <v>50.248333333333314</v>
      </c>
      <c r="CO193" s="415">
        <v>453.73486666666662</v>
      </c>
      <c r="CP193" s="415">
        <v>0</v>
      </c>
      <c r="CQ193" s="415">
        <v>200</v>
      </c>
      <c r="CR193" s="415">
        <v>200</v>
      </c>
      <c r="CS193" s="415">
        <v>166.66666666666669</v>
      </c>
      <c r="CT193" s="415">
        <v>200</v>
      </c>
      <c r="CU193" s="415">
        <v>201.68213333333335</v>
      </c>
      <c r="CV193" s="410">
        <f t="shared" si="72"/>
        <v>1633.3333333333335</v>
      </c>
      <c r="CW193" s="415">
        <v>0</v>
      </c>
      <c r="CX193" s="415">
        <v>0</v>
      </c>
      <c r="CY193" s="415">
        <v>0</v>
      </c>
      <c r="CZ193" s="415">
        <v>0</v>
      </c>
      <c r="DA193" s="415">
        <v>0</v>
      </c>
      <c r="DB193" s="415">
        <v>0</v>
      </c>
      <c r="DC193" s="415">
        <v>0</v>
      </c>
      <c r="DD193" s="415">
        <v>0</v>
      </c>
      <c r="DE193" s="415">
        <v>0</v>
      </c>
      <c r="DF193" s="415">
        <v>0</v>
      </c>
      <c r="DG193" s="415">
        <v>0</v>
      </c>
      <c r="DH193" s="415">
        <v>0</v>
      </c>
      <c r="DI193" s="410">
        <f t="shared" si="73"/>
        <v>0</v>
      </c>
      <c r="DJ193" s="415">
        <v>0</v>
      </c>
      <c r="DK193" s="415">
        <v>0</v>
      </c>
      <c r="DL193" s="415">
        <v>0</v>
      </c>
      <c r="DM193" s="415">
        <v>0</v>
      </c>
      <c r="DN193" s="415">
        <v>0</v>
      </c>
      <c r="DO193" s="415">
        <v>0</v>
      </c>
      <c r="DP193" s="415">
        <v>0</v>
      </c>
      <c r="DQ193" s="415">
        <v>0</v>
      </c>
      <c r="DR193" s="415">
        <v>0</v>
      </c>
      <c r="DS193" s="415">
        <v>0</v>
      </c>
      <c r="DT193" s="415">
        <v>0</v>
      </c>
      <c r="DU193" s="415">
        <v>0</v>
      </c>
      <c r="DV193" s="410">
        <f t="shared" si="74"/>
        <v>0</v>
      </c>
      <c r="DW193" s="415">
        <v>0</v>
      </c>
      <c r="DX193" s="415">
        <v>0</v>
      </c>
      <c r="DY193" s="415">
        <v>0</v>
      </c>
      <c r="DZ193" s="415">
        <v>0</v>
      </c>
      <c r="EA193" s="415">
        <v>0</v>
      </c>
      <c r="EB193" s="415">
        <v>0</v>
      </c>
      <c r="EC193" s="415">
        <v>0</v>
      </c>
      <c r="ED193" s="415">
        <v>0</v>
      </c>
      <c r="EE193" s="415">
        <v>0</v>
      </c>
      <c r="EF193" s="415">
        <v>0</v>
      </c>
      <c r="EG193" s="415">
        <v>0</v>
      </c>
      <c r="EH193" s="415">
        <v>0</v>
      </c>
      <c r="EI193" s="410">
        <f t="shared" si="75"/>
        <v>0</v>
      </c>
      <c r="EJ193" s="415">
        <v>0</v>
      </c>
      <c r="EK193" s="415">
        <v>0</v>
      </c>
      <c r="EL193" s="415">
        <v>0</v>
      </c>
      <c r="EM193" s="415">
        <v>0</v>
      </c>
      <c r="EN193" s="415">
        <v>0</v>
      </c>
      <c r="EO193" s="415">
        <v>0</v>
      </c>
      <c r="EP193" s="415">
        <v>0</v>
      </c>
      <c r="EQ193" s="415">
        <v>0</v>
      </c>
      <c r="ER193" s="415">
        <v>0</v>
      </c>
      <c r="ES193" s="415">
        <v>0</v>
      </c>
      <c r="ET193" s="415">
        <v>0</v>
      </c>
      <c r="EU193" s="415">
        <v>0</v>
      </c>
      <c r="EV193" s="410">
        <f t="shared" si="76"/>
        <v>0</v>
      </c>
      <c r="EW193" s="416">
        <f t="shared" si="77"/>
        <v>1633.3333333333335</v>
      </c>
      <c r="EX193" s="417">
        <f>IFERROR(VLOOKUP(H193,CEI_012018!$A$1:$U$509,9,FALSE),0)</f>
        <v>0</v>
      </c>
      <c r="EY193" s="417">
        <f>IFERROR(VLOOKUP(H193,CEI_022018!$A$1:$U$509,9,FALSE),0)</f>
        <v>33.225898742675781</v>
      </c>
      <c r="EZ193" s="417">
        <f>IFERROR(VLOOKUP(H193,CEI_032018!$A$1:$U$509,9,FALSE),0)</f>
        <v>48.300398826599121</v>
      </c>
      <c r="FA193" s="417">
        <f>IFERROR(VLOOKUP(H193,CEI_042018!$A$1:$U$491,9,FALSE),0)</f>
        <v>48.300398826599121</v>
      </c>
      <c r="FB193" s="417">
        <f>IFERROR(VLOOKUP(H193,CEI_052018!$A$1:$U$489,9,FALSE),0)</f>
        <v>63.374898910522461</v>
      </c>
      <c r="FC193" s="417">
        <f>IFERROR(VLOOKUP(H193,CEI_062018!$A$1:$U$489,9,FALSE),0)</f>
        <v>199.49535179138184</v>
      </c>
      <c r="FD193" s="417">
        <f>IFERROR(VLOOKUP(H193,CEI_072018!$A$1:$U$489,9,FALSE),0)</f>
        <v>199.49535179138184</v>
      </c>
      <c r="FE193" s="417">
        <f>IFERROR(VLOOKUP(H193,CEI_082018!$A$1:$U$489,9,FALSE),0)</f>
        <v>199.49535179138184</v>
      </c>
      <c r="FF193" s="417">
        <f>IFERROR(VLOOKUP(H193,CEI_092018!$A$1:$U$489,9,FALSE),0)</f>
        <v>199.49535179138184</v>
      </c>
      <c r="FG193" s="417"/>
      <c r="FH193" s="417"/>
      <c r="FI193" s="417"/>
      <c r="FJ193" s="418">
        <f>IFERROR(VLOOKUP(H193,CEI_092018!$A$1:$U$489,12,FALSE),0)</f>
        <v>284.27999877929687</v>
      </c>
      <c r="FK193" s="418">
        <f t="shared" si="70"/>
        <v>483.77535057067871</v>
      </c>
      <c r="FL193" s="418">
        <f t="shared" si="71"/>
        <v>6.2246412207031199</v>
      </c>
      <c r="FM193" s="417"/>
      <c r="FN193" s="417"/>
      <c r="FO193" s="417"/>
      <c r="FP193" s="417"/>
      <c r="FQ193" s="417"/>
      <c r="FR193" s="417"/>
      <c r="FS193" s="417"/>
      <c r="FT193" s="417"/>
      <c r="FU193" s="417"/>
      <c r="FV193" s="417"/>
      <c r="FW193" s="417"/>
      <c r="FX193" s="417"/>
      <c r="FY193" s="418"/>
      <c r="FZ193" s="418"/>
      <c r="GA193" s="418"/>
      <c r="GB193" s="417"/>
      <c r="GC193" s="417"/>
      <c r="GD193" s="417"/>
      <c r="GE193" s="417"/>
      <c r="GF193" s="417"/>
      <c r="GG193" s="417"/>
      <c r="GH193" s="417"/>
      <c r="GI193" s="417"/>
      <c r="GJ193" s="417"/>
      <c r="GK193" s="417"/>
      <c r="GL193" s="417"/>
      <c r="GM193" s="417"/>
      <c r="GN193" s="418"/>
      <c r="GO193" s="418"/>
      <c r="GP193" s="418"/>
      <c r="GQ193" s="417"/>
      <c r="GR193" s="417"/>
      <c r="GS193" s="417"/>
      <c r="GT193" s="417"/>
      <c r="GU193" s="417"/>
      <c r="GV193" s="417"/>
      <c r="GW193" s="417"/>
      <c r="GX193" s="417"/>
      <c r="GY193" s="417"/>
      <c r="GZ193" s="417"/>
      <c r="HA193" s="417"/>
      <c r="HB193" s="417"/>
      <c r="HC193" s="418"/>
      <c r="HD193" s="418"/>
      <c r="HE193" s="418"/>
      <c r="HF193" s="417"/>
      <c r="HG193" s="417"/>
      <c r="HH193" s="417"/>
      <c r="HI193" s="417"/>
      <c r="HJ193" s="417"/>
      <c r="HK193" s="417"/>
      <c r="HL193" s="417"/>
      <c r="HM193" s="417"/>
      <c r="HN193" s="417"/>
      <c r="HO193" s="417"/>
      <c r="HP193" s="417"/>
      <c r="HQ193" s="417"/>
      <c r="HR193" s="418"/>
      <c r="HS193" s="418"/>
      <c r="HT193" s="418"/>
    </row>
    <row r="194" spans="1:228" s="387" customFormat="1" ht="12.75" customHeight="1" x14ac:dyDescent="0.2">
      <c r="A194" s="406" t="s">
        <v>61</v>
      </c>
      <c r="B194" s="407" t="s">
        <v>36</v>
      </c>
      <c r="C194" s="406" t="s">
        <v>1000</v>
      </c>
      <c r="D194" s="407" t="s">
        <v>1004</v>
      </c>
      <c r="E194" s="407" t="s">
        <v>1000</v>
      </c>
      <c r="F194" s="407" t="s">
        <v>1004</v>
      </c>
      <c r="G194" s="406" t="s">
        <v>54</v>
      </c>
      <c r="H194" s="441" t="s">
        <v>1929</v>
      </c>
      <c r="I194" s="442" t="s">
        <v>1931</v>
      </c>
      <c r="J194" s="443" t="s">
        <v>1930</v>
      </c>
      <c r="K194" s="406"/>
      <c r="L194" s="406"/>
      <c r="M194" s="406" t="s">
        <v>1779</v>
      </c>
      <c r="N194" s="452">
        <v>0</v>
      </c>
      <c r="O194" s="452">
        <v>0</v>
      </c>
      <c r="P194" s="452">
        <v>0</v>
      </c>
      <c r="Q194" s="452">
        <v>0</v>
      </c>
      <c r="R194" s="452">
        <v>0</v>
      </c>
      <c r="S194" s="452">
        <v>0</v>
      </c>
      <c r="T194" s="452">
        <v>0</v>
      </c>
      <c r="U194" s="409">
        <v>0</v>
      </c>
      <c r="V194" s="409"/>
      <c r="W194" s="409">
        <v>0</v>
      </c>
      <c r="X194" s="409">
        <v>0</v>
      </c>
      <c r="Y194" s="409">
        <v>0</v>
      </c>
      <c r="Z194" s="453">
        <f t="shared" si="63"/>
        <v>0</v>
      </c>
      <c r="AA194" s="452">
        <v>0</v>
      </c>
      <c r="AB194" s="452">
        <v>25</v>
      </c>
      <c r="AC194" s="452">
        <v>25</v>
      </c>
      <c r="AD194" s="452">
        <v>0</v>
      </c>
      <c r="AE194" s="452">
        <v>50</v>
      </c>
      <c r="AF194" s="452">
        <v>0</v>
      </c>
      <c r="AG194" s="452">
        <v>0</v>
      </c>
      <c r="AH194" s="409">
        <v>50</v>
      </c>
      <c r="AI194" s="409">
        <v>0</v>
      </c>
      <c r="AJ194" s="409">
        <v>50</v>
      </c>
      <c r="AK194" s="409">
        <v>0</v>
      </c>
      <c r="AL194" s="409">
        <v>0</v>
      </c>
      <c r="AM194" s="453">
        <f t="shared" ref="AM194:AM257" si="78">SUM(AA194:AL194)</f>
        <v>200</v>
      </c>
      <c r="AN194" s="452">
        <v>0</v>
      </c>
      <c r="AO194" s="452">
        <v>0</v>
      </c>
      <c r="AP194" s="452">
        <v>0</v>
      </c>
      <c r="AQ194" s="452">
        <v>0</v>
      </c>
      <c r="AR194" s="452">
        <v>0</v>
      </c>
      <c r="AS194" s="452">
        <v>0</v>
      </c>
      <c r="AT194" s="452">
        <v>0</v>
      </c>
      <c r="AU194" s="409">
        <v>0</v>
      </c>
      <c r="AV194" s="409">
        <v>0</v>
      </c>
      <c r="AW194" s="409">
        <v>0</v>
      </c>
      <c r="AX194" s="409">
        <v>0</v>
      </c>
      <c r="AY194" s="409">
        <v>0</v>
      </c>
      <c r="AZ194" s="453">
        <f t="shared" ref="AZ194:AZ257" si="79">SUM(AN194:AY194)</f>
        <v>0</v>
      </c>
      <c r="BA194" s="452">
        <v>0</v>
      </c>
      <c r="BB194" s="452">
        <v>0</v>
      </c>
      <c r="BC194" s="452">
        <v>0</v>
      </c>
      <c r="BD194" s="452">
        <v>0</v>
      </c>
      <c r="BE194" s="452">
        <v>0</v>
      </c>
      <c r="BF194" s="452">
        <v>0</v>
      </c>
      <c r="BG194" s="452">
        <v>0</v>
      </c>
      <c r="BH194" s="409">
        <v>0</v>
      </c>
      <c r="BI194" s="409">
        <v>0</v>
      </c>
      <c r="BJ194" s="409">
        <v>0</v>
      </c>
      <c r="BK194" s="409">
        <v>0</v>
      </c>
      <c r="BL194" s="409">
        <v>0</v>
      </c>
      <c r="BM194" s="453">
        <f t="shared" ref="BM194:BM257" si="80">SUM(BA194:BL194)</f>
        <v>0</v>
      </c>
      <c r="BN194" s="452">
        <v>0</v>
      </c>
      <c r="BO194" s="452">
        <v>0</v>
      </c>
      <c r="BP194" s="452">
        <v>0</v>
      </c>
      <c r="BQ194" s="452">
        <v>0</v>
      </c>
      <c r="BR194" s="452">
        <v>0</v>
      </c>
      <c r="BS194" s="452">
        <v>0</v>
      </c>
      <c r="BT194" s="452">
        <v>0</v>
      </c>
      <c r="BU194" s="409">
        <v>0</v>
      </c>
      <c r="BV194" s="409">
        <v>0</v>
      </c>
      <c r="BW194" s="409">
        <v>0</v>
      </c>
      <c r="BX194" s="409">
        <v>0</v>
      </c>
      <c r="BY194" s="409">
        <v>0</v>
      </c>
      <c r="BZ194" s="453">
        <f t="shared" ref="BZ194:BZ257" si="81">SUM(BN194:BY194)</f>
        <v>0</v>
      </c>
      <c r="CA194" s="454">
        <f t="shared" ref="CA194:CA257" si="82">SUM(BZ194,BM194,AZ194,AM194,Z194)</f>
        <v>200</v>
      </c>
      <c r="CB194" s="411"/>
      <c r="CC194" s="411"/>
      <c r="CD194" s="411"/>
      <c r="CE194" s="411"/>
      <c r="CF194" s="411"/>
      <c r="CG194" s="412"/>
      <c r="CH194" s="413"/>
      <c r="CI194" s="414" t="s">
        <v>1622</v>
      </c>
      <c r="CJ194" s="415">
        <v>0</v>
      </c>
      <c r="CK194" s="415">
        <v>0</v>
      </c>
      <c r="CL194" s="415">
        <v>0</v>
      </c>
      <c r="CM194" s="415">
        <v>0</v>
      </c>
      <c r="CN194" s="415">
        <v>0</v>
      </c>
      <c r="CO194" s="415">
        <v>0</v>
      </c>
      <c r="CP194" s="415">
        <v>0</v>
      </c>
      <c r="CQ194" s="415">
        <v>0</v>
      </c>
      <c r="CR194" s="415">
        <v>0</v>
      </c>
      <c r="CS194" s="415">
        <v>0</v>
      </c>
      <c r="CT194" s="415">
        <v>0</v>
      </c>
      <c r="CU194" s="415">
        <v>0</v>
      </c>
      <c r="CV194" s="410">
        <f t="shared" si="72"/>
        <v>0</v>
      </c>
      <c r="CW194" s="415">
        <v>0</v>
      </c>
      <c r="CX194" s="415">
        <v>0</v>
      </c>
      <c r="CY194" s="415">
        <v>116.27906976744187</v>
      </c>
      <c r="CZ194" s="415">
        <v>116.27906976744187</v>
      </c>
      <c r="DA194" s="415">
        <v>232.55813953488374</v>
      </c>
      <c r="DB194" s="415">
        <v>0</v>
      </c>
      <c r="DC194" s="415">
        <v>0</v>
      </c>
      <c r="DD194" s="415">
        <v>0</v>
      </c>
      <c r="DE194" s="415">
        <v>0</v>
      </c>
      <c r="DF194" s="415">
        <v>0</v>
      </c>
      <c r="DG194" s="415">
        <v>0</v>
      </c>
      <c r="DH194" s="415">
        <v>0</v>
      </c>
      <c r="DI194" s="410">
        <f t="shared" si="73"/>
        <v>465.11627906976747</v>
      </c>
      <c r="DJ194" s="415">
        <v>0</v>
      </c>
      <c r="DK194" s="415">
        <v>0</v>
      </c>
      <c r="DL194" s="415">
        <v>0</v>
      </c>
      <c r="DM194" s="415">
        <v>0</v>
      </c>
      <c r="DN194" s="415">
        <v>0</v>
      </c>
      <c r="DO194" s="415">
        <v>0</v>
      </c>
      <c r="DP194" s="415">
        <v>0</v>
      </c>
      <c r="DQ194" s="415">
        <v>0</v>
      </c>
      <c r="DR194" s="415">
        <v>0</v>
      </c>
      <c r="DS194" s="415">
        <v>0</v>
      </c>
      <c r="DT194" s="415">
        <v>0</v>
      </c>
      <c r="DU194" s="415">
        <v>0</v>
      </c>
      <c r="DV194" s="410">
        <f t="shared" si="74"/>
        <v>0</v>
      </c>
      <c r="DW194" s="415">
        <v>0</v>
      </c>
      <c r="DX194" s="415">
        <v>0</v>
      </c>
      <c r="DY194" s="415">
        <v>0</v>
      </c>
      <c r="DZ194" s="415">
        <v>0</v>
      </c>
      <c r="EA194" s="415">
        <v>0</v>
      </c>
      <c r="EB194" s="415">
        <v>0</v>
      </c>
      <c r="EC194" s="415">
        <v>0</v>
      </c>
      <c r="ED194" s="415">
        <v>0</v>
      </c>
      <c r="EE194" s="415">
        <v>0</v>
      </c>
      <c r="EF194" s="415">
        <v>0</v>
      </c>
      <c r="EG194" s="415">
        <v>0</v>
      </c>
      <c r="EH194" s="415">
        <v>0</v>
      </c>
      <c r="EI194" s="410">
        <f t="shared" si="75"/>
        <v>0</v>
      </c>
      <c r="EJ194" s="415">
        <v>0</v>
      </c>
      <c r="EK194" s="415">
        <v>0</v>
      </c>
      <c r="EL194" s="415">
        <v>0</v>
      </c>
      <c r="EM194" s="415">
        <v>0</v>
      </c>
      <c r="EN194" s="415">
        <v>0</v>
      </c>
      <c r="EO194" s="415">
        <v>0</v>
      </c>
      <c r="EP194" s="415">
        <v>0</v>
      </c>
      <c r="EQ194" s="415">
        <v>0</v>
      </c>
      <c r="ER194" s="415">
        <v>0</v>
      </c>
      <c r="ES194" s="415">
        <v>0</v>
      </c>
      <c r="ET194" s="415">
        <v>0</v>
      </c>
      <c r="EU194" s="415">
        <v>0</v>
      </c>
      <c r="EV194" s="410">
        <f t="shared" si="76"/>
        <v>0</v>
      </c>
      <c r="EW194" s="416">
        <f t="shared" si="77"/>
        <v>465.11627906976747</v>
      </c>
      <c r="EX194" s="417">
        <f>IFERROR(VLOOKUP(H194,CEI_012018!$A$1:$U$509,9,FALSE),0)</f>
        <v>0</v>
      </c>
      <c r="EY194" s="417">
        <f>IFERROR(VLOOKUP(H194,CEI_022018!$A$1:$U$509,9,FALSE),0)</f>
        <v>0</v>
      </c>
      <c r="EZ194" s="417">
        <f>IFERROR(VLOOKUP(H194,CEI_032018!$A$1:$U$509,9,FALSE),0)</f>
        <v>0</v>
      </c>
      <c r="FA194" s="417">
        <f>IFERROR(VLOOKUP(H194,CEI_042018!$A$1:$U$491,9,FALSE),0)</f>
        <v>0</v>
      </c>
      <c r="FB194" s="417">
        <f>IFERROR(VLOOKUP(H194,CEI_052018!$A$1:$U$489,9,FALSE),0)</f>
        <v>0</v>
      </c>
      <c r="FC194" s="417">
        <f>IFERROR(VLOOKUP(H194,CEI_062018!$A$1:$U$489,9,FALSE),0)</f>
        <v>0</v>
      </c>
      <c r="FD194" s="417">
        <f>IFERROR(VLOOKUP(H194,CEI_072018!$A$1:$U$489,9,FALSE),0)</f>
        <v>0</v>
      </c>
      <c r="FE194" s="417">
        <f>IFERROR(VLOOKUP(H194,CEI_082018!$A$1:$U$489,9,FALSE),0)</f>
        <v>0</v>
      </c>
      <c r="FF194" s="417">
        <f>IFERROR(VLOOKUP(H194,CEI_092018!$A$1:$U$489,9,FALSE),0)</f>
        <v>0</v>
      </c>
      <c r="FG194" s="417"/>
      <c r="FH194" s="417"/>
      <c r="FI194" s="417"/>
      <c r="FJ194" s="418">
        <f>IFERROR(VLOOKUP(H194,CEI_092018!$A$1:$U$489,12,FALSE),0)</f>
        <v>0</v>
      </c>
      <c r="FK194" s="418">
        <f t="shared" si="70"/>
        <v>0</v>
      </c>
      <c r="FL194" s="418">
        <f t="shared" si="71"/>
        <v>0</v>
      </c>
      <c r="FM194" s="417"/>
      <c r="FN194" s="417"/>
      <c r="FO194" s="417"/>
      <c r="FP194" s="417"/>
      <c r="FQ194" s="417"/>
      <c r="FR194" s="417"/>
      <c r="FS194" s="417"/>
      <c r="FT194" s="417"/>
      <c r="FU194" s="417"/>
      <c r="FV194" s="417"/>
      <c r="FW194" s="417"/>
      <c r="FX194" s="417"/>
      <c r="FY194" s="418"/>
      <c r="FZ194" s="418"/>
      <c r="GA194" s="418"/>
      <c r="GB194" s="417"/>
      <c r="GC194" s="417"/>
      <c r="GD194" s="417"/>
      <c r="GE194" s="417"/>
      <c r="GF194" s="417"/>
      <c r="GG194" s="417"/>
      <c r="GH194" s="417"/>
      <c r="GI194" s="417"/>
      <c r="GJ194" s="417"/>
      <c r="GK194" s="417"/>
      <c r="GL194" s="417"/>
      <c r="GM194" s="417"/>
      <c r="GN194" s="418"/>
      <c r="GO194" s="418"/>
      <c r="GP194" s="418"/>
      <c r="GQ194" s="417"/>
      <c r="GR194" s="417"/>
      <c r="GS194" s="417"/>
      <c r="GT194" s="417"/>
      <c r="GU194" s="417"/>
      <c r="GV194" s="417"/>
      <c r="GW194" s="417"/>
      <c r="GX194" s="417"/>
      <c r="GY194" s="417"/>
      <c r="GZ194" s="417"/>
      <c r="HA194" s="417"/>
      <c r="HB194" s="417"/>
      <c r="HC194" s="418"/>
      <c r="HD194" s="418"/>
      <c r="HE194" s="418"/>
      <c r="HF194" s="417"/>
      <c r="HG194" s="417"/>
      <c r="HH194" s="417"/>
      <c r="HI194" s="417"/>
      <c r="HJ194" s="417"/>
      <c r="HK194" s="417"/>
      <c r="HL194" s="417"/>
      <c r="HM194" s="417"/>
      <c r="HN194" s="417"/>
      <c r="HO194" s="417"/>
      <c r="HP194" s="417"/>
      <c r="HQ194" s="417"/>
      <c r="HR194" s="418"/>
      <c r="HS194" s="418"/>
      <c r="HT194" s="418"/>
    </row>
    <row r="195" spans="1:228" s="387" customFormat="1" ht="12.75" customHeight="1" x14ac:dyDescent="0.2">
      <c r="A195" s="406" t="s">
        <v>55</v>
      </c>
      <c r="B195" s="407" t="s">
        <v>41</v>
      </c>
      <c r="C195" s="406" t="s">
        <v>1000</v>
      </c>
      <c r="D195" s="407" t="s">
        <v>1006</v>
      </c>
      <c r="E195" s="407" t="s">
        <v>1000</v>
      </c>
      <c r="F195" s="407" t="s">
        <v>1006</v>
      </c>
      <c r="G195" s="406" t="s">
        <v>54</v>
      </c>
      <c r="H195" s="408" t="s">
        <v>655</v>
      </c>
      <c r="I195" s="408" t="s">
        <v>1260</v>
      </c>
      <c r="J195" s="406" t="s">
        <v>656</v>
      </c>
      <c r="K195" s="406" t="s">
        <v>371</v>
      </c>
      <c r="L195" s="406" t="s">
        <v>372</v>
      </c>
      <c r="M195" s="406" t="s">
        <v>1770</v>
      </c>
      <c r="N195" s="452">
        <v>0</v>
      </c>
      <c r="O195" s="452">
        <v>0</v>
      </c>
      <c r="P195" s="452">
        <v>0</v>
      </c>
      <c r="Q195" s="452">
        <v>0</v>
      </c>
      <c r="R195" s="452">
        <v>0</v>
      </c>
      <c r="S195" s="452">
        <v>0</v>
      </c>
      <c r="T195" s="452">
        <v>0</v>
      </c>
      <c r="U195" s="409">
        <v>0</v>
      </c>
      <c r="V195" s="409">
        <v>0</v>
      </c>
      <c r="W195" s="409">
        <v>0</v>
      </c>
      <c r="X195" s="409">
        <v>0</v>
      </c>
      <c r="Y195" s="409">
        <v>0</v>
      </c>
      <c r="Z195" s="453">
        <f t="shared" ref="Z195:Z258" si="83">SUM(N195:Y195)</f>
        <v>0</v>
      </c>
      <c r="AA195" s="452">
        <v>0</v>
      </c>
      <c r="AB195" s="452">
        <v>0</v>
      </c>
      <c r="AC195" s="452">
        <v>280</v>
      </c>
      <c r="AD195" s="452">
        <v>0</v>
      </c>
      <c r="AE195" s="452">
        <v>0</v>
      </c>
      <c r="AF195" s="452">
        <v>0</v>
      </c>
      <c r="AG195" s="452">
        <v>0</v>
      </c>
      <c r="AH195" s="409">
        <v>0</v>
      </c>
      <c r="AI195" s="409">
        <v>0</v>
      </c>
      <c r="AJ195" s="409">
        <v>0</v>
      </c>
      <c r="AK195" s="409">
        <v>0</v>
      </c>
      <c r="AL195" s="409">
        <v>0</v>
      </c>
      <c r="AM195" s="453">
        <f t="shared" si="78"/>
        <v>280</v>
      </c>
      <c r="AN195" s="452">
        <v>0</v>
      </c>
      <c r="AO195" s="452">
        <v>0</v>
      </c>
      <c r="AP195" s="452">
        <v>0</v>
      </c>
      <c r="AQ195" s="452">
        <v>0</v>
      </c>
      <c r="AR195" s="452">
        <v>0</v>
      </c>
      <c r="AS195" s="452">
        <v>0</v>
      </c>
      <c r="AT195" s="452">
        <v>0</v>
      </c>
      <c r="AU195" s="409">
        <v>0</v>
      </c>
      <c r="AV195" s="409">
        <v>0</v>
      </c>
      <c r="AW195" s="409">
        <v>0</v>
      </c>
      <c r="AX195" s="409">
        <v>0</v>
      </c>
      <c r="AY195" s="409">
        <v>0</v>
      </c>
      <c r="AZ195" s="453">
        <f t="shared" si="79"/>
        <v>0</v>
      </c>
      <c r="BA195" s="452">
        <v>0</v>
      </c>
      <c r="BB195" s="452">
        <v>0</v>
      </c>
      <c r="BC195" s="452">
        <v>0</v>
      </c>
      <c r="BD195" s="452">
        <v>0</v>
      </c>
      <c r="BE195" s="452">
        <v>0</v>
      </c>
      <c r="BF195" s="452">
        <v>140</v>
      </c>
      <c r="BG195" s="452">
        <v>0</v>
      </c>
      <c r="BH195" s="409">
        <v>0</v>
      </c>
      <c r="BI195" s="409">
        <v>0</v>
      </c>
      <c r="BJ195" s="409">
        <v>0</v>
      </c>
      <c r="BK195" s="409">
        <v>0</v>
      </c>
      <c r="BL195" s="409">
        <v>0</v>
      </c>
      <c r="BM195" s="453">
        <f t="shared" si="80"/>
        <v>140</v>
      </c>
      <c r="BN195" s="452">
        <v>0</v>
      </c>
      <c r="BO195" s="452">
        <v>0</v>
      </c>
      <c r="BP195" s="452">
        <v>0</v>
      </c>
      <c r="BQ195" s="452">
        <v>0</v>
      </c>
      <c r="BR195" s="452">
        <v>0</v>
      </c>
      <c r="BS195" s="452">
        <v>0</v>
      </c>
      <c r="BT195" s="452">
        <v>0</v>
      </c>
      <c r="BU195" s="409">
        <v>0</v>
      </c>
      <c r="BV195" s="409">
        <v>0</v>
      </c>
      <c r="BW195" s="409">
        <v>0</v>
      </c>
      <c r="BX195" s="409">
        <v>0</v>
      </c>
      <c r="BY195" s="409">
        <v>0</v>
      </c>
      <c r="BZ195" s="453">
        <f t="shared" si="81"/>
        <v>0</v>
      </c>
      <c r="CA195" s="454">
        <f t="shared" si="82"/>
        <v>420</v>
      </c>
      <c r="CB195" s="411"/>
      <c r="CC195" s="411"/>
      <c r="CD195" s="411"/>
      <c r="CE195" s="411"/>
      <c r="CF195" s="411"/>
      <c r="CG195" s="420">
        <f>IFERROR((FE195/Z195%),0)</f>
        <v>0</v>
      </c>
      <c r="CH195" s="413"/>
      <c r="CI195" s="414" t="s">
        <v>1603</v>
      </c>
      <c r="CJ195" s="415">
        <v>0</v>
      </c>
      <c r="CK195" s="415">
        <v>0</v>
      </c>
      <c r="CL195" s="415">
        <v>0</v>
      </c>
      <c r="CM195" s="415">
        <v>0</v>
      </c>
      <c r="CN195" s="415">
        <v>0</v>
      </c>
      <c r="CO195" s="415">
        <v>0</v>
      </c>
      <c r="CP195" s="415">
        <v>0</v>
      </c>
      <c r="CQ195" s="415">
        <v>0</v>
      </c>
      <c r="CR195" s="415">
        <v>0</v>
      </c>
      <c r="CS195" s="415">
        <v>0</v>
      </c>
      <c r="CT195" s="415">
        <v>0</v>
      </c>
      <c r="CU195" s="415">
        <v>0</v>
      </c>
      <c r="CV195" s="410">
        <f t="shared" si="72"/>
        <v>0</v>
      </c>
      <c r="CW195" s="415">
        <v>0</v>
      </c>
      <c r="CX195" s="415">
        <v>0</v>
      </c>
      <c r="CY195" s="415">
        <v>80</v>
      </c>
      <c r="CZ195" s="415">
        <v>0</v>
      </c>
      <c r="DA195" s="415">
        <v>0</v>
      </c>
      <c r="DB195" s="415">
        <v>0</v>
      </c>
      <c r="DC195" s="415">
        <v>0</v>
      </c>
      <c r="DD195" s="415">
        <v>0</v>
      </c>
      <c r="DE195" s="415">
        <v>0</v>
      </c>
      <c r="DF195" s="415">
        <v>0</v>
      </c>
      <c r="DG195" s="415">
        <v>0</v>
      </c>
      <c r="DH195" s="415">
        <v>0</v>
      </c>
      <c r="DI195" s="410">
        <f t="shared" si="73"/>
        <v>80</v>
      </c>
      <c r="DJ195" s="415">
        <v>0</v>
      </c>
      <c r="DK195" s="415">
        <v>0</v>
      </c>
      <c r="DL195" s="415">
        <v>0</v>
      </c>
      <c r="DM195" s="415">
        <v>0</v>
      </c>
      <c r="DN195" s="415">
        <v>0</v>
      </c>
      <c r="DO195" s="415">
        <v>0</v>
      </c>
      <c r="DP195" s="415">
        <v>0</v>
      </c>
      <c r="DQ195" s="415">
        <v>0</v>
      </c>
      <c r="DR195" s="415">
        <v>0</v>
      </c>
      <c r="DS195" s="415">
        <v>0</v>
      </c>
      <c r="DT195" s="415">
        <v>0</v>
      </c>
      <c r="DU195" s="415">
        <v>0</v>
      </c>
      <c r="DV195" s="410">
        <f t="shared" si="74"/>
        <v>0</v>
      </c>
      <c r="DW195" s="415">
        <v>0</v>
      </c>
      <c r="DX195" s="415">
        <v>0</v>
      </c>
      <c r="DY195" s="415">
        <v>0</v>
      </c>
      <c r="DZ195" s="415">
        <v>0</v>
      </c>
      <c r="EA195" s="415">
        <v>0</v>
      </c>
      <c r="EB195" s="415">
        <v>40</v>
      </c>
      <c r="EC195" s="415">
        <v>0</v>
      </c>
      <c r="ED195" s="415">
        <v>0</v>
      </c>
      <c r="EE195" s="415">
        <v>0</v>
      </c>
      <c r="EF195" s="415">
        <v>0</v>
      </c>
      <c r="EG195" s="415">
        <v>0</v>
      </c>
      <c r="EH195" s="415">
        <v>0</v>
      </c>
      <c r="EI195" s="410">
        <f t="shared" si="75"/>
        <v>40</v>
      </c>
      <c r="EJ195" s="415">
        <v>0</v>
      </c>
      <c r="EK195" s="415">
        <v>0</v>
      </c>
      <c r="EL195" s="415">
        <v>0</v>
      </c>
      <c r="EM195" s="415">
        <v>0</v>
      </c>
      <c r="EN195" s="415">
        <v>0</v>
      </c>
      <c r="EO195" s="415">
        <v>0</v>
      </c>
      <c r="EP195" s="415">
        <v>0</v>
      </c>
      <c r="EQ195" s="415">
        <v>0</v>
      </c>
      <c r="ER195" s="415">
        <v>0</v>
      </c>
      <c r="ES195" s="415">
        <v>0</v>
      </c>
      <c r="ET195" s="415">
        <v>0</v>
      </c>
      <c r="EU195" s="415">
        <v>0</v>
      </c>
      <c r="EV195" s="410">
        <f t="shared" si="76"/>
        <v>0</v>
      </c>
      <c r="EW195" s="416">
        <f t="shared" si="77"/>
        <v>120</v>
      </c>
      <c r="EX195" s="417">
        <f>IFERROR(VLOOKUP(H195,CEI_012018!$A$1:$U$509,9,FALSE),0)</f>
        <v>0</v>
      </c>
      <c r="EY195" s="417">
        <f>IFERROR(VLOOKUP(H195,CEI_022018!$A$1:$U$509,9,FALSE),0)</f>
        <v>0</v>
      </c>
      <c r="EZ195" s="417">
        <f>IFERROR(VLOOKUP(H195,CEI_032018!$A$1:$U$509,9,FALSE),0)</f>
        <v>0</v>
      </c>
      <c r="FA195" s="417">
        <f>IFERROR(VLOOKUP(H195,CEI_042018!$A$1:$U$491,9,FALSE),0)</f>
        <v>0</v>
      </c>
      <c r="FB195" s="417">
        <f>IFERROR(VLOOKUP(H195,CEI_052018!$A$1:$U$489,9,FALSE),0)</f>
        <v>0</v>
      </c>
      <c r="FC195" s="417">
        <f>IFERROR(VLOOKUP(H195,CEI_062018!$A$1:$U$489,9,FALSE),0)</f>
        <v>0</v>
      </c>
      <c r="FD195" s="417">
        <f>IFERROR(VLOOKUP(H195,CEI_072018!$A$1:$U$489,9,FALSE),0)</f>
        <v>0</v>
      </c>
      <c r="FE195" s="417">
        <f>IFERROR(VLOOKUP(H195,CEI_082018!$A$1:$U$489,9,FALSE),0)</f>
        <v>0</v>
      </c>
      <c r="FF195" s="417">
        <f>IFERROR(VLOOKUP(H195,CEI_092018!$A$1:$U$489,9,FALSE),0)</f>
        <v>0</v>
      </c>
      <c r="FG195" s="417"/>
      <c r="FH195" s="417"/>
      <c r="FI195" s="417"/>
      <c r="FJ195" s="418">
        <f>IFERROR(VLOOKUP(H195,CEI_092018!$A$1:$U$489,12,FALSE),0)</f>
        <v>0</v>
      </c>
      <c r="FK195" s="418">
        <f t="shared" si="70"/>
        <v>0</v>
      </c>
      <c r="FL195" s="418">
        <f t="shared" si="71"/>
        <v>0</v>
      </c>
      <c r="FM195" s="417"/>
      <c r="FN195" s="417"/>
      <c r="FO195" s="417"/>
      <c r="FP195" s="417"/>
      <c r="FQ195" s="417"/>
      <c r="FR195" s="417"/>
      <c r="FS195" s="417"/>
      <c r="FT195" s="417"/>
      <c r="FU195" s="417"/>
      <c r="FV195" s="417"/>
      <c r="FW195" s="417"/>
      <c r="FX195" s="417"/>
      <c r="FY195" s="418"/>
      <c r="FZ195" s="418"/>
      <c r="GA195" s="418"/>
      <c r="GB195" s="417"/>
      <c r="GC195" s="417"/>
      <c r="GD195" s="417"/>
      <c r="GE195" s="417"/>
      <c r="GF195" s="417"/>
      <c r="GG195" s="417"/>
      <c r="GH195" s="417"/>
      <c r="GI195" s="417"/>
      <c r="GJ195" s="417"/>
      <c r="GK195" s="417"/>
      <c r="GL195" s="417"/>
      <c r="GM195" s="417"/>
      <c r="GN195" s="418"/>
      <c r="GO195" s="418"/>
      <c r="GP195" s="418"/>
      <c r="GQ195" s="417"/>
      <c r="GR195" s="417"/>
      <c r="GS195" s="417"/>
      <c r="GT195" s="417"/>
      <c r="GU195" s="417"/>
      <c r="GV195" s="417"/>
      <c r="GW195" s="417"/>
      <c r="GX195" s="417"/>
      <c r="GY195" s="417"/>
      <c r="GZ195" s="417"/>
      <c r="HA195" s="417"/>
      <c r="HB195" s="417"/>
      <c r="HC195" s="418"/>
      <c r="HD195" s="418"/>
      <c r="HE195" s="418"/>
      <c r="HF195" s="417"/>
      <c r="HG195" s="417"/>
      <c r="HH195" s="417"/>
      <c r="HI195" s="417"/>
      <c r="HJ195" s="417"/>
      <c r="HK195" s="417"/>
      <c r="HL195" s="417"/>
      <c r="HM195" s="417"/>
      <c r="HN195" s="417"/>
      <c r="HO195" s="417"/>
      <c r="HP195" s="417"/>
      <c r="HQ195" s="417"/>
      <c r="HR195" s="418"/>
      <c r="HS195" s="418"/>
      <c r="HT195" s="418"/>
    </row>
    <row r="196" spans="1:228" s="387" customFormat="1" ht="12.75" customHeight="1" x14ac:dyDescent="0.2">
      <c r="A196" s="406" t="s">
        <v>55</v>
      </c>
      <c r="B196" s="407" t="s">
        <v>42</v>
      </c>
      <c r="C196" s="406" t="s">
        <v>1000</v>
      </c>
      <c r="D196" s="407" t="s">
        <v>1004</v>
      </c>
      <c r="E196" s="407" t="s">
        <v>1000</v>
      </c>
      <c r="F196" s="407" t="s">
        <v>1004</v>
      </c>
      <c r="G196" s="406" t="s">
        <v>54</v>
      </c>
      <c r="H196" s="408" t="s">
        <v>953</v>
      </c>
      <c r="I196" s="408" t="s">
        <v>1319</v>
      </c>
      <c r="J196" s="406" t="s">
        <v>954</v>
      </c>
      <c r="K196" s="406" t="s">
        <v>955</v>
      </c>
      <c r="L196" s="406" t="s">
        <v>956</v>
      </c>
      <c r="M196" s="406" t="s">
        <v>57</v>
      </c>
      <c r="N196" s="452">
        <v>379.95736694335937</v>
      </c>
      <c r="O196" s="452">
        <v>220.02035522460937</v>
      </c>
      <c r="P196" s="452">
        <v>0</v>
      </c>
      <c r="Q196" s="452">
        <v>0</v>
      </c>
      <c r="R196" s="452">
        <v>0</v>
      </c>
      <c r="S196" s="452">
        <v>0</v>
      </c>
      <c r="T196" s="452">
        <v>0</v>
      </c>
      <c r="U196" s="409">
        <v>0</v>
      </c>
      <c r="V196" s="409">
        <v>0</v>
      </c>
      <c r="W196" s="409">
        <v>0</v>
      </c>
      <c r="X196" s="409">
        <v>0</v>
      </c>
      <c r="Y196" s="409">
        <v>0</v>
      </c>
      <c r="Z196" s="453">
        <f t="shared" si="83"/>
        <v>599.97772216796875</v>
      </c>
      <c r="AA196" s="452">
        <v>0</v>
      </c>
      <c r="AB196" s="452">
        <v>0</v>
      </c>
      <c r="AC196" s="452">
        <v>0</v>
      </c>
      <c r="AD196" s="452">
        <v>0</v>
      </c>
      <c r="AE196" s="452">
        <v>0</v>
      </c>
      <c r="AF196" s="452">
        <v>0</v>
      </c>
      <c r="AG196" s="452">
        <v>0</v>
      </c>
      <c r="AH196" s="409">
        <v>0</v>
      </c>
      <c r="AI196" s="409">
        <v>0</v>
      </c>
      <c r="AJ196" s="409">
        <v>0</v>
      </c>
      <c r="AK196" s="409">
        <v>0</v>
      </c>
      <c r="AL196" s="409">
        <v>0</v>
      </c>
      <c r="AM196" s="453">
        <f t="shared" si="78"/>
        <v>0</v>
      </c>
      <c r="AN196" s="452">
        <v>0</v>
      </c>
      <c r="AO196" s="452">
        <v>0</v>
      </c>
      <c r="AP196" s="452">
        <v>0</v>
      </c>
      <c r="AQ196" s="452">
        <v>0</v>
      </c>
      <c r="AR196" s="452">
        <v>0</v>
      </c>
      <c r="AS196" s="452">
        <v>0</v>
      </c>
      <c r="AT196" s="452">
        <v>0</v>
      </c>
      <c r="AU196" s="409">
        <v>0</v>
      </c>
      <c r="AV196" s="409">
        <v>0</v>
      </c>
      <c r="AW196" s="409">
        <v>0</v>
      </c>
      <c r="AX196" s="409">
        <v>0</v>
      </c>
      <c r="AY196" s="409">
        <v>0</v>
      </c>
      <c r="AZ196" s="453">
        <f t="shared" si="79"/>
        <v>0</v>
      </c>
      <c r="BA196" s="452">
        <v>0</v>
      </c>
      <c r="BB196" s="452">
        <v>0</v>
      </c>
      <c r="BC196" s="452">
        <v>0</v>
      </c>
      <c r="BD196" s="452">
        <v>0</v>
      </c>
      <c r="BE196" s="452">
        <v>0</v>
      </c>
      <c r="BF196" s="452">
        <v>0</v>
      </c>
      <c r="BG196" s="452">
        <v>0</v>
      </c>
      <c r="BH196" s="409">
        <v>0</v>
      </c>
      <c r="BI196" s="409">
        <v>0</v>
      </c>
      <c r="BJ196" s="409">
        <v>0</v>
      </c>
      <c r="BK196" s="409">
        <v>0</v>
      </c>
      <c r="BL196" s="409">
        <v>0</v>
      </c>
      <c r="BM196" s="453">
        <f t="shared" si="80"/>
        <v>0</v>
      </c>
      <c r="BN196" s="452">
        <v>0</v>
      </c>
      <c r="BO196" s="452">
        <v>0</v>
      </c>
      <c r="BP196" s="452">
        <v>0</v>
      </c>
      <c r="BQ196" s="452">
        <v>0</v>
      </c>
      <c r="BR196" s="452">
        <v>0</v>
      </c>
      <c r="BS196" s="452">
        <v>0</v>
      </c>
      <c r="BT196" s="452">
        <v>0</v>
      </c>
      <c r="BU196" s="409">
        <v>0</v>
      </c>
      <c r="BV196" s="409">
        <v>0</v>
      </c>
      <c r="BW196" s="409">
        <v>0</v>
      </c>
      <c r="BX196" s="409">
        <v>0</v>
      </c>
      <c r="BY196" s="409">
        <v>0</v>
      </c>
      <c r="BZ196" s="453">
        <f t="shared" si="81"/>
        <v>0</v>
      </c>
      <c r="CA196" s="454">
        <f t="shared" si="82"/>
        <v>599.97772216796875</v>
      </c>
      <c r="CB196" s="419"/>
      <c r="CC196" s="419">
        <v>1</v>
      </c>
      <c r="CD196" s="419">
        <v>1</v>
      </c>
      <c r="CE196" s="419">
        <v>1</v>
      </c>
      <c r="CF196" s="419">
        <v>1</v>
      </c>
      <c r="CG196" s="420">
        <f>IFERROR((FE196/Z196%),0)</f>
        <v>100</v>
      </c>
      <c r="CH196" s="421">
        <f>IFERROR((FK196/Z196%),0)</f>
        <v>100</v>
      </c>
      <c r="CI196" s="414" t="s">
        <v>1621</v>
      </c>
      <c r="CJ196" s="415">
        <v>0</v>
      </c>
      <c r="CK196" s="415">
        <v>1</v>
      </c>
      <c r="CL196" s="415">
        <v>0</v>
      </c>
      <c r="CM196" s="415">
        <v>0</v>
      </c>
      <c r="CN196" s="415">
        <v>0</v>
      </c>
      <c r="CO196" s="415">
        <v>0</v>
      </c>
      <c r="CP196" s="415">
        <v>0</v>
      </c>
      <c r="CQ196" s="415">
        <v>0</v>
      </c>
      <c r="CR196" s="415">
        <v>0</v>
      </c>
      <c r="CS196" s="415">
        <v>0</v>
      </c>
      <c r="CT196" s="415">
        <v>0</v>
      </c>
      <c r="CU196" s="415">
        <v>0</v>
      </c>
      <c r="CV196" s="410">
        <f t="shared" si="72"/>
        <v>1</v>
      </c>
      <c r="CW196" s="415">
        <v>0</v>
      </c>
      <c r="CX196" s="415">
        <v>0</v>
      </c>
      <c r="CY196" s="415">
        <v>0</v>
      </c>
      <c r="CZ196" s="415">
        <v>0</v>
      </c>
      <c r="DA196" s="415">
        <v>0</v>
      </c>
      <c r="DB196" s="415">
        <v>0</v>
      </c>
      <c r="DC196" s="415">
        <v>0</v>
      </c>
      <c r="DD196" s="415">
        <v>0</v>
      </c>
      <c r="DE196" s="415">
        <v>0</v>
      </c>
      <c r="DF196" s="415">
        <v>0</v>
      </c>
      <c r="DG196" s="415">
        <v>0</v>
      </c>
      <c r="DH196" s="415">
        <v>0</v>
      </c>
      <c r="DI196" s="410">
        <f t="shared" si="73"/>
        <v>0</v>
      </c>
      <c r="DJ196" s="415">
        <v>0</v>
      </c>
      <c r="DK196" s="415">
        <v>0</v>
      </c>
      <c r="DL196" s="415">
        <v>0</v>
      </c>
      <c r="DM196" s="415">
        <v>0</v>
      </c>
      <c r="DN196" s="415">
        <v>0</v>
      </c>
      <c r="DO196" s="415">
        <v>0</v>
      </c>
      <c r="DP196" s="415">
        <v>0</v>
      </c>
      <c r="DQ196" s="415">
        <v>0</v>
      </c>
      <c r="DR196" s="415">
        <v>0</v>
      </c>
      <c r="DS196" s="415">
        <v>0</v>
      </c>
      <c r="DT196" s="415">
        <v>0</v>
      </c>
      <c r="DU196" s="415">
        <v>0</v>
      </c>
      <c r="DV196" s="410">
        <f t="shared" si="74"/>
        <v>0</v>
      </c>
      <c r="DW196" s="415">
        <v>0</v>
      </c>
      <c r="DX196" s="415">
        <v>0</v>
      </c>
      <c r="DY196" s="415">
        <v>0</v>
      </c>
      <c r="DZ196" s="415">
        <v>0</v>
      </c>
      <c r="EA196" s="415">
        <v>0</v>
      </c>
      <c r="EB196" s="415">
        <v>0</v>
      </c>
      <c r="EC196" s="415">
        <v>0</v>
      </c>
      <c r="ED196" s="415">
        <v>0</v>
      </c>
      <c r="EE196" s="415">
        <v>0</v>
      </c>
      <c r="EF196" s="415">
        <v>0</v>
      </c>
      <c r="EG196" s="415">
        <v>0</v>
      </c>
      <c r="EH196" s="415">
        <v>0</v>
      </c>
      <c r="EI196" s="410">
        <f t="shared" si="75"/>
        <v>0</v>
      </c>
      <c r="EJ196" s="415">
        <v>0</v>
      </c>
      <c r="EK196" s="415">
        <v>0</v>
      </c>
      <c r="EL196" s="415">
        <v>0</v>
      </c>
      <c r="EM196" s="415">
        <v>0</v>
      </c>
      <c r="EN196" s="415">
        <v>0</v>
      </c>
      <c r="EO196" s="415">
        <v>0</v>
      </c>
      <c r="EP196" s="415">
        <v>0</v>
      </c>
      <c r="EQ196" s="415">
        <v>0</v>
      </c>
      <c r="ER196" s="415">
        <v>0</v>
      </c>
      <c r="ES196" s="415">
        <v>0</v>
      </c>
      <c r="ET196" s="415">
        <v>0</v>
      </c>
      <c r="EU196" s="415">
        <v>0</v>
      </c>
      <c r="EV196" s="410">
        <f t="shared" si="76"/>
        <v>0</v>
      </c>
      <c r="EW196" s="416">
        <f t="shared" si="77"/>
        <v>1</v>
      </c>
      <c r="EX196" s="417">
        <f>IFERROR(VLOOKUP(H196,CEI_012018!$A$1:$U$509,9,FALSE),0)</f>
        <v>379.95736694335937</v>
      </c>
      <c r="EY196" s="417">
        <f>IFERROR(VLOOKUP(H196,CEI_022018!$A$1:$U$509,9,FALSE),0)</f>
        <v>599.97772216796875</v>
      </c>
      <c r="EZ196" s="417">
        <f>IFERROR(VLOOKUP(H196,CEI_032018!$A$1:$U$509,9,FALSE),0)</f>
        <v>599.97772216796875</v>
      </c>
      <c r="FA196" s="417">
        <f>IFERROR(VLOOKUP(H196,CEI_042018!$A$1:$U$491,9,FALSE),0)</f>
        <v>599.97772216796875</v>
      </c>
      <c r="FB196" s="417">
        <f>IFERROR(VLOOKUP(H196,CEI_052018!$A$1:$U$489,9,FALSE),0)</f>
        <v>599.97772216796875</v>
      </c>
      <c r="FC196" s="417">
        <f>IFERROR(VLOOKUP(H196,CEI_062018!$A$1:$U$489,9,FALSE),0)</f>
        <v>599.97772216796875</v>
      </c>
      <c r="FD196" s="417">
        <f>IFERROR(VLOOKUP(H196,CEI_072018!$A$1:$U$489,9,FALSE),0)</f>
        <v>599.97772216796875</v>
      </c>
      <c r="FE196" s="417">
        <f>IFERROR(VLOOKUP(H196,CEI_082018!$A$1:$U$489,9,FALSE),0)</f>
        <v>599.97772216796875</v>
      </c>
      <c r="FF196" s="417">
        <f>IFERROR(VLOOKUP(H196,CEI_092018!$A$1:$U$489,9,FALSE),0)</f>
        <v>599.97772216796875</v>
      </c>
      <c r="FG196" s="417"/>
      <c r="FH196" s="417"/>
      <c r="FI196" s="417"/>
      <c r="FJ196" s="418">
        <f>IFERROR(VLOOKUP(H196,CEI_092018!$A$1:$U$489,12,FALSE),0)</f>
        <v>0</v>
      </c>
      <c r="FK196" s="418">
        <f t="shared" si="70"/>
        <v>599.97772216796875</v>
      </c>
      <c r="FL196" s="418">
        <f t="shared" si="71"/>
        <v>0</v>
      </c>
      <c r="FM196" s="417"/>
      <c r="FN196" s="417"/>
      <c r="FO196" s="417"/>
      <c r="FP196" s="417"/>
      <c r="FQ196" s="417"/>
      <c r="FR196" s="417"/>
      <c r="FS196" s="417"/>
      <c r="FT196" s="417"/>
      <c r="FU196" s="417"/>
      <c r="FV196" s="417"/>
      <c r="FW196" s="417"/>
      <c r="FX196" s="417"/>
      <c r="FY196" s="418"/>
      <c r="FZ196" s="418"/>
      <c r="GA196" s="418"/>
      <c r="GB196" s="417"/>
      <c r="GC196" s="417"/>
      <c r="GD196" s="417"/>
      <c r="GE196" s="417"/>
      <c r="GF196" s="417"/>
      <c r="GG196" s="417"/>
      <c r="GH196" s="417"/>
      <c r="GI196" s="417"/>
      <c r="GJ196" s="417"/>
      <c r="GK196" s="417"/>
      <c r="GL196" s="417"/>
      <c r="GM196" s="417"/>
      <c r="GN196" s="418"/>
      <c r="GO196" s="418"/>
      <c r="GP196" s="418"/>
      <c r="GQ196" s="417"/>
      <c r="GR196" s="417"/>
      <c r="GS196" s="417"/>
      <c r="GT196" s="417"/>
      <c r="GU196" s="417"/>
      <c r="GV196" s="417"/>
      <c r="GW196" s="417"/>
      <c r="GX196" s="417"/>
      <c r="GY196" s="417"/>
      <c r="GZ196" s="417"/>
      <c r="HA196" s="417"/>
      <c r="HB196" s="417"/>
      <c r="HC196" s="418"/>
      <c r="HD196" s="418"/>
      <c r="HE196" s="418"/>
      <c r="HF196" s="417"/>
      <c r="HG196" s="417"/>
      <c r="HH196" s="417"/>
      <c r="HI196" s="417"/>
      <c r="HJ196" s="417"/>
      <c r="HK196" s="417"/>
      <c r="HL196" s="417"/>
      <c r="HM196" s="417"/>
      <c r="HN196" s="417"/>
      <c r="HO196" s="417"/>
      <c r="HP196" s="417"/>
      <c r="HQ196" s="417"/>
      <c r="HR196" s="418"/>
      <c r="HS196" s="418"/>
      <c r="HT196" s="418"/>
    </row>
    <row r="197" spans="1:228" s="387" customFormat="1" ht="12.75" customHeight="1" x14ac:dyDescent="0.2">
      <c r="A197" s="406" t="s">
        <v>55</v>
      </c>
      <c r="B197" s="407" t="s">
        <v>42</v>
      </c>
      <c r="C197" s="406" t="s">
        <v>1000</v>
      </c>
      <c r="D197" s="407" t="s">
        <v>1004</v>
      </c>
      <c r="E197" s="407" t="s">
        <v>1000</v>
      </c>
      <c r="F197" s="407" t="s">
        <v>1004</v>
      </c>
      <c r="G197" s="406" t="s">
        <v>54</v>
      </c>
      <c r="H197" s="408" t="s">
        <v>520</v>
      </c>
      <c r="I197" s="408" t="s">
        <v>57</v>
      </c>
      <c r="J197" s="406" t="s">
        <v>352</v>
      </c>
      <c r="K197" s="406" t="s">
        <v>353</v>
      </c>
      <c r="L197" s="406" t="s">
        <v>705</v>
      </c>
      <c r="M197" s="406" t="s">
        <v>1770</v>
      </c>
      <c r="N197" s="452">
        <v>0</v>
      </c>
      <c r="O197" s="452">
        <v>0</v>
      </c>
      <c r="P197" s="452">
        <v>0</v>
      </c>
      <c r="Q197" s="452">
        <v>0</v>
      </c>
      <c r="R197" s="452">
        <v>0</v>
      </c>
      <c r="S197" s="452">
        <v>0</v>
      </c>
      <c r="T197" s="452">
        <v>0</v>
      </c>
      <c r="U197" s="409">
        <v>0</v>
      </c>
      <c r="V197" s="409">
        <v>0</v>
      </c>
      <c r="W197" s="409">
        <v>0</v>
      </c>
      <c r="X197" s="409">
        <v>0</v>
      </c>
      <c r="Y197" s="409">
        <v>0</v>
      </c>
      <c r="Z197" s="453">
        <f t="shared" si="83"/>
        <v>0</v>
      </c>
      <c r="AA197" s="452">
        <v>0</v>
      </c>
      <c r="AB197" s="452">
        <v>0</v>
      </c>
      <c r="AC197" s="452">
        <v>0</v>
      </c>
      <c r="AD197" s="452">
        <v>0</v>
      </c>
      <c r="AE197" s="452">
        <v>0</v>
      </c>
      <c r="AF197" s="452">
        <v>214</v>
      </c>
      <c r="AG197" s="452">
        <v>0</v>
      </c>
      <c r="AH197" s="409">
        <v>0</v>
      </c>
      <c r="AI197" s="409">
        <v>0</v>
      </c>
      <c r="AJ197" s="409">
        <v>0</v>
      </c>
      <c r="AK197" s="409">
        <v>0</v>
      </c>
      <c r="AL197" s="409">
        <v>0</v>
      </c>
      <c r="AM197" s="453">
        <f t="shared" si="78"/>
        <v>214</v>
      </c>
      <c r="AN197" s="452">
        <v>0</v>
      </c>
      <c r="AO197" s="452">
        <v>0</v>
      </c>
      <c r="AP197" s="452">
        <v>0</v>
      </c>
      <c r="AQ197" s="452">
        <v>0</v>
      </c>
      <c r="AR197" s="452">
        <v>0</v>
      </c>
      <c r="AS197" s="452">
        <v>0</v>
      </c>
      <c r="AT197" s="452">
        <v>0</v>
      </c>
      <c r="AU197" s="409">
        <v>0</v>
      </c>
      <c r="AV197" s="409">
        <v>0</v>
      </c>
      <c r="AW197" s="409">
        <v>0</v>
      </c>
      <c r="AX197" s="409">
        <v>0</v>
      </c>
      <c r="AY197" s="409">
        <v>0</v>
      </c>
      <c r="AZ197" s="453">
        <f t="shared" si="79"/>
        <v>0</v>
      </c>
      <c r="BA197" s="452">
        <v>0</v>
      </c>
      <c r="BB197" s="452">
        <v>0</v>
      </c>
      <c r="BC197" s="452">
        <v>0</v>
      </c>
      <c r="BD197" s="452">
        <v>0</v>
      </c>
      <c r="BE197" s="452">
        <v>0</v>
      </c>
      <c r="BF197" s="452">
        <v>0</v>
      </c>
      <c r="BG197" s="452">
        <v>0</v>
      </c>
      <c r="BH197" s="409">
        <v>0</v>
      </c>
      <c r="BI197" s="409">
        <v>0</v>
      </c>
      <c r="BJ197" s="409">
        <v>0</v>
      </c>
      <c r="BK197" s="409">
        <v>0</v>
      </c>
      <c r="BL197" s="409">
        <v>0</v>
      </c>
      <c r="BM197" s="453">
        <f t="shared" si="80"/>
        <v>0</v>
      </c>
      <c r="BN197" s="452">
        <v>0</v>
      </c>
      <c r="BO197" s="452">
        <v>0</v>
      </c>
      <c r="BP197" s="452">
        <v>0</v>
      </c>
      <c r="BQ197" s="452">
        <v>0</v>
      </c>
      <c r="BR197" s="452">
        <v>0</v>
      </c>
      <c r="BS197" s="452">
        <v>0</v>
      </c>
      <c r="BT197" s="452">
        <v>0</v>
      </c>
      <c r="BU197" s="409">
        <v>0</v>
      </c>
      <c r="BV197" s="409">
        <v>0</v>
      </c>
      <c r="BW197" s="409">
        <v>0</v>
      </c>
      <c r="BX197" s="409">
        <v>300</v>
      </c>
      <c r="BY197" s="409">
        <v>0</v>
      </c>
      <c r="BZ197" s="453">
        <f t="shared" si="81"/>
        <v>300</v>
      </c>
      <c r="CA197" s="454">
        <f t="shared" si="82"/>
        <v>514</v>
      </c>
      <c r="CB197" s="411"/>
      <c r="CC197" s="411"/>
      <c r="CD197" s="411"/>
      <c r="CE197" s="411"/>
      <c r="CF197" s="411"/>
      <c r="CG197" s="412"/>
      <c r="CH197" s="413"/>
      <c r="CI197" s="414" t="s">
        <v>1623</v>
      </c>
      <c r="CJ197" s="415">
        <v>0</v>
      </c>
      <c r="CK197" s="415">
        <v>0</v>
      </c>
      <c r="CL197" s="415">
        <v>0</v>
      </c>
      <c r="CM197" s="415">
        <v>0</v>
      </c>
      <c r="CN197" s="415">
        <v>0</v>
      </c>
      <c r="CO197" s="415">
        <v>0</v>
      </c>
      <c r="CP197" s="415">
        <v>0</v>
      </c>
      <c r="CQ197" s="415">
        <v>0</v>
      </c>
      <c r="CR197" s="415">
        <v>0</v>
      </c>
      <c r="CS197" s="415">
        <v>0</v>
      </c>
      <c r="CT197" s="415">
        <v>0</v>
      </c>
      <c r="CU197" s="415">
        <v>0</v>
      </c>
      <c r="CV197" s="410">
        <f t="shared" si="72"/>
        <v>0</v>
      </c>
      <c r="CW197" s="415">
        <v>0</v>
      </c>
      <c r="CX197" s="415">
        <v>0</v>
      </c>
      <c r="CY197" s="415">
        <v>0</v>
      </c>
      <c r="CZ197" s="415">
        <v>0</v>
      </c>
      <c r="DA197" s="415">
        <v>0</v>
      </c>
      <c r="DB197" s="415">
        <v>1</v>
      </c>
      <c r="DC197" s="415">
        <v>0</v>
      </c>
      <c r="DD197" s="415">
        <v>0</v>
      </c>
      <c r="DE197" s="415">
        <v>0</v>
      </c>
      <c r="DF197" s="415">
        <v>0</v>
      </c>
      <c r="DG197" s="415">
        <v>0</v>
      </c>
      <c r="DH197" s="415">
        <v>0</v>
      </c>
      <c r="DI197" s="410">
        <f t="shared" si="73"/>
        <v>1</v>
      </c>
      <c r="DJ197" s="415">
        <v>0</v>
      </c>
      <c r="DK197" s="415">
        <v>0</v>
      </c>
      <c r="DL197" s="415">
        <v>0</v>
      </c>
      <c r="DM197" s="415">
        <v>0</v>
      </c>
      <c r="DN197" s="415">
        <v>0</v>
      </c>
      <c r="DO197" s="415">
        <v>1</v>
      </c>
      <c r="DP197" s="415">
        <v>0</v>
      </c>
      <c r="DQ197" s="415">
        <v>0</v>
      </c>
      <c r="DR197" s="415">
        <v>0</v>
      </c>
      <c r="DS197" s="415">
        <v>0</v>
      </c>
      <c r="DT197" s="415">
        <v>0</v>
      </c>
      <c r="DU197" s="415">
        <v>0</v>
      </c>
      <c r="DV197" s="410">
        <f t="shared" si="74"/>
        <v>1</v>
      </c>
      <c r="DW197" s="415">
        <v>0</v>
      </c>
      <c r="DX197" s="415">
        <v>0</v>
      </c>
      <c r="DY197" s="415">
        <v>0</v>
      </c>
      <c r="DZ197" s="415">
        <v>0</v>
      </c>
      <c r="EA197" s="415">
        <v>0</v>
      </c>
      <c r="EB197" s="415">
        <v>0</v>
      </c>
      <c r="EC197" s="415">
        <v>0</v>
      </c>
      <c r="ED197" s="415">
        <v>0</v>
      </c>
      <c r="EE197" s="415">
        <v>0</v>
      </c>
      <c r="EF197" s="415">
        <v>0</v>
      </c>
      <c r="EG197" s="415">
        <v>0</v>
      </c>
      <c r="EH197" s="415">
        <v>0</v>
      </c>
      <c r="EI197" s="410">
        <f t="shared" si="75"/>
        <v>0</v>
      </c>
      <c r="EJ197" s="415">
        <v>0</v>
      </c>
      <c r="EK197" s="415">
        <v>0</v>
      </c>
      <c r="EL197" s="415">
        <v>0</v>
      </c>
      <c r="EM197" s="415">
        <v>0</v>
      </c>
      <c r="EN197" s="415">
        <v>0</v>
      </c>
      <c r="EO197" s="415">
        <v>0</v>
      </c>
      <c r="EP197" s="415">
        <v>0</v>
      </c>
      <c r="EQ197" s="415">
        <v>0</v>
      </c>
      <c r="ER197" s="415">
        <v>0</v>
      </c>
      <c r="ES197" s="415">
        <v>0</v>
      </c>
      <c r="ET197" s="415">
        <v>1</v>
      </c>
      <c r="EU197" s="415">
        <v>0</v>
      </c>
      <c r="EV197" s="410">
        <f t="shared" si="76"/>
        <v>1</v>
      </c>
      <c r="EW197" s="416">
        <f t="shared" si="77"/>
        <v>3</v>
      </c>
      <c r="EX197" s="417">
        <f>IFERROR(VLOOKUP(H197,CEI_012018!$A$1:$U$509,9,FALSE),0)</f>
        <v>0</v>
      </c>
      <c r="EY197" s="417">
        <f>IFERROR(VLOOKUP(H197,CEI_022018!$A$1:$U$509,9,FALSE),0)</f>
        <v>0</v>
      </c>
      <c r="EZ197" s="417">
        <f>IFERROR(VLOOKUP(H197,CEI_032018!$A$1:$U$509,9,FALSE),0)</f>
        <v>0</v>
      </c>
      <c r="FA197" s="417">
        <f>IFERROR(VLOOKUP(H197,CEI_042018!$A$1:$U$491,9,FALSE),0)</f>
        <v>0</v>
      </c>
      <c r="FB197" s="417">
        <f>IFERROR(VLOOKUP(H197,CEI_052018!$A$1:$U$489,9,FALSE),0)</f>
        <v>0</v>
      </c>
      <c r="FC197" s="417">
        <f>IFERROR(VLOOKUP(H197,CEI_062018!$A$1:$U$489,9,FALSE),0)</f>
        <v>0</v>
      </c>
      <c r="FD197" s="417">
        <f>IFERROR(VLOOKUP(H197,CEI_072018!$A$1:$U$489,9,FALSE),0)</f>
        <v>0</v>
      </c>
      <c r="FE197" s="417">
        <f>IFERROR(VLOOKUP(H197,CEI_082018!$A$1:$U$489,9,FALSE),0)</f>
        <v>0</v>
      </c>
      <c r="FF197" s="417">
        <f>IFERROR(VLOOKUP(H197,CEI_092018!$A$1:$U$489,9,FALSE),0)</f>
        <v>0</v>
      </c>
      <c r="FG197" s="417"/>
      <c r="FH197" s="417"/>
      <c r="FI197" s="417"/>
      <c r="FJ197" s="418">
        <f>IFERROR(VLOOKUP(H197,CEI_092018!$A$1:$U$489,12,FALSE),0)</f>
        <v>0</v>
      </c>
      <c r="FK197" s="418">
        <f t="shared" si="70"/>
        <v>0</v>
      </c>
      <c r="FL197" s="418">
        <f t="shared" si="71"/>
        <v>0</v>
      </c>
      <c r="FM197" s="417"/>
      <c r="FN197" s="417"/>
      <c r="FO197" s="417"/>
      <c r="FP197" s="417"/>
      <c r="FQ197" s="417"/>
      <c r="FR197" s="417"/>
      <c r="FS197" s="417"/>
      <c r="FT197" s="417"/>
      <c r="FU197" s="417"/>
      <c r="FV197" s="417"/>
      <c r="FW197" s="417"/>
      <c r="FX197" s="417"/>
      <c r="FY197" s="418"/>
      <c r="FZ197" s="418"/>
      <c r="GA197" s="418"/>
      <c r="GB197" s="417"/>
      <c r="GC197" s="417"/>
      <c r="GD197" s="417"/>
      <c r="GE197" s="417"/>
      <c r="GF197" s="417"/>
      <c r="GG197" s="417"/>
      <c r="GH197" s="417"/>
      <c r="GI197" s="417"/>
      <c r="GJ197" s="417"/>
      <c r="GK197" s="417"/>
      <c r="GL197" s="417"/>
      <c r="GM197" s="417"/>
      <c r="GN197" s="418"/>
      <c r="GO197" s="418"/>
      <c r="GP197" s="418"/>
      <c r="GQ197" s="417"/>
      <c r="GR197" s="417"/>
      <c r="GS197" s="417"/>
      <c r="GT197" s="417"/>
      <c r="GU197" s="417"/>
      <c r="GV197" s="417"/>
      <c r="GW197" s="417"/>
      <c r="GX197" s="417"/>
      <c r="GY197" s="417"/>
      <c r="GZ197" s="417"/>
      <c r="HA197" s="417"/>
      <c r="HB197" s="417"/>
      <c r="HC197" s="418"/>
      <c r="HD197" s="418"/>
      <c r="HE197" s="418"/>
      <c r="HF197" s="417"/>
      <c r="HG197" s="417"/>
      <c r="HH197" s="417"/>
      <c r="HI197" s="417"/>
      <c r="HJ197" s="417"/>
      <c r="HK197" s="417"/>
      <c r="HL197" s="417"/>
      <c r="HM197" s="417"/>
      <c r="HN197" s="417"/>
      <c r="HO197" s="417"/>
      <c r="HP197" s="417"/>
      <c r="HQ197" s="417"/>
      <c r="HR197" s="418"/>
      <c r="HS197" s="418"/>
      <c r="HT197" s="418"/>
    </row>
    <row r="198" spans="1:228" s="387" customFormat="1" ht="12.75" customHeight="1" x14ac:dyDescent="0.2">
      <c r="A198" s="406" t="s">
        <v>55</v>
      </c>
      <c r="B198" s="407" t="s">
        <v>42</v>
      </c>
      <c r="C198" s="406" t="s">
        <v>1000</v>
      </c>
      <c r="D198" s="407" t="s">
        <v>1004</v>
      </c>
      <c r="E198" s="407" t="s">
        <v>1000</v>
      </c>
      <c r="F198" s="407" t="s">
        <v>1004</v>
      </c>
      <c r="G198" s="406" t="s">
        <v>54</v>
      </c>
      <c r="H198" s="408" t="s">
        <v>520</v>
      </c>
      <c r="I198" s="408" t="s">
        <v>57</v>
      </c>
      <c r="J198" s="406" t="s">
        <v>385</v>
      </c>
      <c r="K198" s="406" t="s">
        <v>728</v>
      </c>
      <c r="L198" s="406" t="s">
        <v>729</v>
      </c>
      <c r="M198" s="406" t="s">
        <v>1778</v>
      </c>
      <c r="N198" s="452">
        <v>0</v>
      </c>
      <c r="O198" s="452">
        <v>0</v>
      </c>
      <c r="P198" s="452">
        <v>0</v>
      </c>
      <c r="Q198" s="452">
        <v>0</v>
      </c>
      <c r="R198" s="452">
        <v>0</v>
      </c>
      <c r="S198" s="452">
        <v>0</v>
      </c>
      <c r="T198" s="452">
        <v>0</v>
      </c>
      <c r="U198" s="409">
        <v>0</v>
      </c>
      <c r="V198" s="409">
        <v>0</v>
      </c>
      <c r="W198" s="409">
        <v>0</v>
      </c>
      <c r="X198" s="409">
        <v>0</v>
      </c>
      <c r="Y198" s="409">
        <v>0</v>
      </c>
      <c r="Z198" s="453">
        <f t="shared" si="83"/>
        <v>0</v>
      </c>
      <c r="AA198" s="452">
        <v>0</v>
      </c>
      <c r="AB198" s="452">
        <v>0</v>
      </c>
      <c r="AC198" s="452">
        <v>0</v>
      </c>
      <c r="AD198" s="452">
        <v>0</v>
      </c>
      <c r="AE198" s="452">
        <v>0</v>
      </c>
      <c r="AF198" s="452">
        <v>0</v>
      </c>
      <c r="AG198" s="452">
        <v>0</v>
      </c>
      <c r="AH198" s="409">
        <v>0</v>
      </c>
      <c r="AI198" s="409">
        <v>0</v>
      </c>
      <c r="AJ198" s="409">
        <v>0</v>
      </c>
      <c r="AK198" s="409">
        <v>0</v>
      </c>
      <c r="AL198" s="409">
        <v>0</v>
      </c>
      <c r="AM198" s="453">
        <f t="shared" si="78"/>
        <v>0</v>
      </c>
      <c r="AN198" s="452">
        <v>0</v>
      </c>
      <c r="AO198" s="452">
        <v>0</v>
      </c>
      <c r="AP198" s="452">
        <v>0</v>
      </c>
      <c r="AQ198" s="452">
        <v>0</v>
      </c>
      <c r="AR198" s="452">
        <v>0</v>
      </c>
      <c r="AS198" s="452">
        <v>0</v>
      </c>
      <c r="AT198" s="452">
        <v>200</v>
      </c>
      <c r="AU198" s="409">
        <v>0</v>
      </c>
      <c r="AV198" s="409">
        <v>0</v>
      </c>
      <c r="AW198" s="409">
        <v>0</v>
      </c>
      <c r="AX198" s="409">
        <v>0</v>
      </c>
      <c r="AY198" s="409">
        <v>0</v>
      </c>
      <c r="AZ198" s="453">
        <f t="shared" si="79"/>
        <v>200</v>
      </c>
      <c r="BA198" s="452">
        <v>0</v>
      </c>
      <c r="BB198" s="452">
        <v>0</v>
      </c>
      <c r="BC198" s="452">
        <v>0</v>
      </c>
      <c r="BD198" s="452">
        <v>0</v>
      </c>
      <c r="BE198" s="452">
        <v>0</v>
      </c>
      <c r="BF198" s="452">
        <v>0</v>
      </c>
      <c r="BG198" s="452">
        <v>200</v>
      </c>
      <c r="BH198" s="409">
        <v>0</v>
      </c>
      <c r="BI198" s="409">
        <v>0</v>
      </c>
      <c r="BJ198" s="409">
        <v>0</v>
      </c>
      <c r="BK198" s="409">
        <v>0</v>
      </c>
      <c r="BL198" s="409">
        <v>0</v>
      </c>
      <c r="BM198" s="453">
        <f t="shared" si="80"/>
        <v>200</v>
      </c>
      <c r="BN198" s="452">
        <v>0</v>
      </c>
      <c r="BO198" s="452">
        <v>0</v>
      </c>
      <c r="BP198" s="452">
        <v>0</v>
      </c>
      <c r="BQ198" s="452">
        <v>0</v>
      </c>
      <c r="BR198" s="452">
        <v>0</v>
      </c>
      <c r="BS198" s="452">
        <v>0</v>
      </c>
      <c r="BT198" s="452">
        <v>0</v>
      </c>
      <c r="BU198" s="409">
        <v>0</v>
      </c>
      <c r="BV198" s="409">
        <v>0</v>
      </c>
      <c r="BW198" s="409">
        <v>0</v>
      </c>
      <c r="BX198" s="409">
        <v>0</v>
      </c>
      <c r="BY198" s="409">
        <v>0</v>
      </c>
      <c r="BZ198" s="453">
        <f t="shared" si="81"/>
        <v>0</v>
      </c>
      <c r="CA198" s="454">
        <f t="shared" si="82"/>
        <v>400</v>
      </c>
      <c r="CB198" s="411"/>
      <c r="CC198" s="411"/>
      <c r="CD198" s="411"/>
      <c r="CE198" s="411"/>
      <c r="CF198" s="411"/>
      <c r="CG198" s="412"/>
      <c r="CH198" s="413"/>
      <c r="CI198" s="414" t="s">
        <v>1624</v>
      </c>
      <c r="CJ198" s="415">
        <v>0</v>
      </c>
      <c r="CK198" s="415">
        <v>0</v>
      </c>
      <c r="CL198" s="415">
        <v>0</v>
      </c>
      <c r="CM198" s="415">
        <v>0</v>
      </c>
      <c r="CN198" s="415">
        <v>0</v>
      </c>
      <c r="CO198" s="415">
        <v>0</v>
      </c>
      <c r="CP198" s="415">
        <v>0</v>
      </c>
      <c r="CQ198" s="415">
        <v>0</v>
      </c>
      <c r="CR198" s="415">
        <v>0</v>
      </c>
      <c r="CS198" s="415">
        <v>0</v>
      </c>
      <c r="CT198" s="415">
        <v>0</v>
      </c>
      <c r="CU198" s="415">
        <v>0</v>
      </c>
      <c r="CV198" s="410">
        <f t="shared" si="72"/>
        <v>0</v>
      </c>
      <c r="CW198" s="415">
        <v>0</v>
      </c>
      <c r="CX198" s="415">
        <v>0</v>
      </c>
      <c r="CY198" s="415">
        <v>0</v>
      </c>
      <c r="CZ198" s="415">
        <v>0</v>
      </c>
      <c r="DA198" s="415">
        <v>0</v>
      </c>
      <c r="DB198" s="415">
        <v>0</v>
      </c>
      <c r="DC198" s="415">
        <v>0</v>
      </c>
      <c r="DD198" s="415">
        <v>0</v>
      </c>
      <c r="DE198" s="415">
        <v>0</v>
      </c>
      <c r="DF198" s="415">
        <v>0</v>
      </c>
      <c r="DG198" s="415">
        <v>0</v>
      </c>
      <c r="DH198" s="415">
        <v>0</v>
      </c>
      <c r="DI198" s="410">
        <f t="shared" si="73"/>
        <v>0</v>
      </c>
      <c r="DJ198" s="415">
        <v>0</v>
      </c>
      <c r="DK198" s="415">
        <v>0</v>
      </c>
      <c r="DL198" s="415">
        <v>0</v>
      </c>
      <c r="DM198" s="415">
        <v>0</v>
      </c>
      <c r="DN198" s="415">
        <v>0</v>
      </c>
      <c r="DO198" s="415">
        <v>0</v>
      </c>
      <c r="DP198" s="415">
        <v>10</v>
      </c>
      <c r="DQ198" s="415">
        <v>0</v>
      </c>
      <c r="DR198" s="415">
        <v>0</v>
      </c>
      <c r="DS198" s="415">
        <v>0</v>
      </c>
      <c r="DT198" s="415">
        <v>0</v>
      </c>
      <c r="DU198" s="415">
        <v>0</v>
      </c>
      <c r="DV198" s="410">
        <f t="shared" si="74"/>
        <v>10</v>
      </c>
      <c r="DW198" s="415">
        <v>0</v>
      </c>
      <c r="DX198" s="415">
        <v>0</v>
      </c>
      <c r="DY198" s="415">
        <v>0</v>
      </c>
      <c r="DZ198" s="415">
        <v>0</v>
      </c>
      <c r="EA198" s="415">
        <v>0</v>
      </c>
      <c r="EB198" s="415">
        <v>0</v>
      </c>
      <c r="EC198" s="415">
        <v>10</v>
      </c>
      <c r="ED198" s="415">
        <v>0</v>
      </c>
      <c r="EE198" s="415">
        <v>0</v>
      </c>
      <c r="EF198" s="415">
        <v>0</v>
      </c>
      <c r="EG198" s="415">
        <v>0</v>
      </c>
      <c r="EH198" s="415">
        <v>0</v>
      </c>
      <c r="EI198" s="410">
        <f t="shared" si="75"/>
        <v>10</v>
      </c>
      <c r="EJ198" s="415">
        <v>0</v>
      </c>
      <c r="EK198" s="415">
        <v>0</v>
      </c>
      <c r="EL198" s="415">
        <v>0</v>
      </c>
      <c r="EM198" s="415">
        <v>0</v>
      </c>
      <c r="EN198" s="415">
        <v>0</v>
      </c>
      <c r="EO198" s="415">
        <v>0</v>
      </c>
      <c r="EP198" s="415">
        <v>0</v>
      </c>
      <c r="EQ198" s="415">
        <v>0</v>
      </c>
      <c r="ER198" s="415">
        <v>0</v>
      </c>
      <c r="ES198" s="415">
        <v>0</v>
      </c>
      <c r="ET198" s="415">
        <v>0</v>
      </c>
      <c r="EU198" s="415">
        <v>0</v>
      </c>
      <c r="EV198" s="410">
        <f t="shared" si="76"/>
        <v>0</v>
      </c>
      <c r="EW198" s="416">
        <f t="shared" si="77"/>
        <v>20</v>
      </c>
      <c r="EX198" s="417">
        <f>IFERROR(VLOOKUP(H198,CEI_012018!$A$1:$U$509,9,FALSE),0)</f>
        <v>0</v>
      </c>
      <c r="EY198" s="417">
        <f>IFERROR(VLOOKUP(H198,CEI_022018!$A$1:$U$509,9,FALSE),0)</f>
        <v>0</v>
      </c>
      <c r="EZ198" s="417">
        <f>IFERROR(VLOOKUP(H198,CEI_032018!$A$1:$U$509,9,FALSE),0)</f>
        <v>0</v>
      </c>
      <c r="FA198" s="417">
        <f>IFERROR(VLOOKUP(H198,CEI_042018!$A$1:$U$491,9,FALSE),0)</f>
        <v>0</v>
      </c>
      <c r="FB198" s="417">
        <f>IFERROR(VLOOKUP(H198,CEI_052018!$A$1:$U$489,9,FALSE),0)</f>
        <v>0</v>
      </c>
      <c r="FC198" s="417">
        <f>IFERROR(VLOOKUP(H198,CEI_062018!$A$1:$U$489,9,FALSE),0)</f>
        <v>0</v>
      </c>
      <c r="FD198" s="417">
        <f>IFERROR(VLOOKUP(H198,CEI_072018!$A$1:$U$489,9,FALSE),0)</f>
        <v>0</v>
      </c>
      <c r="FE198" s="417">
        <f>IFERROR(VLOOKUP(H198,CEI_082018!$A$1:$U$489,9,FALSE),0)</f>
        <v>0</v>
      </c>
      <c r="FF198" s="417">
        <f>IFERROR(VLOOKUP(H198,CEI_092018!$A$1:$U$489,9,FALSE),0)</f>
        <v>0</v>
      </c>
      <c r="FG198" s="417"/>
      <c r="FH198" s="417"/>
      <c r="FI198" s="417"/>
      <c r="FJ198" s="418">
        <f>IFERROR(VLOOKUP(H198,CEI_092018!$A$1:$U$489,12,FALSE),0)</f>
        <v>0</v>
      </c>
      <c r="FK198" s="418">
        <f t="shared" si="70"/>
        <v>0</v>
      </c>
      <c r="FL198" s="418">
        <f t="shared" si="71"/>
        <v>0</v>
      </c>
      <c r="FM198" s="417"/>
      <c r="FN198" s="417"/>
      <c r="FO198" s="417"/>
      <c r="FP198" s="417"/>
      <c r="FQ198" s="417"/>
      <c r="FR198" s="417"/>
      <c r="FS198" s="417"/>
      <c r="FT198" s="417"/>
      <c r="FU198" s="417"/>
      <c r="FV198" s="417"/>
      <c r="FW198" s="417"/>
      <c r="FX198" s="417"/>
      <c r="FY198" s="418"/>
      <c r="FZ198" s="418"/>
      <c r="GA198" s="418"/>
      <c r="GB198" s="417"/>
      <c r="GC198" s="417"/>
      <c r="GD198" s="417"/>
      <c r="GE198" s="417"/>
      <c r="GF198" s="417"/>
      <c r="GG198" s="417"/>
      <c r="GH198" s="417"/>
      <c r="GI198" s="417"/>
      <c r="GJ198" s="417"/>
      <c r="GK198" s="417"/>
      <c r="GL198" s="417"/>
      <c r="GM198" s="417"/>
      <c r="GN198" s="418"/>
      <c r="GO198" s="418"/>
      <c r="GP198" s="418"/>
      <c r="GQ198" s="417"/>
      <c r="GR198" s="417"/>
      <c r="GS198" s="417"/>
      <c r="GT198" s="417"/>
      <c r="GU198" s="417"/>
      <c r="GV198" s="417"/>
      <c r="GW198" s="417"/>
      <c r="GX198" s="417"/>
      <c r="GY198" s="417"/>
      <c r="GZ198" s="417"/>
      <c r="HA198" s="417"/>
      <c r="HB198" s="417"/>
      <c r="HC198" s="418"/>
      <c r="HD198" s="418"/>
      <c r="HE198" s="418"/>
      <c r="HF198" s="417"/>
      <c r="HG198" s="417"/>
      <c r="HH198" s="417"/>
      <c r="HI198" s="417"/>
      <c r="HJ198" s="417"/>
      <c r="HK198" s="417"/>
      <c r="HL198" s="417"/>
      <c r="HM198" s="417"/>
      <c r="HN198" s="417"/>
      <c r="HO198" s="417"/>
      <c r="HP198" s="417"/>
      <c r="HQ198" s="417"/>
      <c r="HR198" s="418"/>
      <c r="HS198" s="418"/>
      <c r="HT198" s="418"/>
    </row>
    <row r="199" spans="1:228" s="387" customFormat="1" ht="12.75" customHeight="1" x14ac:dyDescent="0.2">
      <c r="A199" s="406" t="s">
        <v>55</v>
      </c>
      <c r="B199" s="407" t="s">
        <v>42</v>
      </c>
      <c r="C199" s="406" t="s">
        <v>1000</v>
      </c>
      <c r="D199" s="407" t="s">
        <v>1004</v>
      </c>
      <c r="E199" s="407" t="s">
        <v>1751</v>
      </c>
      <c r="F199" s="407" t="s">
        <v>1752</v>
      </c>
      <c r="G199" s="406" t="s">
        <v>60</v>
      </c>
      <c r="H199" s="408" t="s">
        <v>520</v>
      </c>
      <c r="I199" s="408" t="s">
        <v>57</v>
      </c>
      <c r="J199" s="406" t="s">
        <v>509</v>
      </c>
      <c r="K199" s="406" t="s">
        <v>510</v>
      </c>
      <c r="L199" s="406" t="s">
        <v>511</v>
      </c>
      <c r="M199" s="406" t="s">
        <v>1770</v>
      </c>
      <c r="N199" s="452">
        <v>0</v>
      </c>
      <c r="O199" s="452">
        <v>0</v>
      </c>
      <c r="P199" s="452">
        <v>0</v>
      </c>
      <c r="Q199" s="452">
        <v>0</v>
      </c>
      <c r="R199" s="452">
        <v>0</v>
      </c>
      <c r="S199" s="452">
        <v>0</v>
      </c>
      <c r="T199" s="452">
        <v>0</v>
      </c>
      <c r="U199" s="409">
        <v>0</v>
      </c>
      <c r="V199" s="409">
        <v>0</v>
      </c>
      <c r="W199" s="409">
        <v>0</v>
      </c>
      <c r="X199" s="409">
        <v>0</v>
      </c>
      <c r="Y199" s="409">
        <v>0</v>
      </c>
      <c r="Z199" s="453">
        <f t="shared" si="83"/>
        <v>0</v>
      </c>
      <c r="AA199" s="452">
        <v>0</v>
      </c>
      <c r="AB199" s="452">
        <v>0</v>
      </c>
      <c r="AC199" s="452">
        <v>0</v>
      </c>
      <c r="AD199" s="452">
        <v>0</v>
      </c>
      <c r="AE199" s="452">
        <v>0</v>
      </c>
      <c r="AF199" s="452">
        <v>0</v>
      </c>
      <c r="AG199" s="452">
        <v>3261</v>
      </c>
      <c r="AH199" s="409">
        <v>0</v>
      </c>
      <c r="AI199" s="409">
        <v>0</v>
      </c>
      <c r="AJ199" s="409">
        <v>0</v>
      </c>
      <c r="AK199" s="409">
        <v>0</v>
      </c>
      <c r="AL199" s="409">
        <v>0</v>
      </c>
      <c r="AM199" s="453">
        <f t="shared" si="78"/>
        <v>3261</v>
      </c>
      <c r="AN199" s="452">
        <v>0</v>
      </c>
      <c r="AO199" s="452">
        <v>0</v>
      </c>
      <c r="AP199" s="452">
        <v>0</v>
      </c>
      <c r="AQ199" s="452">
        <v>0</v>
      </c>
      <c r="AR199" s="452">
        <v>0</v>
      </c>
      <c r="AS199" s="452">
        <v>0</v>
      </c>
      <c r="AT199" s="452">
        <v>2655</v>
      </c>
      <c r="AU199" s="409">
        <v>0</v>
      </c>
      <c r="AV199" s="409">
        <v>0</v>
      </c>
      <c r="AW199" s="409">
        <v>0</v>
      </c>
      <c r="AX199" s="409">
        <v>0</v>
      </c>
      <c r="AY199" s="409">
        <v>0</v>
      </c>
      <c r="AZ199" s="453">
        <f t="shared" si="79"/>
        <v>2655</v>
      </c>
      <c r="BA199" s="452">
        <v>0</v>
      </c>
      <c r="BB199" s="452">
        <v>0</v>
      </c>
      <c r="BC199" s="452">
        <v>0</v>
      </c>
      <c r="BD199" s="452">
        <v>0</v>
      </c>
      <c r="BE199" s="452">
        <v>0</v>
      </c>
      <c r="BF199" s="452">
        <v>3665</v>
      </c>
      <c r="BG199" s="452">
        <v>0</v>
      </c>
      <c r="BH199" s="409">
        <v>0</v>
      </c>
      <c r="BI199" s="409">
        <v>0</v>
      </c>
      <c r="BJ199" s="409">
        <v>0</v>
      </c>
      <c r="BK199" s="409">
        <v>0</v>
      </c>
      <c r="BL199" s="409">
        <v>0</v>
      </c>
      <c r="BM199" s="453">
        <f t="shared" si="80"/>
        <v>3665</v>
      </c>
      <c r="BN199" s="452">
        <v>0</v>
      </c>
      <c r="BO199" s="452">
        <v>0</v>
      </c>
      <c r="BP199" s="452">
        <v>0</v>
      </c>
      <c r="BQ199" s="452">
        <v>0</v>
      </c>
      <c r="BR199" s="452">
        <v>0</v>
      </c>
      <c r="BS199" s="452">
        <v>0</v>
      </c>
      <c r="BT199" s="452">
        <v>0</v>
      </c>
      <c r="BU199" s="409">
        <v>0</v>
      </c>
      <c r="BV199" s="409">
        <v>0</v>
      </c>
      <c r="BW199" s="409">
        <v>0</v>
      </c>
      <c r="BX199" s="409">
        <v>0</v>
      </c>
      <c r="BY199" s="409">
        <v>0</v>
      </c>
      <c r="BZ199" s="453">
        <f t="shared" si="81"/>
        <v>0</v>
      </c>
      <c r="CA199" s="454">
        <f t="shared" si="82"/>
        <v>9581</v>
      </c>
      <c r="CB199" s="411"/>
      <c r="CC199" s="411"/>
      <c r="CD199" s="411"/>
      <c r="CE199" s="411"/>
      <c r="CF199" s="411"/>
      <c r="CG199" s="412"/>
      <c r="CH199" s="413"/>
      <c r="CI199" s="414" t="s">
        <v>1624</v>
      </c>
      <c r="CJ199" s="415">
        <v>0</v>
      </c>
      <c r="CK199" s="415">
        <v>0</v>
      </c>
      <c r="CL199" s="415">
        <v>0</v>
      </c>
      <c r="CM199" s="415">
        <v>0</v>
      </c>
      <c r="CN199" s="415">
        <v>0</v>
      </c>
      <c r="CO199" s="415">
        <v>0</v>
      </c>
      <c r="CP199" s="415">
        <v>0</v>
      </c>
      <c r="CQ199" s="415">
        <v>0</v>
      </c>
      <c r="CR199" s="415">
        <v>0</v>
      </c>
      <c r="CS199" s="415">
        <v>0</v>
      </c>
      <c r="CT199" s="415">
        <v>0</v>
      </c>
      <c r="CU199" s="415">
        <v>0</v>
      </c>
      <c r="CV199" s="410">
        <f t="shared" si="72"/>
        <v>0</v>
      </c>
      <c r="CW199" s="415">
        <v>0</v>
      </c>
      <c r="CX199" s="415">
        <v>0</v>
      </c>
      <c r="CY199" s="415">
        <v>0</v>
      </c>
      <c r="CZ199" s="415">
        <v>0</v>
      </c>
      <c r="DA199" s="415">
        <v>0</v>
      </c>
      <c r="DB199" s="415">
        <v>0</v>
      </c>
      <c r="DC199" s="415">
        <v>134</v>
      </c>
      <c r="DD199" s="415">
        <v>0</v>
      </c>
      <c r="DE199" s="415">
        <v>0</v>
      </c>
      <c r="DF199" s="415">
        <v>0</v>
      </c>
      <c r="DG199" s="415">
        <v>0</v>
      </c>
      <c r="DH199" s="415">
        <v>0</v>
      </c>
      <c r="DI199" s="410">
        <f t="shared" si="73"/>
        <v>134</v>
      </c>
      <c r="DJ199" s="415">
        <v>0</v>
      </c>
      <c r="DK199" s="415">
        <v>0</v>
      </c>
      <c r="DL199" s="415">
        <v>0</v>
      </c>
      <c r="DM199" s="415">
        <v>0</v>
      </c>
      <c r="DN199" s="415">
        <v>0</v>
      </c>
      <c r="DO199" s="415">
        <v>0</v>
      </c>
      <c r="DP199" s="415">
        <v>134</v>
      </c>
      <c r="DQ199" s="415">
        <v>0</v>
      </c>
      <c r="DR199" s="415">
        <v>0</v>
      </c>
      <c r="DS199" s="415">
        <v>0</v>
      </c>
      <c r="DT199" s="415">
        <v>0</v>
      </c>
      <c r="DU199" s="415">
        <v>0</v>
      </c>
      <c r="DV199" s="410">
        <f t="shared" si="74"/>
        <v>134</v>
      </c>
      <c r="DW199" s="415">
        <v>0</v>
      </c>
      <c r="DX199" s="415">
        <v>0</v>
      </c>
      <c r="DY199" s="415">
        <v>0</v>
      </c>
      <c r="DZ199" s="415">
        <v>0</v>
      </c>
      <c r="EA199" s="415">
        <v>0</v>
      </c>
      <c r="EB199" s="415">
        <v>134</v>
      </c>
      <c r="EC199" s="415">
        <v>0</v>
      </c>
      <c r="ED199" s="415">
        <v>0</v>
      </c>
      <c r="EE199" s="415">
        <v>0</v>
      </c>
      <c r="EF199" s="415">
        <v>0</v>
      </c>
      <c r="EG199" s="415">
        <v>0</v>
      </c>
      <c r="EH199" s="415">
        <v>0</v>
      </c>
      <c r="EI199" s="410">
        <f t="shared" si="75"/>
        <v>134</v>
      </c>
      <c r="EJ199" s="415">
        <v>0</v>
      </c>
      <c r="EK199" s="415">
        <v>0</v>
      </c>
      <c r="EL199" s="415">
        <v>0</v>
      </c>
      <c r="EM199" s="415">
        <v>0</v>
      </c>
      <c r="EN199" s="415">
        <v>0</v>
      </c>
      <c r="EO199" s="415">
        <v>0</v>
      </c>
      <c r="EP199" s="415">
        <v>0</v>
      </c>
      <c r="EQ199" s="415">
        <v>0</v>
      </c>
      <c r="ER199" s="415">
        <v>0</v>
      </c>
      <c r="ES199" s="415">
        <v>0</v>
      </c>
      <c r="ET199" s="415">
        <v>0</v>
      </c>
      <c r="EU199" s="415">
        <v>0</v>
      </c>
      <c r="EV199" s="410">
        <f t="shared" si="76"/>
        <v>0</v>
      </c>
      <c r="EW199" s="416">
        <f t="shared" si="77"/>
        <v>402</v>
      </c>
      <c r="EX199" s="417">
        <f>IFERROR(VLOOKUP(H199,CEI_012018!$A$1:$U$509,9,FALSE),0)</f>
        <v>0</v>
      </c>
      <c r="EY199" s="417">
        <f>IFERROR(VLOOKUP(H199,CEI_022018!$A$1:$U$509,9,FALSE),0)</f>
        <v>0</v>
      </c>
      <c r="EZ199" s="417">
        <f>IFERROR(VLOOKUP(H199,CEI_032018!$A$1:$U$509,9,FALSE),0)</f>
        <v>0</v>
      </c>
      <c r="FA199" s="417">
        <f>IFERROR(VLOOKUP(H199,CEI_042018!$A$1:$U$491,9,FALSE),0)</f>
        <v>0</v>
      </c>
      <c r="FB199" s="417">
        <f>IFERROR(VLOOKUP(H199,CEI_052018!$A$1:$U$489,9,FALSE),0)</f>
        <v>0</v>
      </c>
      <c r="FC199" s="417">
        <f>IFERROR(VLOOKUP(H199,CEI_062018!$A$1:$U$489,9,FALSE),0)</f>
        <v>0</v>
      </c>
      <c r="FD199" s="417">
        <f>IFERROR(VLOOKUP(H199,CEI_072018!$A$1:$U$489,9,FALSE),0)</f>
        <v>0</v>
      </c>
      <c r="FE199" s="417">
        <f>IFERROR(VLOOKUP(H199,CEI_082018!$A$1:$U$489,9,FALSE),0)</f>
        <v>0</v>
      </c>
      <c r="FF199" s="417">
        <f>IFERROR(VLOOKUP(H199,CEI_092018!$A$1:$U$489,9,FALSE),0)</f>
        <v>0</v>
      </c>
      <c r="FG199" s="417"/>
      <c r="FH199" s="417"/>
      <c r="FI199" s="417"/>
      <c r="FJ199" s="418">
        <f>IFERROR(VLOOKUP(H199,CEI_092018!$A$1:$U$489,12,FALSE),0)</f>
        <v>0</v>
      </c>
      <c r="FK199" s="418">
        <f t="shared" si="70"/>
        <v>0</v>
      </c>
      <c r="FL199" s="418">
        <f t="shared" si="71"/>
        <v>0</v>
      </c>
      <c r="FM199" s="417"/>
      <c r="FN199" s="417"/>
      <c r="FO199" s="417"/>
      <c r="FP199" s="417"/>
      <c r="FQ199" s="417"/>
      <c r="FR199" s="417"/>
      <c r="FS199" s="417"/>
      <c r="FT199" s="417"/>
      <c r="FU199" s="417"/>
      <c r="FV199" s="417"/>
      <c r="FW199" s="417"/>
      <c r="FX199" s="417"/>
      <c r="FY199" s="418"/>
      <c r="FZ199" s="418"/>
      <c r="GA199" s="418"/>
      <c r="GB199" s="417"/>
      <c r="GC199" s="417"/>
      <c r="GD199" s="417"/>
      <c r="GE199" s="417"/>
      <c r="GF199" s="417"/>
      <c r="GG199" s="417"/>
      <c r="GH199" s="417"/>
      <c r="GI199" s="417"/>
      <c r="GJ199" s="417"/>
      <c r="GK199" s="417"/>
      <c r="GL199" s="417"/>
      <c r="GM199" s="417"/>
      <c r="GN199" s="418"/>
      <c r="GO199" s="418"/>
      <c r="GP199" s="418"/>
      <c r="GQ199" s="417"/>
      <c r="GR199" s="417"/>
      <c r="GS199" s="417"/>
      <c r="GT199" s="417"/>
      <c r="GU199" s="417"/>
      <c r="GV199" s="417"/>
      <c r="GW199" s="417"/>
      <c r="GX199" s="417"/>
      <c r="GY199" s="417"/>
      <c r="GZ199" s="417"/>
      <c r="HA199" s="417"/>
      <c r="HB199" s="417"/>
      <c r="HC199" s="418"/>
      <c r="HD199" s="418"/>
      <c r="HE199" s="418"/>
      <c r="HF199" s="417"/>
      <c r="HG199" s="417"/>
      <c r="HH199" s="417"/>
      <c r="HI199" s="417"/>
      <c r="HJ199" s="417"/>
      <c r="HK199" s="417"/>
      <c r="HL199" s="417"/>
      <c r="HM199" s="417"/>
      <c r="HN199" s="417"/>
      <c r="HO199" s="417"/>
      <c r="HP199" s="417"/>
      <c r="HQ199" s="417"/>
      <c r="HR199" s="418"/>
      <c r="HS199" s="418"/>
      <c r="HT199" s="418"/>
    </row>
    <row r="200" spans="1:228" s="387" customFormat="1" ht="12.75" customHeight="1" x14ac:dyDescent="0.2">
      <c r="A200" s="406" t="s">
        <v>55</v>
      </c>
      <c r="B200" s="407" t="s">
        <v>42</v>
      </c>
      <c r="C200" s="406" t="s">
        <v>1000</v>
      </c>
      <c r="D200" s="407" t="s">
        <v>1004</v>
      </c>
      <c r="E200" s="407" t="s">
        <v>1000</v>
      </c>
      <c r="F200" s="407" t="s">
        <v>1004</v>
      </c>
      <c r="G200" s="406" t="s">
        <v>54</v>
      </c>
      <c r="H200" s="408" t="s">
        <v>1083</v>
      </c>
      <c r="I200" s="408" t="s">
        <v>1330</v>
      </c>
      <c r="J200" s="406" t="s">
        <v>715</v>
      </c>
      <c r="K200" s="406" t="s">
        <v>716</v>
      </c>
      <c r="L200" s="406" t="s">
        <v>717</v>
      </c>
      <c r="M200" s="406" t="s">
        <v>1770</v>
      </c>
      <c r="N200" s="452">
        <v>0</v>
      </c>
      <c r="O200" s="452">
        <v>0</v>
      </c>
      <c r="P200" s="452">
        <v>0</v>
      </c>
      <c r="Q200" s="452">
        <v>0</v>
      </c>
      <c r="R200" s="452">
        <v>0</v>
      </c>
      <c r="S200" s="452">
        <v>0</v>
      </c>
      <c r="T200" s="452">
        <v>15.5</v>
      </c>
      <c r="U200" s="409">
        <v>0</v>
      </c>
      <c r="V200" s="409">
        <v>0</v>
      </c>
      <c r="W200" s="409">
        <v>0</v>
      </c>
      <c r="X200" s="409">
        <v>0</v>
      </c>
      <c r="Y200" s="409">
        <v>0.5</v>
      </c>
      <c r="Z200" s="453">
        <f t="shared" si="83"/>
        <v>16</v>
      </c>
      <c r="AA200" s="452">
        <v>0</v>
      </c>
      <c r="AB200" s="452">
        <v>0</v>
      </c>
      <c r="AC200" s="452">
        <v>0</v>
      </c>
      <c r="AD200" s="452">
        <v>0</v>
      </c>
      <c r="AE200" s="452">
        <v>0</v>
      </c>
      <c r="AF200" s="452">
        <v>50</v>
      </c>
      <c r="AG200" s="452">
        <v>0</v>
      </c>
      <c r="AH200" s="409">
        <v>0</v>
      </c>
      <c r="AI200" s="409">
        <v>0</v>
      </c>
      <c r="AJ200" s="409">
        <v>0</v>
      </c>
      <c r="AK200" s="409">
        <v>0</v>
      </c>
      <c r="AL200" s="409">
        <v>70</v>
      </c>
      <c r="AM200" s="453">
        <f t="shared" si="78"/>
        <v>120</v>
      </c>
      <c r="AN200" s="452">
        <v>0</v>
      </c>
      <c r="AO200" s="452">
        <v>25</v>
      </c>
      <c r="AP200" s="452">
        <v>25</v>
      </c>
      <c r="AQ200" s="452">
        <v>0</v>
      </c>
      <c r="AR200" s="452">
        <v>50</v>
      </c>
      <c r="AS200" s="452">
        <v>50</v>
      </c>
      <c r="AT200" s="452">
        <v>0</v>
      </c>
      <c r="AU200" s="409">
        <v>25</v>
      </c>
      <c r="AV200" s="409">
        <v>0</v>
      </c>
      <c r="AW200" s="409">
        <v>25</v>
      </c>
      <c r="AX200" s="409">
        <v>0</v>
      </c>
      <c r="AY200" s="409">
        <v>40</v>
      </c>
      <c r="AZ200" s="453">
        <f t="shared" si="79"/>
        <v>240</v>
      </c>
      <c r="BA200" s="452">
        <v>0</v>
      </c>
      <c r="BB200" s="452">
        <v>0</v>
      </c>
      <c r="BC200" s="452">
        <v>60</v>
      </c>
      <c r="BD200" s="452">
        <v>0</v>
      </c>
      <c r="BE200" s="452">
        <v>0</v>
      </c>
      <c r="BF200" s="452">
        <v>60</v>
      </c>
      <c r="BG200" s="452">
        <v>0</v>
      </c>
      <c r="BH200" s="409">
        <v>60</v>
      </c>
      <c r="BI200" s="409">
        <v>0</v>
      </c>
      <c r="BJ200" s="409">
        <v>0</v>
      </c>
      <c r="BK200" s="409">
        <v>0</v>
      </c>
      <c r="BL200" s="409">
        <v>60</v>
      </c>
      <c r="BM200" s="453">
        <f t="shared" si="80"/>
        <v>240</v>
      </c>
      <c r="BN200" s="452">
        <v>0</v>
      </c>
      <c r="BO200" s="452">
        <v>0</v>
      </c>
      <c r="BP200" s="452">
        <v>255</v>
      </c>
      <c r="BQ200" s="452">
        <v>0</v>
      </c>
      <c r="BR200" s="452">
        <v>0</v>
      </c>
      <c r="BS200" s="452">
        <v>0</v>
      </c>
      <c r="BT200" s="452">
        <v>0</v>
      </c>
      <c r="BU200" s="409">
        <v>0</v>
      </c>
      <c r="BV200" s="409">
        <v>0</v>
      </c>
      <c r="BW200" s="409">
        <v>0</v>
      </c>
      <c r="BX200" s="409">
        <v>0</v>
      </c>
      <c r="BY200" s="409">
        <v>0</v>
      </c>
      <c r="BZ200" s="453">
        <f t="shared" si="81"/>
        <v>255</v>
      </c>
      <c r="CA200" s="454">
        <f t="shared" si="82"/>
        <v>871</v>
      </c>
      <c r="CB200" s="419"/>
      <c r="CC200" s="419">
        <v>1</v>
      </c>
      <c r="CD200" s="419">
        <v>1</v>
      </c>
      <c r="CE200" s="419">
        <v>1</v>
      </c>
      <c r="CF200" s="419">
        <v>1</v>
      </c>
      <c r="CG200" s="420">
        <f>IFERROR((FE200/Z200%),0)</f>
        <v>96.875</v>
      </c>
      <c r="CH200" s="421">
        <f>IFERROR((FK200/Z200%),0)</f>
        <v>2499.3749618530273</v>
      </c>
      <c r="CI200" s="414" t="s">
        <v>1621</v>
      </c>
      <c r="CJ200" s="415">
        <v>0</v>
      </c>
      <c r="CK200" s="415">
        <v>0</v>
      </c>
      <c r="CL200" s="415">
        <v>0</v>
      </c>
      <c r="CM200" s="415">
        <v>0</v>
      </c>
      <c r="CN200" s="415">
        <v>0</v>
      </c>
      <c r="CO200" s="415">
        <v>0</v>
      </c>
      <c r="CP200" s="415">
        <v>1</v>
      </c>
      <c r="CQ200" s="415">
        <v>0</v>
      </c>
      <c r="CR200" s="415">
        <v>0</v>
      </c>
      <c r="CS200" s="415">
        <v>0</v>
      </c>
      <c r="CT200" s="415">
        <v>0</v>
      </c>
      <c r="CU200" s="415">
        <v>0</v>
      </c>
      <c r="CV200" s="410">
        <f t="shared" si="72"/>
        <v>1</v>
      </c>
      <c r="CW200" s="415">
        <v>0</v>
      </c>
      <c r="CX200" s="415">
        <v>0</v>
      </c>
      <c r="CY200" s="415">
        <v>0</v>
      </c>
      <c r="CZ200" s="415">
        <v>0</v>
      </c>
      <c r="DA200" s="415">
        <v>0</v>
      </c>
      <c r="DB200" s="415">
        <v>0</v>
      </c>
      <c r="DC200" s="415">
        <v>0</v>
      </c>
      <c r="DD200" s="415">
        <v>0</v>
      </c>
      <c r="DE200" s="415">
        <v>0</v>
      </c>
      <c r="DF200" s="415">
        <v>0</v>
      </c>
      <c r="DG200" s="415">
        <v>0</v>
      </c>
      <c r="DH200" s="415">
        <v>1</v>
      </c>
      <c r="DI200" s="410">
        <f t="shared" si="73"/>
        <v>1</v>
      </c>
      <c r="DJ200" s="415">
        <v>0</v>
      </c>
      <c r="DK200" s="415">
        <v>0</v>
      </c>
      <c r="DL200" s="415">
        <v>1</v>
      </c>
      <c r="DM200" s="415">
        <v>0</v>
      </c>
      <c r="DN200" s="415">
        <v>0</v>
      </c>
      <c r="DO200" s="415">
        <v>0</v>
      </c>
      <c r="DP200" s="415">
        <v>0</v>
      </c>
      <c r="DQ200" s="415">
        <v>0</v>
      </c>
      <c r="DR200" s="415">
        <v>0</v>
      </c>
      <c r="DS200" s="415">
        <v>0</v>
      </c>
      <c r="DT200" s="415">
        <v>0</v>
      </c>
      <c r="DU200" s="415">
        <v>0</v>
      </c>
      <c r="DV200" s="410">
        <f t="shared" si="74"/>
        <v>1</v>
      </c>
      <c r="DW200" s="415">
        <v>0</v>
      </c>
      <c r="DX200" s="415">
        <v>0</v>
      </c>
      <c r="DY200" s="415">
        <v>1</v>
      </c>
      <c r="DZ200" s="415">
        <v>0</v>
      </c>
      <c r="EA200" s="415">
        <v>0</v>
      </c>
      <c r="EB200" s="415">
        <v>0</v>
      </c>
      <c r="EC200" s="415">
        <v>0</v>
      </c>
      <c r="ED200" s="415">
        <v>0</v>
      </c>
      <c r="EE200" s="415">
        <v>0</v>
      </c>
      <c r="EF200" s="415">
        <v>0</v>
      </c>
      <c r="EG200" s="415">
        <v>0</v>
      </c>
      <c r="EH200" s="415">
        <v>0</v>
      </c>
      <c r="EI200" s="410">
        <f t="shared" si="75"/>
        <v>1</v>
      </c>
      <c r="EJ200" s="415">
        <v>0</v>
      </c>
      <c r="EK200" s="415">
        <v>0</v>
      </c>
      <c r="EL200" s="415">
        <v>1</v>
      </c>
      <c r="EM200" s="415">
        <v>0</v>
      </c>
      <c r="EN200" s="415">
        <v>0</v>
      </c>
      <c r="EO200" s="415">
        <v>0</v>
      </c>
      <c r="EP200" s="415">
        <v>0</v>
      </c>
      <c r="EQ200" s="415">
        <v>0</v>
      </c>
      <c r="ER200" s="415">
        <v>0</v>
      </c>
      <c r="ES200" s="415">
        <v>0</v>
      </c>
      <c r="ET200" s="415">
        <v>0</v>
      </c>
      <c r="EU200" s="415">
        <v>0</v>
      </c>
      <c r="EV200" s="410">
        <f t="shared" si="76"/>
        <v>1</v>
      </c>
      <c r="EW200" s="416">
        <f t="shared" si="77"/>
        <v>5</v>
      </c>
      <c r="EX200" s="417">
        <f>IFERROR(VLOOKUP(H200,CEI_012018!$A$1:$U$509,9,FALSE),0)</f>
        <v>0</v>
      </c>
      <c r="EY200" s="417">
        <f>IFERROR(VLOOKUP(H200,CEI_022018!$A$1:$U$509,9,FALSE),0)</f>
        <v>0</v>
      </c>
      <c r="EZ200" s="417">
        <f>IFERROR(VLOOKUP(H200,CEI_032018!$A$1:$U$509,9,FALSE),0)</f>
        <v>0</v>
      </c>
      <c r="FA200" s="417">
        <f>IFERROR(VLOOKUP(H200,CEI_042018!$A$1:$U$491,9,FALSE),0)</f>
        <v>0</v>
      </c>
      <c r="FB200" s="417">
        <f>IFERROR(VLOOKUP(H200,CEI_052018!$A$1:$U$489,9,FALSE),0)</f>
        <v>0</v>
      </c>
      <c r="FC200" s="417">
        <f>IFERROR(VLOOKUP(H200,CEI_062018!$A$1:$U$489,9,FALSE),0)</f>
        <v>0</v>
      </c>
      <c r="FD200" s="417">
        <f>IFERROR(VLOOKUP(H200,CEI_072018!$A$1:$U$489,9,FALSE),0)</f>
        <v>15.5</v>
      </c>
      <c r="FE200" s="417">
        <f>IFERROR(VLOOKUP(H200,CEI_082018!$A$1:$U$489,9,FALSE),0)</f>
        <v>15.5</v>
      </c>
      <c r="FF200" s="417">
        <f>IFERROR(VLOOKUP(H200,CEI_092018!$A$1:$U$489,9,FALSE),0)</f>
        <v>15.5</v>
      </c>
      <c r="FG200" s="417"/>
      <c r="FH200" s="417"/>
      <c r="FI200" s="417"/>
      <c r="FJ200" s="418">
        <f>IFERROR(VLOOKUP(H200,CEI_092018!$A$1:$U$489,12,FALSE),0)</f>
        <v>384.39999389648437</v>
      </c>
      <c r="FK200" s="418">
        <f t="shared" si="70"/>
        <v>399.89999389648437</v>
      </c>
      <c r="FL200" s="418">
        <f t="shared" si="71"/>
        <v>-383.89999389648437</v>
      </c>
      <c r="FM200" s="417"/>
      <c r="FN200" s="417"/>
      <c r="FO200" s="417"/>
      <c r="FP200" s="417"/>
      <c r="FQ200" s="417"/>
      <c r="FR200" s="417"/>
      <c r="FS200" s="417"/>
      <c r="FT200" s="417"/>
      <c r="FU200" s="417"/>
      <c r="FV200" s="417"/>
      <c r="FW200" s="417"/>
      <c r="FX200" s="417"/>
      <c r="FY200" s="418"/>
      <c r="FZ200" s="418"/>
      <c r="GA200" s="418"/>
      <c r="GB200" s="417"/>
      <c r="GC200" s="417"/>
      <c r="GD200" s="417"/>
      <c r="GE200" s="417"/>
      <c r="GF200" s="417"/>
      <c r="GG200" s="417"/>
      <c r="GH200" s="417"/>
      <c r="GI200" s="417"/>
      <c r="GJ200" s="417"/>
      <c r="GK200" s="417"/>
      <c r="GL200" s="417"/>
      <c r="GM200" s="417"/>
      <c r="GN200" s="418"/>
      <c r="GO200" s="418"/>
      <c r="GP200" s="418"/>
      <c r="GQ200" s="417"/>
      <c r="GR200" s="417"/>
      <c r="GS200" s="417"/>
      <c r="GT200" s="417"/>
      <c r="GU200" s="417"/>
      <c r="GV200" s="417"/>
      <c r="GW200" s="417"/>
      <c r="GX200" s="417"/>
      <c r="GY200" s="417"/>
      <c r="GZ200" s="417"/>
      <c r="HA200" s="417"/>
      <c r="HB200" s="417"/>
      <c r="HC200" s="418"/>
      <c r="HD200" s="418"/>
      <c r="HE200" s="418"/>
      <c r="HF200" s="417"/>
      <c r="HG200" s="417"/>
      <c r="HH200" s="417"/>
      <c r="HI200" s="417"/>
      <c r="HJ200" s="417"/>
      <c r="HK200" s="417"/>
      <c r="HL200" s="417"/>
      <c r="HM200" s="417"/>
      <c r="HN200" s="417"/>
      <c r="HO200" s="417"/>
      <c r="HP200" s="417"/>
      <c r="HQ200" s="417"/>
      <c r="HR200" s="418"/>
      <c r="HS200" s="418"/>
      <c r="HT200" s="418"/>
    </row>
    <row r="201" spans="1:228" s="387" customFormat="1" ht="12.75" customHeight="1" x14ac:dyDescent="0.2">
      <c r="A201" s="406" t="s">
        <v>55</v>
      </c>
      <c r="B201" s="407" t="s">
        <v>42</v>
      </c>
      <c r="C201" s="406" t="s">
        <v>1000</v>
      </c>
      <c r="D201" s="407" t="s">
        <v>1004</v>
      </c>
      <c r="E201" s="407" t="s">
        <v>1000</v>
      </c>
      <c r="F201" s="407" t="s">
        <v>1004</v>
      </c>
      <c r="G201" s="406" t="s">
        <v>54</v>
      </c>
      <c r="H201" s="408" t="s">
        <v>520</v>
      </c>
      <c r="I201" s="408" t="s">
        <v>57</v>
      </c>
      <c r="J201" s="406" t="s">
        <v>390</v>
      </c>
      <c r="K201" s="406" t="s">
        <v>740</v>
      </c>
      <c r="L201" s="406" t="s">
        <v>741</v>
      </c>
      <c r="M201" s="406" t="s">
        <v>1770</v>
      </c>
      <c r="N201" s="452">
        <v>0</v>
      </c>
      <c r="O201" s="452">
        <v>0</v>
      </c>
      <c r="P201" s="452">
        <v>0</v>
      </c>
      <c r="Q201" s="452">
        <v>0</v>
      </c>
      <c r="R201" s="452">
        <v>0</v>
      </c>
      <c r="S201" s="452">
        <v>0</v>
      </c>
      <c r="T201" s="452">
        <v>0</v>
      </c>
      <c r="U201" s="409">
        <v>0</v>
      </c>
      <c r="V201" s="409">
        <v>0</v>
      </c>
      <c r="W201" s="409">
        <v>0</v>
      </c>
      <c r="X201" s="409">
        <v>0</v>
      </c>
      <c r="Y201" s="409">
        <v>0</v>
      </c>
      <c r="Z201" s="453">
        <f t="shared" si="83"/>
        <v>0</v>
      </c>
      <c r="AA201" s="452">
        <v>0</v>
      </c>
      <c r="AB201" s="452">
        <v>0</v>
      </c>
      <c r="AC201" s="452">
        <v>0</v>
      </c>
      <c r="AD201" s="452">
        <v>0</v>
      </c>
      <c r="AE201" s="452">
        <v>0</v>
      </c>
      <c r="AF201" s="452">
        <v>0</v>
      </c>
      <c r="AG201" s="452">
        <v>0</v>
      </c>
      <c r="AH201" s="409">
        <v>0</v>
      </c>
      <c r="AI201" s="409">
        <v>0</v>
      </c>
      <c r="AJ201" s="409">
        <v>0</v>
      </c>
      <c r="AK201" s="409">
        <v>0</v>
      </c>
      <c r="AL201" s="409">
        <v>0</v>
      </c>
      <c r="AM201" s="453">
        <f t="shared" si="78"/>
        <v>0</v>
      </c>
      <c r="AN201" s="452">
        <v>0</v>
      </c>
      <c r="AO201" s="452">
        <v>0</v>
      </c>
      <c r="AP201" s="452">
        <v>0</v>
      </c>
      <c r="AQ201" s="452">
        <v>0</v>
      </c>
      <c r="AR201" s="452">
        <v>0</v>
      </c>
      <c r="AS201" s="452">
        <v>0</v>
      </c>
      <c r="AT201" s="452">
        <v>0</v>
      </c>
      <c r="AU201" s="409">
        <v>0</v>
      </c>
      <c r="AV201" s="409">
        <v>600</v>
      </c>
      <c r="AW201" s="409">
        <v>0</v>
      </c>
      <c r="AX201" s="409">
        <v>0</v>
      </c>
      <c r="AY201" s="409">
        <v>0</v>
      </c>
      <c r="AZ201" s="453">
        <f t="shared" si="79"/>
        <v>600</v>
      </c>
      <c r="BA201" s="452">
        <v>0</v>
      </c>
      <c r="BB201" s="452">
        <v>0</v>
      </c>
      <c r="BC201" s="452">
        <v>0</v>
      </c>
      <c r="BD201" s="452">
        <v>0</v>
      </c>
      <c r="BE201" s="452">
        <v>0</v>
      </c>
      <c r="BF201" s="452">
        <v>0</v>
      </c>
      <c r="BG201" s="452">
        <v>0</v>
      </c>
      <c r="BH201" s="409">
        <v>0</v>
      </c>
      <c r="BI201" s="409">
        <v>0</v>
      </c>
      <c r="BJ201" s="409">
        <v>1200</v>
      </c>
      <c r="BK201" s="409">
        <v>0</v>
      </c>
      <c r="BL201" s="409">
        <v>0</v>
      </c>
      <c r="BM201" s="453">
        <f t="shared" si="80"/>
        <v>1200</v>
      </c>
      <c r="BN201" s="452">
        <v>0</v>
      </c>
      <c r="BO201" s="452">
        <v>0</v>
      </c>
      <c r="BP201" s="452">
        <v>0</v>
      </c>
      <c r="BQ201" s="452">
        <v>0</v>
      </c>
      <c r="BR201" s="452">
        <v>0</v>
      </c>
      <c r="BS201" s="452">
        <v>0</v>
      </c>
      <c r="BT201" s="452">
        <v>0</v>
      </c>
      <c r="BU201" s="409">
        <v>0</v>
      </c>
      <c r="BV201" s="409">
        <v>600</v>
      </c>
      <c r="BW201" s="409">
        <v>0</v>
      </c>
      <c r="BX201" s="409">
        <v>0</v>
      </c>
      <c r="BY201" s="409">
        <v>0</v>
      </c>
      <c r="BZ201" s="453">
        <f t="shared" si="81"/>
        <v>600</v>
      </c>
      <c r="CA201" s="454">
        <f t="shared" si="82"/>
        <v>2400</v>
      </c>
      <c r="CB201" s="411"/>
      <c r="CC201" s="411"/>
      <c r="CD201" s="411"/>
      <c r="CE201" s="411"/>
      <c r="CF201" s="411"/>
      <c r="CG201" s="412"/>
      <c r="CH201" s="413"/>
      <c r="CI201" s="414" t="s">
        <v>1624</v>
      </c>
      <c r="CJ201" s="415">
        <v>0</v>
      </c>
      <c r="CK201" s="415">
        <v>0</v>
      </c>
      <c r="CL201" s="415">
        <v>0</v>
      </c>
      <c r="CM201" s="415">
        <v>0</v>
      </c>
      <c r="CN201" s="415">
        <v>0</v>
      </c>
      <c r="CO201" s="415">
        <v>0</v>
      </c>
      <c r="CP201" s="415">
        <v>0</v>
      </c>
      <c r="CQ201" s="415">
        <v>0</v>
      </c>
      <c r="CR201" s="415">
        <v>0</v>
      </c>
      <c r="CS201" s="415">
        <v>0</v>
      </c>
      <c r="CT201" s="415">
        <v>0</v>
      </c>
      <c r="CU201" s="415">
        <v>0</v>
      </c>
      <c r="CV201" s="410">
        <f t="shared" si="72"/>
        <v>0</v>
      </c>
      <c r="CW201" s="415">
        <v>0</v>
      </c>
      <c r="CX201" s="415">
        <v>0</v>
      </c>
      <c r="CY201" s="415">
        <v>0</v>
      </c>
      <c r="CZ201" s="415">
        <v>0</v>
      </c>
      <c r="DA201" s="415">
        <v>0</v>
      </c>
      <c r="DB201" s="415">
        <v>0</v>
      </c>
      <c r="DC201" s="415">
        <v>0</v>
      </c>
      <c r="DD201" s="415">
        <v>0</v>
      </c>
      <c r="DE201" s="415">
        <v>0</v>
      </c>
      <c r="DF201" s="415">
        <v>0</v>
      </c>
      <c r="DG201" s="415">
        <v>0</v>
      </c>
      <c r="DH201" s="415">
        <v>0</v>
      </c>
      <c r="DI201" s="410">
        <f t="shared" si="73"/>
        <v>0</v>
      </c>
      <c r="DJ201" s="415">
        <v>0</v>
      </c>
      <c r="DK201" s="415">
        <v>0</v>
      </c>
      <c r="DL201" s="415">
        <v>0</v>
      </c>
      <c r="DM201" s="415">
        <v>0</v>
      </c>
      <c r="DN201" s="415">
        <v>0</v>
      </c>
      <c r="DO201" s="415">
        <v>0</v>
      </c>
      <c r="DP201" s="415">
        <v>0</v>
      </c>
      <c r="DQ201" s="415">
        <v>0</v>
      </c>
      <c r="DR201" s="415">
        <v>1</v>
      </c>
      <c r="DS201" s="415">
        <v>0</v>
      </c>
      <c r="DT201" s="415">
        <v>0</v>
      </c>
      <c r="DU201" s="415">
        <v>0</v>
      </c>
      <c r="DV201" s="410">
        <f t="shared" si="74"/>
        <v>1</v>
      </c>
      <c r="DW201" s="415">
        <v>0</v>
      </c>
      <c r="DX201" s="415">
        <v>0</v>
      </c>
      <c r="DY201" s="415">
        <v>0</v>
      </c>
      <c r="DZ201" s="415">
        <v>0</v>
      </c>
      <c r="EA201" s="415">
        <v>0</v>
      </c>
      <c r="EB201" s="415">
        <v>0</v>
      </c>
      <c r="EC201" s="415">
        <v>0</v>
      </c>
      <c r="ED201" s="415">
        <v>0</v>
      </c>
      <c r="EE201" s="415">
        <v>0</v>
      </c>
      <c r="EF201" s="415">
        <v>1</v>
      </c>
      <c r="EG201" s="415">
        <v>0</v>
      </c>
      <c r="EH201" s="415">
        <v>0</v>
      </c>
      <c r="EI201" s="410">
        <f t="shared" si="75"/>
        <v>1</v>
      </c>
      <c r="EJ201" s="415">
        <v>0</v>
      </c>
      <c r="EK201" s="415">
        <v>0</v>
      </c>
      <c r="EL201" s="415">
        <v>0</v>
      </c>
      <c r="EM201" s="415">
        <v>0</v>
      </c>
      <c r="EN201" s="415">
        <v>0</v>
      </c>
      <c r="EO201" s="415">
        <v>0</v>
      </c>
      <c r="EP201" s="415">
        <v>0</v>
      </c>
      <c r="EQ201" s="415">
        <v>0</v>
      </c>
      <c r="ER201" s="415">
        <v>1</v>
      </c>
      <c r="ES201" s="415">
        <v>0</v>
      </c>
      <c r="ET201" s="415">
        <v>0</v>
      </c>
      <c r="EU201" s="415">
        <v>0</v>
      </c>
      <c r="EV201" s="410">
        <f t="shared" si="76"/>
        <v>1</v>
      </c>
      <c r="EW201" s="416">
        <f t="shared" si="77"/>
        <v>3</v>
      </c>
      <c r="EX201" s="417">
        <f>IFERROR(VLOOKUP(H201,CEI_012018!$A$1:$U$509,9,FALSE),0)</f>
        <v>0</v>
      </c>
      <c r="EY201" s="417">
        <f>IFERROR(VLOOKUP(H201,CEI_022018!$A$1:$U$509,9,FALSE),0)</f>
        <v>0</v>
      </c>
      <c r="EZ201" s="417">
        <f>IFERROR(VLOOKUP(H201,CEI_032018!$A$1:$U$509,9,FALSE),0)</f>
        <v>0</v>
      </c>
      <c r="FA201" s="417">
        <f>IFERROR(VLOOKUP(H201,CEI_042018!$A$1:$U$491,9,FALSE),0)</f>
        <v>0</v>
      </c>
      <c r="FB201" s="417">
        <f>IFERROR(VLOOKUP(H201,CEI_052018!$A$1:$U$489,9,FALSE),0)</f>
        <v>0</v>
      </c>
      <c r="FC201" s="417">
        <f>IFERROR(VLOOKUP(H201,CEI_062018!$A$1:$U$489,9,FALSE),0)</f>
        <v>0</v>
      </c>
      <c r="FD201" s="417">
        <f>IFERROR(VLOOKUP(H201,CEI_072018!$A$1:$U$489,9,FALSE),0)</f>
        <v>0</v>
      </c>
      <c r="FE201" s="417">
        <f>IFERROR(VLOOKUP(H201,CEI_082018!$A$1:$U$489,9,FALSE),0)</f>
        <v>0</v>
      </c>
      <c r="FF201" s="417">
        <f>IFERROR(VLOOKUP(H201,CEI_092018!$A$1:$U$489,9,FALSE),0)</f>
        <v>0</v>
      </c>
      <c r="FG201" s="417"/>
      <c r="FH201" s="417"/>
      <c r="FI201" s="417"/>
      <c r="FJ201" s="418">
        <f>IFERROR(VLOOKUP(H201,CEI_092018!$A$1:$U$489,12,FALSE),0)</f>
        <v>0</v>
      </c>
      <c r="FK201" s="418">
        <f t="shared" si="70"/>
        <v>0</v>
      </c>
      <c r="FL201" s="418">
        <f t="shared" si="71"/>
        <v>0</v>
      </c>
      <c r="FM201" s="417"/>
      <c r="FN201" s="417"/>
      <c r="FO201" s="417"/>
      <c r="FP201" s="417"/>
      <c r="FQ201" s="417"/>
      <c r="FR201" s="417"/>
      <c r="FS201" s="417"/>
      <c r="FT201" s="417"/>
      <c r="FU201" s="417"/>
      <c r="FV201" s="417"/>
      <c r="FW201" s="417"/>
      <c r="FX201" s="417"/>
      <c r="FY201" s="418"/>
      <c r="FZ201" s="418"/>
      <c r="GA201" s="418"/>
      <c r="GB201" s="417"/>
      <c r="GC201" s="417"/>
      <c r="GD201" s="417"/>
      <c r="GE201" s="417"/>
      <c r="GF201" s="417"/>
      <c r="GG201" s="417"/>
      <c r="GH201" s="417"/>
      <c r="GI201" s="417"/>
      <c r="GJ201" s="417"/>
      <c r="GK201" s="417"/>
      <c r="GL201" s="417"/>
      <c r="GM201" s="417"/>
      <c r="GN201" s="418"/>
      <c r="GO201" s="418"/>
      <c r="GP201" s="418"/>
      <c r="GQ201" s="417"/>
      <c r="GR201" s="417"/>
      <c r="GS201" s="417"/>
      <c r="GT201" s="417"/>
      <c r="GU201" s="417"/>
      <c r="GV201" s="417"/>
      <c r="GW201" s="417"/>
      <c r="GX201" s="417"/>
      <c r="GY201" s="417"/>
      <c r="GZ201" s="417"/>
      <c r="HA201" s="417"/>
      <c r="HB201" s="417"/>
      <c r="HC201" s="418"/>
      <c r="HD201" s="418"/>
      <c r="HE201" s="418"/>
      <c r="HF201" s="417"/>
      <c r="HG201" s="417"/>
      <c r="HH201" s="417"/>
      <c r="HI201" s="417"/>
      <c r="HJ201" s="417"/>
      <c r="HK201" s="417"/>
      <c r="HL201" s="417"/>
      <c r="HM201" s="417"/>
      <c r="HN201" s="417"/>
      <c r="HO201" s="417"/>
      <c r="HP201" s="417"/>
      <c r="HQ201" s="417"/>
      <c r="HR201" s="418"/>
      <c r="HS201" s="418"/>
      <c r="HT201" s="418"/>
    </row>
    <row r="202" spans="1:228" s="387" customFormat="1" ht="12.75" customHeight="1" x14ac:dyDescent="0.2">
      <c r="A202" s="406" t="s">
        <v>55</v>
      </c>
      <c r="B202" s="407" t="s">
        <v>42</v>
      </c>
      <c r="C202" s="406" t="s">
        <v>1000</v>
      </c>
      <c r="D202" s="407" t="s">
        <v>1004</v>
      </c>
      <c r="E202" s="407" t="s">
        <v>1000</v>
      </c>
      <c r="F202" s="407" t="s">
        <v>1004</v>
      </c>
      <c r="G202" s="406" t="s">
        <v>54</v>
      </c>
      <c r="H202" s="408" t="s">
        <v>1418</v>
      </c>
      <c r="I202" s="408" t="s">
        <v>1420</v>
      </c>
      <c r="J202" s="406" t="s">
        <v>1419</v>
      </c>
      <c r="K202" s="406" t="s">
        <v>1514</v>
      </c>
      <c r="L202" s="406" t="s">
        <v>1515</v>
      </c>
      <c r="M202" s="406" t="s">
        <v>1779</v>
      </c>
      <c r="N202" s="452">
        <v>0</v>
      </c>
      <c r="O202" s="452">
        <v>0</v>
      </c>
      <c r="P202" s="452">
        <v>0</v>
      </c>
      <c r="Q202" s="452">
        <v>0</v>
      </c>
      <c r="R202" s="452">
        <v>0</v>
      </c>
      <c r="S202" s="452">
        <v>0</v>
      </c>
      <c r="T202" s="452">
        <v>0</v>
      </c>
      <c r="U202" s="409">
        <v>25.882419586181641</v>
      </c>
      <c r="V202" s="409">
        <v>23.5</v>
      </c>
      <c r="W202" s="409">
        <v>23.5</v>
      </c>
      <c r="X202" s="409">
        <v>23.5</v>
      </c>
      <c r="Y202" s="409">
        <v>44.617580000000004</v>
      </c>
      <c r="Z202" s="453">
        <f t="shared" si="83"/>
        <v>140.99999958618164</v>
      </c>
      <c r="AA202" s="452">
        <v>23.58</v>
      </c>
      <c r="AB202" s="452">
        <v>23.58</v>
      </c>
      <c r="AC202" s="452">
        <v>23.58</v>
      </c>
      <c r="AD202" s="452">
        <v>23.58</v>
      </c>
      <c r="AE202" s="452">
        <v>23.58</v>
      </c>
      <c r="AF202" s="452">
        <v>23.58</v>
      </c>
      <c r="AG202" s="452">
        <v>23.58</v>
      </c>
      <c r="AH202" s="409">
        <v>23.58</v>
      </c>
      <c r="AI202" s="409">
        <v>23.58</v>
      </c>
      <c r="AJ202" s="409">
        <v>23.58</v>
      </c>
      <c r="AK202" s="409">
        <v>23.58</v>
      </c>
      <c r="AL202" s="409">
        <v>23.58</v>
      </c>
      <c r="AM202" s="453">
        <f t="shared" si="78"/>
        <v>282.95999999999992</v>
      </c>
      <c r="AN202" s="452">
        <v>23.58</v>
      </c>
      <c r="AO202" s="452">
        <v>23.58</v>
      </c>
      <c r="AP202" s="452">
        <v>23.58</v>
      </c>
      <c r="AQ202" s="452">
        <v>23.58</v>
      </c>
      <c r="AR202" s="452">
        <v>23.58</v>
      </c>
      <c r="AS202" s="452">
        <v>23.58</v>
      </c>
      <c r="AT202" s="452">
        <v>23.58</v>
      </c>
      <c r="AU202" s="409">
        <v>23.58</v>
      </c>
      <c r="AV202" s="409">
        <v>23.58</v>
      </c>
      <c r="AW202" s="409">
        <v>23.58</v>
      </c>
      <c r="AX202" s="409">
        <v>23.58</v>
      </c>
      <c r="AY202" s="409">
        <v>23.58</v>
      </c>
      <c r="AZ202" s="453">
        <f t="shared" si="79"/>
        <v>282.95999999999992</v>
      </c>
      <c r="BA202" s="452">
        <v>23.5</v>
      </c>
      <c r="BB202" s="452">
        <v>23.5</v>
      </c>
      <c r="BC202" s="452">
        <v>23.5</v>
      </c>
      <c r="BD202" s="452">
        <v>23.5</v>
      </c>
      <c r="BE202" s="452">
        <v>23.5</v>
      </c>
      <c r="BF202" s="452">
        <v>23.5</v>
      </c>
      <c r="BG202" s="452">
        <v>0</v>
      </c>
      <c r="BH202" s="409">
        <v>0</v>
      </c>
      <c r="BI202" s="409">
        <v>0</v>
      </c>
      <c r="BJ202" s="409">
        <v>0</v>
      </c>
      <c r="BK202" s="409">
        <v>0</v>
      </c>
      <c r="BL202" s="409">
        <v>0</v>
      </c>
      <c r="BM202" s="453">
        <f t="shared" si="80"/>
        <v>141</v>
      </c>
      <c r="BN202" s="452">
        <v>0</v>
      </c>
      <c r="BO202" s="452">
        <v>0</v>
      </c>
      <c r="BP202" s="452">
        <v>0</v>
      </c>
      <c r="BQ202" s="452">
        <v>0</v>
      </c>
      <c r="BR202" s="452">
        <v>0</v>
      </c>
      <c r="BS202" s="452">
        <v>0</v>
      </c>
      <c r="BT202" s="452">
        <v>0</v>
      </c>
      <c r="BU202" s="409">
        <v>0</v>
      </c>
      <c r="BV202" s="409">
        <v>0</v>
      </c>
      <c r="BW202" s="409">
        <v>0</v>
      </c>
      <c r="BX202" s="409">
        <v>0</v>
      </c>
      <c r="BY202" s="409">
        <v>0</v>
      </c>
      <c r="BZ202" s="453">
        <f t="shared" si="81"/>
        <v>0</v>
      </c>
      <c r="CA202" s="454">
        <f t="shared" si="82"/>
        <v>847.91999958618146</v>
      </c>
      <c r="CB202" s="419"/>
      <c r="CC202" s="419">
        <v>1</v>
      </c>
      <c r="CD202" s="419">
        <v>1</v>
      </c>
      <c r="CE202" s="419">
        <v>1</v>
      </c>
      <c r="CF202" s="419">
        <v>1</v>
      </c>
      <c r="CG202" s="420">
        <f>IFERROR((FE202/Z202%),0)</f>
        <v>18.356326001520205</v>
      </c>
      <c r="CH202" s="421">
        <f>IFERROR((FK202/Z202%),0)</f>
        <v>100.15850908171728</v>
      </c>
      <c r="CI202" s="414" t="s">
        <v>1622</v>
      </c>
      <c r="CJ202" s="415">
        <v>0</v>
      </c>
      <c r="CK202" s="415">
        <v>0</v>
      </c>
      <c r="CL202" s="415">
        <v>0</v>
      </c>
      <c r="CM202" s="415">
        <v>0</v>
      </c>
      <c r="CN202" s="415">
        <v>0</v>
      </c>
      <c r="CO202" s="415">
        <v>0</v>
      </c>
      <c r="CP202" s="415">
        <v>54.90654205607477</v>
      </c>
      <c r="CQ202" s="415">
        <v>54.90654205607477</v>
      </c>
      <c r="CR202" s="415">
        <v>54.90654205607477</v>
      </c>
      <c r="CS202" s="415">
        <v>54.90654205607477</v>
      </c>
      <c r="CT202" s="415">
        <v>54.90654205607477</v>
      </c>
      <c r="CU202" s="415">
        <v>54.90654205607477</v>
      </c>
      <c r="CV202" s="410">
        <f t="shared" si="72"/>
        <v>329.43925233644865</v>
      </c>
      <c r="CW202" s="415">
        <v>55.09345794392523</v>
      </c>
      <c r="CX202" s="415">
        <v>55.09345794392523</v>
      </c>
      <c r="CY202" s="415">
        <v>55.09345794392523</v>
      </c>
      <c r="CZ202" s="415">
        <v>55.09345794392523</v>
      </c>
      <c r="DA202" s="415">
        <v>55.09345794392523</v>
      </c>
      <c r="DB202" s="415">
        <v>55.09345794392523</v>
      </c>
      <c r="DC202" s="415">
        <v>55.09345794392523</v>
      </c>
      <c r="DD202" s="415">
        <v>55.09345794392523</v>
      </c>
      <c r="DE202" s="415">
        <v>55.09345794392523</v>
      </c>
      <c r="DF202" s="415">
        <v>55.09345794392523</v>
      </c>
      <c r="DG202" s="415">
        <v>55.09345794392523</v>
      </c>
      <c r="DH202" s="415">
        <v>55.09345794392523</v>
      </c>
      <c r="DI202" s="410">
        <f t="shared" si="73"/>
        <v>661.12149532710282</v>
      </c>
      <c r="DJ202" s="415">
        <v>55.09345794392523</v>
      </c>
      <c r="DK202" s="415">
        <v>55.09345794392523</v>
      </c>
      <c r="DL202" s="415">
        <v>55.09345794392523</v>
      </c>
      <c r="DM202" s="415">
        <v>55.09345794392523</v>
      </c>
      <c r="DN202" s="415">
        <v>55.09345794392523</v>
      </c>
      <c r="DO202" s="415">
        <v>55.09345794392523</v>
      </c>
      <c r="DP202" s="415">
        <v>55.09345794392523</v>
      </c>
      <c r="DQ202" s="415">
        <v>55.09345794392523</v>
      </c>
      <c r="DR202" s="415">
        <v>55.09345794392523</v>
      </c>
      <c r="DS202" s="415">
        <v>55.09345794392523</v>
      </c>
      <c r="DT202" s="415">
        <v>55.09345794392523</v>
      </c>
      <c r="DU202" s="415">
        <v>55.09345794392523</v>
      </c>
      <c r="DV202" s="410">
        <f t="shared" si="74"/>
        <v>661.12149532710282</v>
      </c>
      <c r="DW202" s="415">
        <v>54.90654205607477</v>
      </c>
      <c r="DX202" s="415">
        <v>54.90654205607477</v>
      </c>
      <c r="DY202" s="415">
        <v>54.90654205607477</v>
      </c>
      <c r="DZ202" s="415">
        <v>54.90654205607477</v>
      </c>
      <c r="EA202" s="415">
        <v>54.90654205607477</v>
      </c>
      <c r="EB202" s="415">
        <v>54.90654205607477</v>
      </c>
      <c r="EC202" s="415">
        <v>0</v>
      </c>
      <c r="ED202" s="415">
        <v>0</v>
      </c>
      <c r="EE202" s="415">
        <v>0</v>
      </c>
      <c r="EF202" s="415">
        <v>0</v>
      </c>
      <c r="EG202" s="415">
        <v>0</v>
      </c>
      <c r="EH202" s="415">
        <v>0</v>
      </c>
      <c r="EI202" s="410">
        <f t="shared" si="75"/>
        <v>329.43925233644865</v>
      </c>
      <c r="EJ202" s="415">
        <v>0</v>
      </c>
      <c r="EK202" s="415">
        <v>0</v>
      </c>
      <c r="EL202" s="415">
        <v>0</v>
      </c>
      <c r="EM202" s="415">
        <v>0</v>
      </c>
      <c r="EN202" s="415">
        <v>0</v>
      </c>
      <c r="EO202" s="415">
        <v>0</v>
      </c>
      <c r="EP202" s="415">
        <v>0</v>
      </c>
      <c r="EQ202" s="415">
        <v>0</v>
      </c>
      <c r="ER202" s="415">
        <v>0</v>
      </c>
      <c r="ES202" s="415">
        <v>0</v>
      </c>
      <c r="ET202" s="415">
        <v>0</v>
      </c>
      <c r="EU202" s="415">
        <v>0</v>
      </c>
      <c r="EV202" s="410">
        <f t="shared" si="76"/>
        <v>0</v>
      </c>
      <c r="EW202" s="416">
        <f t="shared" si="77"/>
        <v>1981.1214953271028</v>
      </c>
      <c r="EX202" s="417">
        <f>IFERROR(VLOOKUP(H202,CEI_012018!$A$1:$U$509,9,FALSE),0)</f>
        <v>0</v>
      </c>
      <c r="EY202" s="417">
        <f>IFERROR(VLOOKUP(H202,CEI_022018!$A$1:$U$509,9,FALSE),0)</f>
        <v>0</v>
      </c>
      <c r="EZ202" s="417">
        <f>IFERROR(VLOOKUP(H202,CEI_032018!$A$1:$U$509,9,FALSE),0)</f>
        <v>0</v>
      </c>
      <c r="FA202" s="417">
        <f>IFERROR(VLOOKUP(H202,CEI_042018!$A$1:$U$491,9,FALSE),0)</f>
        <v>0</v>
      </c>
      <c r="FB202" s="417">
        <f>IFERROR(VLOOKUP(H202,CEI_052018!$A$1:$U$489,9,FALSE),0)</f>
        <v>0</v>
      </c>
      <c r="FC202" s="417">
        <f>IFERROR(VLOOKUP(H202,CEI_062018!$A$1:$U$489,9,FALSE),0)</f>
        <v>0</v>
      </c>
      <c r="FD202" s="417">
        <f>IFERROR(VLOOKUP(H202,CEI_072018!$A$1:$U$489,9,FALSE),0)</f>
        <v>0</v>
      </c>
      <c r="FE202" s="417">
        <f>IFERROR(VLOOKUP(H202,CEI_082018!$A$1:$U$489,9,FALSE),0)</f>
        <v>25.882419586181641</v>
      </c>
      <c r="FF202" s="417">
        <f>IFERROR(VLOOKUP(H202,CEI_092018!$A$1:$U$489,9,FALSE),0)</f>
        <v>52.31791877746582</v>
      </c>
      <c r="FG202" s="417"/>
      <c r="FH202" s="417"/>
      <c r="FI202" s="417"/>
      <c r="FJ202" s="418">
        <f>IFERROR(VLOOKUP(H202,CEI_092018!$A$1:$U$489,12,FALSE),0)</f>
        <v>88.90557861328125</v>
      </c>
      <c r="FK202" s="418">
        <f t="shared" si="70"/>
        <v>141.22349739074707</v>
      </c>
      <c r="FL202" s="418">
        <f t="shared" si="71"/>
        <v>-0.22349780456542589</v>
      </c>
      <c r="FM202" s="417"/>
      <c r="FN202" s="417"/>
      <c r="FO202" s="417"/>
      <c r="FP202" s="417"/>
      <c r="FQ202" s="417"/>
      <c r="FR202" s="417"/>
      <c r="FS202" s="417"/>
      <c r="FT202" s="417"/>
      <c r="FU202" s="417"/>
      <c r="FV202" s="417"/>
      <c r="FW202" s="417"/>
      <c r="FX202" s="417"/>
      <c r="FY202" s="418"/>
      <c r="FZ202" s="418"/>
      <c r="GA202" s="418"/>
      <c r="GB202" s="417"/>
      <c r="GC202" s="417"/>
      <c r="GD202" s="417"/>
      <c r="GE202" s="417"/>
      <c r="GF202" s="417"/>
      <c r="GG202" s="417"/>
      <c r="GH202" s="417"/>
      <c r="GI202" s="417"/>
      <c r="GJ202" s="417"/>
      <c r="GK202" s="417"/>
      <c r="GL202" s="417"/>
      <c r="GM202" s="417"/>
      <c r="GN202" s="418"/>
      <c r="GO202" s="418"/>
      <c r="GP202" s="418"/>
      <c r="GQ202" s="417"/>
      <c r="GR202" s="417"/>
      <c r="GS202" s="417"/>
      <c r="GT202" s="417"/>
      <c r="GU202" s="417"/>
      <c r="GV202" s="417"/>
      <c r="GW202" s="417"/>
      <c r="GX202" s="417"/>
      <c r="GY202" s="417"/>
      <c r="GZ202" s="417"/>
      <c r="HA202" s="417"/>
      <c r="HB202" s="417"/>
      <c r="HC202" s="418"/>
      <c r="HD202" s="418"/>
      <c r="HE202" s="418"/>
      <c r="HF202" s="417"/>
      <c r="HG202" s="417"/>
      <c r="HH202" s="417"/>
      <c r="HI202" s="417"/>
      <c r="HJ202" s="417"/>
      <c r="HK202" s="417"/>
      <c r="HL202" s="417"/>
      <c r="HM202" s="417"/>
      <c r="HN202" s="417"/>
      <c r="HO202" s="417"/>
      <c r="HP202" s="417"/>
      <c r="HQ202" s="417"/>
      <c r="HR202" s="418"/>
      <c r="HS202" s="418"/>
      <c r="HT202" s="418"/>
    </row>
    <row r="203" spans="1:228" s="387" customFormat="1" ht="12.75" customHeight="1" x14ac:dyDescent="0.2">
      <c r="A203" s="406" t="s">
        <v>55</v>
      </c>
      <c r="B203" s="407" t="s">
        <v>42</v>
      </c>
      <c r="C203" s="406" t="s">
        <v>1000</v>
      </c>
      <c r="D203" s="407" t="s">
        <v>1006</v>
      </c>
      <c r="E203" s="407" t="s">
        <v>1000</v>
      </c>
      <c r="F203" s="407" t="s">
        <v>1006</v>
      </c>
      <c r="G203" s="406" t="s">
        <v>54</v>
      </c>
      <c r="H203" s="408" t="s">
        <v>518</v>
      </c>
      <c r="I203" s="408" t="s">
        <v>1303</v>
      </c>
      <c r="J203" s="406" t="s">
        <v>349</v>
      </c>
      <c r="K203" s="406" t="s">
        <v>350</v>
      </c>
      <c r="L203" s="406" t="s">
        <v>351</v>
      </c>
      <c r="M203" s="406" t="s">
        <v>1785</v>
      </c>
      <c r="N203" s="452">
        <v>0</v>
      </c>
      <c r="O203" s="452">
        <v>0</v>
      </c>
      <c r="P203" s="452">
        <v>160.23846435546875</v>
      </c>
      <c r="Q203" s="452">
        <v>0</v>
      </c>
      <c r="R203" s="452">
        <v>296.39239501953125</v>
      </c>
      <c r="S203" s="452">
        <v>353.40447998046875</v>
      </c>
      <c r="T203" s="452">
        <v>272.65817260742188</v>
      </c>
      <c r="U203" s="409">
        <v>209.03492736816406</v>
      </c>
      <c r="V203" s="409">
        <v>300</v>
      </c>
      <c r="W203" s="409">
        <v>346.59554000000003</v>
      </c>
      <c r="X203" s="409">
        <v>641.14409000000001</v>
      </c>
      <c r="Y203" s="409">
        <v>1187.34184</v>
      </c>
      <c r="Z203" s="453">
        <f t="shared" si="83"/>
        <v>3766.8099093310548</v>
      </c>
      <c r="AA203" s="452">
        <v>1150</v>
      </c>
      <c r="AB203" s="452">
        <v>1261</v>
      </c>
      <c r="AC203" s="452">
        <v>1200</v>
      </c>
      <c r="AD203" s="452">
        <v>1250</v>
      </c>
      <c r="AE203" s="452">
        <v>1200</v>
      </c>
      <c r="AF203" s="452">
        <v>1250</v>
      </c>
      <c r="AG203" s="452">
        <v>1200</v>
      </c>
      <c r="AH203" s="409">
        <v>0</v>
      </c>
      <c r="AI203" s="409">
        <v>0</v>
      </c>
      <c r="AJ203" s="409">
        <v>0</v>
      </c>
      <c r="AK203" s="409">
        <v>0</v>
      </c>
      <c r="AL203" s="409">
        <v>0</v>
      </c>
      <c r="AM203" s="453">
        <f t="shared" si="78"/>
        <v>8511</v>
      </c>
      <c r="AN203" s="452">
        <v>0</v>
      </c>
      <c r="AO203" s="452">
        <v>0</v>
      </c>
      <c r="AP203" s="452">
        <v>0</v>
      </c>
      <c r="AQ203" s="452">
        <v>0</v>
      </c>
      <c r="AR203" s="452">
        <v>0</v>
      </c>
      <c r="AS203" s="452">
        <v>0</v>
      </c>
      <c r="AT203" s="452">
        <v>0</v>
      </c>
      <c r="AU203" s="409">
        <v>0</v>
      </c>
      <c r="AV203" s="409">
        <v>0</v>
      </c>
      <c r="AW203" s="409">
        <v>0</v>
      </c>
      <c r="AX203" s="409">
        <v>0</v>
      </c>
      <c r="AY203" s="409">
        <v>0</v>
      </c>
      <c r="AZ203" s="453">
        <f t="shared" si="79"/>
        <v>0</v>
      </c>
      <c r="BA203" s="452">
        <v>0</v>
      </c>
      <c r="BB203" s="452">
        <v>0</v>
      </c>
      <c r="BC203" s="452">
        <v>0</v>
      </c>
      <c r="BD203" s="452">
        <v>0</v>
      </c>
      <c r="BE203" s="452">
        <v>0</v>
      </c>
      <c r="BF203" s="452">
        <v>0</v>
      </c>
      <c r="BG203" s="452">
        <v>0</v>
      </c>
      <c r="BH203" s="409">
        <v>0</v>
      </c>
      <c r="BI203" s="409">
        <v>0</v>
      </c>
      <c r="BJ203" s="409">
        <v>0</v>
      </c>
      <c r="BK203" s="409">
        <v>0</v>
      </c>
      <c r="BL203" s="409">
        <v>0</v>
      </c>
      <c r="BM203" s="453">
        <f t="shared" si="80"/>
        <v>0</v>
      </c>
      <c r="BN203" s="452">
        <v>0</v>
      </c>
      <c r="BO203" s="452">
        <v>0</v>
      </c>
      <c r="BP203" s="452">
        <v>0</v>
      </c>
      <c r="BQ203" s="452">
        <v>0</v>
      </c>
      <c r="BR203" s="452">
        <v>0</v>
      </c>
      <c r="BS203" s="452">
        <v>0</v>
      </c>
      <c r="BT203" s="452">
        <v>0</v>
      </c>
      <c r="BU203" s="409">
        <v>0</v>
      </c>
      <c r="BV203" s="409">
        <v>0</v>
      </c>
      <c r="BW203" s="409">
        <v>0</v>
      </c>
      <c r="BX203" s="409">
        <v>0</v>
      </c>
      <c r="BY203" s="409">
        <v>0</v>
      </c>
      <c r="BZ203" s="453">
        <f t="shared" si="81"/>
        <v>0</v>
      </c>
      <c r="CA203" s="454">
        <f t="shared" si="82"/>
        <v>12277.809909331056</v>
      </c>
      <c r="CB203" s="419"/>
      <c r="CC203" s="419">
        <v>1</v>
      </c>
      <c r="CD203" s="419">
        <v>1</v>
      </c>
      <c r="CE203" s="419">
        <v>1</v>
      </c>
      <c r="CF203" s="419">
        <v>1</v>
      </c>
      <c r="CG203" s="420">
        <f>IFERROR((FE203/Z203%),0)</f>
        <v>34.292371274993592</v>
      </c>
      <c r="CH203" s="421">
        <f>IFERROR((FK203/Z203%),0)</f>
        <v>36.409902353913395</v>
      </c>
      <c r="CI203" s="414" t="s">
        <v>1621</v>
      </c>
      <c r="CJ203" s="415">
        <v>0</v>
      </c>
      <c r="CK203" s="415">
        <v>0</v>
      </c>
      <c r="CL203" s="415">
        <v>0</v>
      </c>
      <c r="CM203" s="415">
        <v>0</v>
      </c>
      <c r="CN203" s="415">
        <v>0</v>
      </c>
      <c r="CO203" s="415">
        <v>0</v>
      </c>
      <c r="CP203" s="415">
        <v>0</v>
      </c>
      <c r="CQ203" s="415">
        <v>0</v>
      </c>
      <c r="CR203" s="415">
        <v>0</v>
      </c>
      <c r="CS203" s="415">
        <v>0</v>
      </c>
      <c r="CT203" s="415">
        <v>0</v>
      </c>
      <c r="CU203" s="415">
        <v>1</v>
      </c>
      <c r="CV203" s="410">
        <f t="shared" si="72"/>
        <v>1</v>
      </c>
      <c r="CW203" s="415">
        <v>0</v>
      </c>
      <c r="CX203" s="415">
        <v>0</v>
      </c>
      <c r="CY203" s="415">
        <v>0</v>
      </c>
      <c r="CZ203" s="415">
        <v>0</v>
      </c>
      <c r="DA203" s="415">
        <v>0</v>
      </c>
      <c r="DB203" s="415">
        <v>0</v>
      </c>
      <c r="DC203" s="415">
        <v>1</v>
      </c>
      <c r="DD203" s="415">
        <v>0</v>
      </c>
      <c r="DE203" s="415">
        <v>0</v>
      </c>
      <c r="DF203" s="415">
        <v>0</v>
      </c>
      <c r="DG203" s="415">
        <v>0</v>
      </c>
      <c r="DH203" s="415">
        <v>0</v>
      </c>
      <c r="DI203" s="410">
        <f t="shared" si="73"/>
        <v>1</v>
      </c>
      <c r="DJ203" s="415">
        <v>0</v>
      </c>
      <c r="DK203" s="415">
        <v>0</v>
      </c>
      <c r="DL203" s="415">
        <v>0</v>
      </c>
      <c r="DM203" s="415">
        <v>0</v>
      </c>
      <c r="DN203" s="415">
        <v>0</v>
      </c>
      <c r="DO203" s="415">
        <v>0</v>
      </c>
      <c r="DP203" s="415">
        <v>0</v>
      </c>
      <c r="DQ203" s="415">
        <v>0</v>
      </c>
      <c r="DR203" s="415">
        <v>0</v>
      </c>
      <c r="DS203" s="415">
        <v>0</v>
      </c>
      <c r="DT203" s="415">
        <v>0</v>
      </c>
      <c r="DU203" s="415">
        <v>0</v>
      </c>
      <c r="DV203" s="410">
        <f t="shared" si="74"/>
        <v>0</v>
      </c>
      <c r="DW203" s="415">
        <v>0</v>
      </c>
      <c r="DX203" s="415">
        <v>0</v>
      </c>
      <c r="DY203" s="415">
        <v>0</v>
      </c>
      <c r="DZ203" s="415">
        <v>0</v>
      </c>
      <c r="EA203" s="415">
        <v>0</v>
      </c>
      <c r="EB203" s="415">
        <v>0</v>
      </c>
      <c r="EC203" s="415">
        <v>0</v>
      </c>
      <c r="ED203" s="415">
        <v>0</v>
      </c>
      <c r="EE203" s="415">
        <v>0</v>
      </c>
      <c r="EF203" s="415">
        <v>0</v>
      </c>
      <c r="EG203" s="415">
        <v>0</v>
      </c>
      <c r="EH203" s="415">
        <v>0</v>
      </c>
      <c r="EI203" s="410">
        <f t="shared" si="75"/>
        <v>0</v>
      </c>
      <c r="EJ203" s="415">
        <v>0</v>
      </c>
      <c r="EK203" s="415">
        <v>0</v>
      </c>
      <c r="EL203" s="415">
        <v>0</v>
      </c>
      <c r="EM203" s="415">
        <v>0</v>
      </c>
      <c r="EN203" s="415">
        <v>0</v>
      </c>
      <c r="EO203" s="415">
        <v>0</v>
      </c>
      <c r="EP203" s="415">
        <v>0</v>
      </c>
      <c r="EQ203" s="415">
        <v>0</v>
      </c>
      <c r="ER203" s="415">
        <v>0</v>
      </c>
      <c r="ES203" s="415">
        <v>0</v>
      </c>
      <c r="ET203" s="415">
        <v>0</v>
      </c>
      <c r="EU203" s="415">
        <v>0</v>
      </c>
      <c r="EV203" s="410">
        <f t="shared" si="76"/>
        <v>0</v>
      </c>
      <c r="EW203" s="416">
        <f t="shared" si="77"/>
        <v>2</v>
      </c>
      <c r="EX203" s="417">
        <f>IFERROR(VLOOKUP(H203,CEI_012018!$A$1:$U$509,9,FALSE),0)</f>
        <v>0</v>
      </c>
      <c r="EY203" s="417">
        <f>IFERROR(VLOOKUP(H203,CEI_022018!$A$1:$U$509,9,FALSE),0)</f>
        <v>0</v>
      </c>
      <c r="EZ203" s="417">
        <f>IFERROR(VLOOKUP(H203,CEI_032018!$A$1:$U$509,9,FALSE),0)</f>
        <v>160.23846435546875</v>
      </c>
      <c r="FA203" s="417">
        <f>IFERROR(VLOOKUP(H203,CEI_042018!$A$1:$U$491,9,FALSE),0)</f>
        <v>160.23846435546875</v>
      </c>
      <c r="FB203" s="417">
        <f>IFERROR(VLOOKUP(H203,CEI_052018!$A$1:$U$489,9,FALSE),0)</f>
        <v>456.630859375</v>
      </c>
      <c r="FC203" s="417">
        <f>IFERROR(VLOOKUP(H203,CEI_062018!$A$1:$U$489,9,FALSE),0)</f>
        <v>810.03533935546875</v>
      </c>
      <c r="FD203" s="417">
        <f>IFERROR(VLOOKUP(H203,CEI_072018!$A$1:$U$489,9,FALSE),0)</f>
        <v>1082.6935119628906</v>
      </c>
      <c r="FE203" s="417">
        <f>IFERROR(VLOOKUP(H203,CEI_082018!$A$1:$U$489,9,FALSE),0)</f>
        <v>1291.7284393310547</v>
      </c>
      <c r="FF203" s="417">
        <f>IFERROR(VLOOKUP(H203,CEI_092018!$A$1:$U$489,9,FALSE),0)</f>
        <v>1300.3866891860962</v>
      </c>
      <c r="FG203" s="417"/>
      <c r="FH203" s="417"/>
      <c r="FI203" s="417"/>
      <c r="FJ203" s="418">
        <f>IFERROR(VLOOKUP(H203,CEI_092018!$A$1:$U$489,12,FALSE),0)</f>
        <v>71.105120658874512</v>
      </c>
      <c r="FK203" s="418">
        <f t="shared" si="70"/>
        <v>1371.4918098449707</v>
      </c>
      <c r="FL203" s="418">
        <f t="shared" si="71"/>
        <v>2395.3180994860841</v>
      </c>
      <c r="FM203" s="417"/>
      <c r="FN203" s="417"/>
      <c r="FO203" s="417"/>
      <c r="FP203" s="417"/>
      <c r="FQ203" s="417"/>
      <c r="FR203" s="417"/>
      <c r="FS203" s="417"/>
      <c r="FT203" s="417"/>
      <c r="FU203" s="417"/>
      <c r="FV203" s="417"/>
      <c r="FW203" s="417"/>
      <c r="FX203" s="417"/>
      <c r="FY203" s="418"/>
      <c r="FZ203" s="418"/>
      <c r="GA203" s="418"/>
      <c r="GB203" s="417"/>
      <c r="GC203" s="417"/>
      <c r="GD203" s="417"/>
      <c r="GE203" s="417"/>
      <c r="GF203" s="417"/>
      <c r="GG203" s="417"/>
      <c r="GH203" s="417"/>
      <c r="GI203" s="417"/>
      <c r="GJ203" s="417"/>
      <c r="GK203" s="417"/>
      <c r="GL203" s="417"/>
      <c r="GM203" s="417"/>
      <c r="GN203" s="418"/>
      <c r="GO203" s="418"/>
      <c r="GP203" s="418"/>
      <c r="GQ203" s="417"/>
      <c r="GR203" s="417"/>
      <c r="GS203" s="417"/>
      <c r="GT203" s="417"/>
      <c r="GU203" s="417"/>
      <c r="GV203" s="417"/>
      <c r="GW203" s="417"/>
      <c r="GX203" s="417"/>
      <c r="GY203" s="417"/>
      <c r="GZ203" s="417"/>
      <c r="HA203" s="417"/>
      <c r="HB203" s="417"/>
      <c r="HC203" s="418"/>
      <c r="HD203" s="418"/>
      <c r="HE203" s="418"/>
      <c r="HF203" s="417"/>
      <c r="HG203" s="417"/>
      <c r="HH203" s="417"/>
      <c r="HI203" s="417"/>
      <c r="HJ203" s="417"/>
      <c r="HK203" s="417"/>
      <c r="HL203" s="417"/>
      <c r="HM203" s="417"/>
      <c r="HN203" s="417"/>
      <c r="HO203" s="417"/>
      <c r="HP203" s="417"/>
      <c r="HQ203" s="417"/>
      <c r="HR203" s="418"/>
      <c r="HS203" s="418"/>
      <c r="HT203" s="418"/>
    </row>
    <row r="204" spans="1:228" s="387" customFormat="1" ht="12.75" customHeight="1" x14ac:dyDescent="0.2">
      <c r="A204" s="406" t="s">
        <v>55</v>
      </c>
      <c r="B204" s="407" t="s">
        <v>42</v>
      </c>
      <c r="C204" s="406" t="s">
        <v>1000</v>
      </c>
      <c r="D204" s="407" t="s">
        <v>1004</v>
      </c>
      <c r="E204" s="407" t="s">
        <v>1000</v>
      </c>
      <c r="F204" s="407" t="s">
        <v>1004</v>
      </c>
      <c r="G204" s="406" t="s">
        <v>54</v>
      </c>
      <c r="H204" s="408" t="s">
        <v>520</v>
      </c>
      <c r="I204" s="408" t="s">
        <v>57</v>
      </c>
      <c r="J204" s="406" t="s">
        <v>1079</v>
      </c>
      <c r="K204" s="406" t="s">
        <v>734</v>
      </c>
      <c r="L204" s="406" t="s">
        <v>735</v>
      </c>
      <c r="M204" s="406" t="s">
        <v>1778</v>
      </c>
      <c r="N204" s="452">
        <v>0</v>
      </c>
      <c r="O204" s="452">
        <v>0</v>
      </c>
      <c r="P204" s="452">
        <v>0</v>
      </c>
      <c r="Q204" s="452">
        <v>0</v>
      </c>
      <c r="R204" s="452">
        <v>0</v>
      </c>
      <c r="S204" s="452">
        <v>0</v>
      </c>
      <c r="T204" s="452">
        <v>0</v>
      </c>
      <c r="U204" s="409">
        <v>0</v>
      </c>
      <c r="V204" s="409">
        <v>0</v>
      </c>
      <c r="W204" s="409">
        <v>0</v>
      </c>
      <c r="X204" s="409">
        <v>0</v>
      </c>
      <c r="Y204" s="409">
        <v>0</v>
      </c>
      <c r="Z204" s="453">
        <f t="shared" si="83"/>
        <v>0</v>
      </c>
      <c r="AA204" s="452">
        <v>0</v>
      </c>
      <c r="AB204" s="452">
        <v>0</v>
      </c>
      <c r="AC204" s="452">
        <v>0</v>
      </c>
      <c r="AD204" s="452">
        <v>0</v>
      </c>
      <c r="AE204" s="452">
        <v>0</v>
      </c>
      <c r="AF204" s="452">
        <v>0</v>
      </c>
      <c r="AG204" s="452">
        <v>0</v>
      </c>
      <c r="AH204" s="409">
        <v>0</v>
      </c>
      <c r="AI204" s="409">
        <v>0</v>
      </c>
      <c r="AJ204" s="409">
        <v>50</v>
      </c>
      <c r="AK204" s="409">
        <v>79</v>
      </c>
      <c r="AL204" s="409">
        <v>150</v>
      </c>
      <c r="AM204" s="453">
        <f t="shared" si="78"/>
        <v>279</v>
      </c>
      <c r="AN204" s="452">
        <v>0</v>
      </c>
      <c r="AO204" s="452">
        <v>0</v>
      </c>
      <c r="AP204" s="452">
        <v>20</v>
      </c>
      <c r="AQ204" s="452">
        <v>0</v>
      </c>
      <c r="AR204" s="452">
        <v>50</v>
      </c>
      <c r="AS204" s="452">
        <v>0</v>
      </c>
      <c r="AT204" s="452">
        <v>50</v>
      </c>
      <c r="AU204" s="409">
        <v>0</v>
      </c>
      <c r="AV204" s="409">
        <v>50</v>
      </c>
      <c r="AW204" s="409">
        <v>50</v>
      </c>
      <c r="AX204" s="409">
        <v>50</v>
      </c>
      <c r="AY204" s="409">
        <v>50</v>
      </c>
      <c r="AZ204" s="453">
        <f t="shared" si="79"/>
        <v>320</v>
      </c>
      <c r="BA204" s="452">
        <v>20</v>
      </c>
      <c r="BB204" s="452">
        <v>20</v>
      </c>
      <c r="BC204" s="452">
        <v>20</v>
      </c>
      <c r="BD204" s="452">
        <v>20</v>
      </c>
      <c r="BE204" s="452">
        <v>20</v>
      </c>
      <c r="BF204" s="452">
        <v>20</v>
      </c>
      <c r="BG204" s="452">
        <v>20</v>
      </c>
      <c r="BH204" s="409">
        <v>20</v>
      </c>
      <c r="BI204" s="409">
        <v>20</v>
      </c>
      <c r="BJ204" s="409">
        <v>20</v>
      </c>
      <c r="BK204" s="409">
        <v>20</v>
      </c>
      <c r="BL204" s="409">
        <v>60</v>
      </c>
      <c r="BM204" s="453">
        <f t="shared" si="80"/>
        <v>280</v>
      </c>
      <c r="BN204" s="452">
        <v>25</v>
      </c>
      <c r="BO204" s="452">
        <v>25</v>
      </c>
      <c r="BP204" s="452">
        <v>25</v>
      </c>
      <c r="BQ204" s="452">
        <v>25</v>
      </c>
      <c r="BR204" s="452">
        <v>25</v>
      </c>
      <c r="BS204" s="452">
        <v>25</v>
      </c>
      <c r="BT204" s="452">
        <v>25</v>
      </c>
      <c r="BU204" s="409">
        <v>25</v>
      </c>
      <c r="BV204" s="409">
        <v>25</v>
      </c>
      <c r="BW204" s="409">
        <v>25</v>
      </c>
      <c r="BX204" s="409">
        <v>50</v>
      </c>
      <c r="BY204" s="409">
        <v>50</v>
      </c>
      <c r="BZ204" s="453">
        <f t="shared" si="81"/>
        <v>350</v>
      </c>
      <c r="CA204" s="454">
        <f t="shared" si="82"/>
        <v>1229</v>
      </c>
      <c r="CB204" s="411"/>
      <c r="CC204" s="411"/>
      <c r="CD204" s="411"/>
      <c r="CE204" s="411"/>
      <c r="CF204" s="411"/>
      <c r="CG204" s="412"/>
      <c r="CH204" s="413"/>
      <c r="CI204" s="414" t="s">
        <v>1621</v>
      </c>
      <c r="CJ204" s="415">
        <v>0</v>
      </c>
      <c r="CK204" s="415">
        <v>0</v>
      </c>
      <c r="CL204" s="415">
        <v>0</v>
      </c>
      <c r="CM204" s="415">
        <v>0</v>
      </c>
      <c r="CN204" s="415">
        <v>0</v>
      </c>
      <c r="CO204" s="415">
        <v>0</v>
      </c>
      <c r="CP204" s="415">
        <v>0</v>
      </c>
      <c r="CQ204" s="415">
        <v>0</v>
      </c>
      <c r="CR204" s="415">
        <v>0</v>
      </c>
      <c r="CS204" s="415">
        <v>0</v>
      </c>
      <c r="CT204" s="415">
        <v>0</v>
      </c>
      <c r="CU204" s="415">
        <v>0</v>
      </c>
      <c r="CV204" s="410">
        <f t="shared" si="72"/>
        <v>0</v>
      </c>
      <c r="CW204" s="415">
        <v>0</v>
      </c>
      <c r="CX204" s="415">
        <v>0</v>
      </c>
      <c r="CY204" s="415">
        <v>0</v>
      </c>
      <c r="CZ204" s="415">
        <v>0</v>
      </c>
      <c r="DA204" s="415">
        <v>0</v>
      </c>
      <c r="DB204" s="415">
        <v>0</v>
      </c>
      <c r="DC204" s="415">
        <v>0</v>
      </c>
      <c r="DD204" s="415">
        <v>0</v>
      </c>
      <c r="DE204" s="415">
        <v>0</v>
      </c>
      <c r="DF204" s="415">
        <v>0</v>
      </c>
      <c r="DG204" s="415">
        <v>0</v>
      </c>
      <c r="DH204" s="415">
        <v>1</v>
      </c>
      <c r="DI204" s="410">
        <f t="shared" si="73"/>
        <v>1</v>
      </c>
      <c r="DJ204" s="415">
        <v>0</v>
      </c>
      <c r="DK204" s="415">
        <v>0</v>
      </c>
      <c r="DL204" s="415">
        <v>0</v>
      </c>
      <c r="DM204" s="415">
        <v>0</v>
      </c>
      <c r="DN204" s="415">
        <v>0</v>
      </c>
      <c r="DO204" s="415">
        <v>1</v>
      </c>
      <c r="DP204" s="415">
        <v>0</v>
      </c>
      <c r="DQ204" s="415">
        <v>0</v>
      </c>
      <c r="DR204" s="415">
        <v>0</v>
      </c>
      <c r="DS204" s="415">
        <v>0</v>
      </c>
      <c r="DT204" s="415">
        <v>0</v>
      </c>
      <c r="DU204" s="415">
        <v>0</v>
      </c>
      <c r="DV204" s="410">
        <f t="shared" si="74"/>
        <v>1</v>
      </c>
      <c r="DW204" s="415">
        <v>0</v>
      </c>
      <c r="DX204" s="415">
        <v>0</v>
      </c>
      <c r="DY204" s="415">
        <v>0</v>
      </c>
      <c r="DZ204" s="415">
        <v>0</v>
      </c>
      <c r="EA204" s="415">
        <v>0</v>
      </c>
      <c r="EB204" s="415">
        <v>0</v>
      </c>
      <c r="EC204" s="415">
        <v>0</v>
      </c>
      <c r="ED204" s="415">
        <v>0</v>
      </c>
      <c r="EE204" s="415">
        <v>0</v>
      </c>
      <c r="EF204" s="415">
        <v>0</v>
      </c>
      <c r="EG204" s="415">
        <v>0</v>
      </c>
      <c r="EH204" s="415">
        <v>0</v>
      </c>
      <c r="EI204" s="410">
        <f t="shared" si="75"/>
        <v>0</v>
      </c>
      <c r="EJ204" s="415">
        <v>0</v>
      </c>
      <c r="EK204" s="415">
        <v>0</v>
      </c>
      <c r="EL204" s="415">
        <v>0</v>
      </c>
      <c r="EM204" s="415">
        <v>0</v>
      </c>
      <c r="EN204" s="415">
        <v>0</v>
      </c>
      <c r="EO204" s="415">
        <v>0</v>
      </c>
      <c r="EP204" s="415">
        <v>0</v>
      </c>
      <c r="EQ204" s="415">
        <v>0</v>
      </c>
      <c r="ER204" s="415">
        <v>0</v>
      </c>
      <c r="ES204" s="415">
        <v>0</v>
      </c>
      <c r="ET204" s="415">
        <v>0</v>
      </c>
      <c r="EU204" s="415">
        <v>0</v>
      </c>
      <c r="EV204" s="410">
        <f t="shared" si="76"/>
        <v>0</v>
      </c>
      <c r="EW204" s="416">
        <f t="shared" si="77"/>
        <v>2</v>
      </c>
      <c r="EX204" s="417">
        <f>IFERROR(VLOOKUP(H204,CEI_012018!$A$1:$U$509,9,FALSE),0)</f>
        <v>0</v>
      </c>
      <c r="EY204" s="417">
        <f>IFERROR(VLOOKUP(H204,CEI_022018!$A$1:$U$509,9,FALSE),0)</f>
        <v>0</v>
      </c>
      <c r="EZ204" s="417">
        <f>IFERROR(VLOOKUP(H204,CEI_032018!$A$1:$U$509,9,FALSE),0)</f>
        <v>0</v>
      </c>
      <c r="FA204" s="417">
        <f>IFERROR(VLOOKUP(H204,CEI_042018!$A$1:$U$491,9,FALSE),0)</f>
        <v>0</v>
      </c>
      <c r="FB204" s="417">
        <f>IFERROR(VLOOKUP(H204,CEI_052018!$A$1:$U$489,9,FALSE),0)</f>
        <v>0</v>
      </c>
      <c r="FC204" s="417">
        <f>IFERROR(VLOOKUP(H204,CEI_062018!$A$1:$U$489,9,FALSE),0)</f>
        <v>0</v>
      </c>
      <c r="FD204" s="417">
        <f>IFERROR(VLOOKUP(H204,CEI_072018!$A$1:$U$489,9,FALSE),0)</f>
        <v>0</v>
      </c>
      <c r="FE204" s="417">
        <f>IFERROR(VLOOKUP(H204,CEI_082018!$A$1:$U$489,9,FALSE),0)</f>
        <v>0</v>
      </c>
      <c r="FF204" s="417">
        <f>IFERROR(VLOOKUP(H204,CEI_092018!$A$1:$U$489,9,FALSE),0)</f>
        <v>0</v>
      </c>
      <c r="FG204" s="417"/>
      <c r="FH204" s="417"/>
      <c r="FI204" s="417"/>
      <c r="FJ204" s="418">
        <f>IFERROR(VLOOKUP(H204,CEI_092018!$A$1:$U$489,12,FALSE),0)</f>
        <v>0</v>
      </c>
      <c r="FK204" s="418">
        <f t="shared" si="70"/>
        <v>0</v>
      </c>
      <c r="FL204" s="418">
        <f t="shared" si="71"/>
        <v>0</v>
      </c>
      <c r="FM204" s="417"/>
      <c r="FN204" s="417"/>
      <c r="FO204" s="417"/>
      <c r="FP204" s="417"/>
      <c r="FQ204" s="417"/>
      <c r="FR204" s="417"/>
      <c r="FS204" s="417"/>
      <c r="FT204" s="417"/>
      <c r="FU204" s="417"/>
      <c r="FV204" s="417"/>
      <c r="FW204" s="417"/>
      <c r="FX204" s="417"/>
      <c r="FY204" s="418"/>
      <c r="FZ204" s="418"/>
      <c r="GA204" s="418"/>
      <c r="GB204" s="417"/>
      <c r="GC204" s="417"/>
      <c r="GD204" s="417"/>
      <c r="GE204" s="417"/>
      <c r="GF204" s="417"/>
      <c r="GG204" s="417"/>
      <c r="GH204" s="417"/>
      <c r="GI204" s="417"/>
      <c r="GJ204" s="417"/>
      <c r="GK204" s="417"/>
      <c r="GL204" s="417"/>
      <c r="GM204" s="417"/>
      <c r="GN204" s="418"/>
      <c r="GO204" s="418"/>
      <c r="GP204" s="418"/>
      <c r="GQ204" s="417"/>
      <c r="GR204" s="417"/>
      <c r="GS204" s="417"/>
      <c r="GT204" s="417"/>
      <c r="GU204" s="417"/>
      <c r="GV204" s="417"/>
      <c r="GW204" s="417"/>
      <c r="GX204" s="417"/>
      <c r="GY204" s="417"/>
      <c r="GZ204" s="417"/>
      <c r="HA204" s="417"/>
      <c r="HB204" s="417"/>
      <c r="HC204" s="418"/>
      <c r="HD204" s="418"/>
      <c r="HE204" s="418"/>
      <c r="HF204" s="417"/>
      <c r="HG204" s="417"/>
      <c r="HH204" s="417"/>
      <c r="HI204" s="417"/>
      <c r="HJ204" s="417"/>
      <c r="HK204" s="417"/>
      <c r="HL204" s="417"/>
      <c r="HM204" s="417"/>
      <c r="HN204" s="417"/>
      <c r="HO204" s="417"/>
      <c r="HP204" s="417"/>
      <c r="HQ204" s="417"/>
      <c r="HR204" s="418"/>
      <c r="HS204" s="418"/>
      <c r="HT204" s="418"/>
    </row>
    <row r="205" spans="1:228" s="387" customFormat="1" ht="12.75" customHeight="1" x14ac:dyDescent="0.2">
      <c r="A205" s="406" t="s">
        <v>55</v>
      </c>
      <c r="B205" s="407" t="s">
        <v>42</v>
      </c>
      <c r="C205" s="406" t="s">
        <v>1000</v>
      </c>
      <c r="D205" s="407" t="s">
        <v>1004</v>
      </c>
      <c r="E205" s="407" t="s">
        <v>1000</v>
      </c>
      <c r="F205" s="407" t="s">
        <v>1004</v>
      </c>
      <c r="G205" s="406" t="s">
        <v>54</v>
      </c>
      <c r="H205" s="408" t="s">
        <v>1084</v>
      </c>
      <c r="I205" s="408" t="s">
        <v>1322</v>
      </c>
      <c r="J205" s="406" t="s">
        <v>1085</v>
      </c>
      <c r="K205" s="406" t="s">
        <v>700</v>
      </c>
      <c r="L205" s="406" t="s">
        <v>1086</v>
      </c>
      <c r="M205" s="406" t="s">
        <v>1786</v>
      </c>
      <c r="N205" s="452">
        <v>0</v>
      </c>
      <c r="O205" s="452">
        <v>0</v>
      </c>
      <c r="P205" s="452">
        <v>0</v>
      </c>
      <c r="Q205" s="452">
        <v>11.423999786376953</v>
      </c>
      <c r="R205" s="452">
        <v>0</v>
      </c>
      <c r="S205" s="452">
        <v>0</v>
      </c>
      <c r="T205" s="452">
        <v>48.900001525878906</v>
      </c>
      <c r="U205" s="409">
        <v>0</v>
      </c>
      <c r="V205" s="409">
        <v>42.576000000000001</v>
      </c>
      <c r="W205" s="409">
        <v>54</v>
      </c>
      <c r="X205" s="409">
        <v>0</v>
      </c>
      <c r="Y205" s="409">
        <v>59.1</v>
      </c>
      <c r="Z205" s="453">
        <f t="shared" si="83"/>
        <v>216.00000131225585</v>
      </c>
      <c r="AA205" s="452">
        <v>0</v>
      </c>
      <c r="AB205" s="452">
        <v>0</v>
      </c>
      <c r="AC205" s="452">
        <v>36</v>
      </c>
      <c r="AD205" s="452">
        <v>0</v>
      </c>
      <c r="AE205" s="452">
        <v>0</v>
      </c>
      <c r="AF205" s="452">
        <v>36</v>
      </c>
      <c r="AG205" s="452">
        <v>0</v>
      </c>
      <c r="AH205" s="409">
        <v>0</v>
      </c>
      <c r="AI205" s="409">
        <v>36</v>
      </c>
      <c r="AJ205" s="409">
        <v>0</v>
      </c>
      <c r="AK205" s="409">
        <v>0</v>
      </c>
      <c r="AL205" s="409">
        <v>36</v>
      </c>
      <c r="AM205" s="453">
        <f t="shared" si="78"/>
        <v>144</v>
      </c>
      <c r="AN205" s="452">
        <v>0</v>
      </c>
      <c r="AO205" s="452">
        <v>8</v>
      </c>
      <c r="AP205" s="452">
        <v>10</v>
      </c>
      <c r="AQ205" s="452">
        <v>10</v>
      </c>
      <c r="AR205" s="452">
        <v>10</v>
      </c>
      <c r="AS205" s="452">
        <v>10</v>
      </c>
      <c r="AT205" s="452">
        <v>10</v>
      </c>
      <c r="AU205" s="409">
        <v>10</v>
      </c>
      <c r="AV205" s="409">
        <v>10</v>
      </c>
      <c r="AW205" s="409">
        <v>10</v>
      </c>
      <c r="AX205" s="409">
        <v>10</v>
      </c>
      <c r="AY205" s="409">
        <v>10</v>
      </c>
      <c r="AZ205" s="453">
        <f t="shared" si="79"/>
        <v>108</v>
      </c>
      <c r="BA205" s="452">
        <v>25</v>
      </c>
      <c r="BB205" s="452">
        <v>25</v>
      </c>
      <c r="BC205" s="452">
        <v>10</v>
      </c>
      <c r="BD205" s="452">
        <v>10</v>
      </c>
      <c r="BE205" s="452">
        <v>10</v>
      </c>
      <c r="BF205" s="452">
        <v>10</v>
      </c>
      <c r="BG205" s="452">
        <v>10</v>
      </c>
      <c r="BH205" s="409">
        <v>10</v>
      </c>
      <c r="BI205" s="409">
        <v>10</v>
      </c>
      <c r="BJ205" s="409">
        <v>10</v>
      </c>
      <c r="BK205" s="409">
        <v>10</v>
      </c>
      <c r="BL205" s="409">
        <v>10</v>
      </c>
      <c r="BM205" s="453">
        <f t="shared" si="80"/>
        <v>150</v>
      </c>
      <c r="BN205" s="452">
        <v>0</v>
      </c>
      <c r="BO205" s="452">
        <v>0</v>
      </c>
      <c r="BP205" s="452">
        <v>10</v>
      </c>
      <c r="BQ205" s="452">
        <v>10</v>
      </c>
      <c r="BR205" s="452">
        <v>10</v>
      </c>
      <c r="BS205" s="452">
        <v>10</v>
      </c>
      <c r="BT205" s="452">
        <v>10</v>
      </c>
      <c r="BU205" s="409">
        <v>10</v>
      </c>
      <c r="BV205" s="409">
        <v>10</v>
      </c>
      <c r="BW205" s="409">
        <v>10</v>
      </c>
      <c r="BX205" s="409">
        <v>10</v>
      </c>
      <c r="BY205" s="409">
        <v>10</v>
      </c>
      <c r="BZ205" s="453">
        <f t="shared" si="81"/>
        <v>100</v>
      </c>
      <c r="CA205" s="454">
        <f t="shared" si="82"/>
        <v>718.00000131225579</v>
      </c>
      <c r="CB205" s="419"/>
      <c r="CC205" s="419">
        <v>1</v>
      </c>
      <c r="CD205" s="419">
        <v>1</v>
      </c>
      <c r="CE205" s="419">
        <v>1</v>
      </c>
      <c r="CF205" s="419">
        <v>1</v>
      </c>
      <c r="CG205" s="420">
        <f>IFERROR((FE205/Z205%),0)</f>
        <v>27.927778215635168</v>
      </c>
      <c r="CH205" s="421">
        <f>IFERROR((FK205/Z205%),0)</f>
        <v>99.999997626410618</v>
      </c>
      <c r="CI205" s="414" t="s">
        <v>1622</v>
      </c>
      <c r="CJ205" s="415">
        <v>0</v>
      </c>
      <c r="CK205" s="415">
        <v>0</v>
      </c>
      <c r="CL205" s="415">
        <v>0</v>
      </c>
      <c r="CM205" s="415">
        <v>19.04</v>
      </c>
      <c r="CN205" s="415">
        <v>0</v>
      </c>
      <c r="CO205" s="415">
        <v>0</v>
      </c>
      <c r="CP205" s="415">
        <v>90</v>
      </c>
      <c r="CQ205" s="415">
        <v>0</v>
      </c>
      <c r="CR205" s="415">
        <v>70.960000000000008</v>
      </c>
      <c r="CS205" s="415">
        <v>90</v>
      </c>
      <c r="CT205" s="415">
        <v>0</v>
      </c>
      <c r="CU205" s="415">
        <v>90</v>
      </c>
      <c r="CV205" s="410">
        <f t="shared" si="72"/>
        <v>360</v>
      </c>
      <c r="CW205" s="415">
        <v>0</v>
      </c>
      <c r="CX205" s="415">
        <v>0</v>
      </c>
      <c r="CY205" s="415">
        <v>60</v>
      </c>
      <c r="CZ205" s="415">
        <v>0</v>
      </c>
      <c r="DA205" s="415">
        <v>0</v>
      </c>
      <c r="DB205" s="415">
        <v>60</v>
      </c>
      <c r="DC205" s="415">
        <v>0</v>
      </c>
      <c r="DD205" s="415">
        <v>0</v>
      </c>
      <c r="DE205" s="415">
        <v>60</v>
      </c>
      <c r="DF205" s="415">
        <v>0</v>
      </c>
      <c r="DG205" s="415">
        <v>0</v>
      </c>
      <c r="DH205" s="415">
        <v>60</v>
      </c>
      <c r="DI205" s="410">
        <f t="shared" si="73"/>
        <v>240</v>
      </c>
      <c r="DJ205" s="415">
        <v>0</v>
      </c>
      <c r="DK205" s="415">
        <v>13.333333333333334</v>
      </c>
      <c r="DL205" s="415">
        <v>16.666666666666668</v>
      </c>
      <c r="DM205" s="415">
        <v>16.666666666666668</v>
      </c>
      <c r="DN205" s="415">
        <v>16.666666666666668</v>
      </c>
      <c r="DO205" s="415">
        <v>16.666666666666668</v>
      </c>
      <c r="DP205" s="415">
        <v>16.666666666666668</v>
      </c>
      <c r="DQ205" s="415">
        <v>16.666666666666668</v>
      </c>
      <c r="DR205" s="415">
        <v>16.666666666666668</v>
      </c>
      <c r="DS205" s="415">
        <v>16.666666666666668</v>
      </c>
      <c r="DT205" s="415">
        <v>16.666666666666668</v>
      </c>
      <c r="DU205" s="415">
        <v>16.666666666666668</v>
      </c>
      <c r="DV205" s="410">
        <f t="shared" si="74"/>
        <v>180</v>
      </c>
      <c r="DW205" s="415">
        <v>41.666666666666671</v>
      </c>
      <c r="DX205" s="415">
        <v>41.666666666666671</v>
      </c>
      <c r="DY205" s="415">
        <v>16.666666666666668</v>
      </c>
      <c r="DZ205" s="415">
        <v>16.666666666666668</v>
      </c>
      <c r="EA205" s="415">
        <v>16.666666666666668</v>
      </c>
      <c r="EB205" s="415">
        <v>16.666666666666668</v>
      </c>
      <c r="EC205" s="415">
        <v>16.666666666666668</v>
      </c>
      <c r="ED205" s="415">
        <v>16.666666666666668</v>
      </c>
      <c r="EE205" s="415">
        <v>16.666666666666668</v>
      </c>
      <c r="EF205" s="415">
        <v>16.666666666666668</v>
      </c>
      <c r="EG205" s="415">
        <v>16.666666666666668</v>
      </c>
      <c r="EH205" s="415">
        <v>16.666666666666668</v>
      </c>
      <c r="EI205" s="410">
        <f t="shared" si="75"/>
        <v>249.99999999999994</v>
      </c>
      <c r="EJ205" s="415">
        <v>0</v>
      </c>
      <c r="EK205" s="415">
        <v>0</v>
      </c>
      <c r="EL205" s="415">
        <v>16.666666666666668</v>
      </c>
      <c r="EM205" s="415">
        <v>16.666666666666668</v>
      </c>
      <c r="EN205" s="415">
        <v>16.666666666666668</v>
      </c>
      <c r="EO205" s="415">
        <v>16.666666666666668</v>
      </c>
      <c r="EP205" s="415">
        <v>16.666666666666668</v>
      </c>
      <c r="EQ205" s="415">
        <v>16.666666666666668</v>
      </c>
      <c r="ER205" s="415">
        <v>16.666666666666668</v>
      </c>
      <c r="ES205" s="415">
        <v>16.666666666666668</v>
      </c>
      <c r="ET205" s="415">
        <v>16.666666666666668</v>
      </c>
      <c r="EU205" s="415">
        <v>16.666666666666668</v>
      </c>
      <c r="EV205" s="410">
        <f t="shared" si="76"/>
        <v>166.66666666666666</v>
      </c>
      <c r="EW205" s="416">
        <f t="shared" si="77"/>
        <v>1196.6666666666665</v>
      </c>
      <c r="EX205" s="417">
        <f>IFERROR(VLOOKUP(H205,CEI_012018!$A$1:$U$509,9,FALSE),0)</f>
        <v>0</v>
      </c>
      <c r="EY205" s="417">
        <f>IFERROR(VLOOKUP(H205,CEI_022018!$A$1:$U$509,9,FALSE),0)</f>
        <v>0</v>
      </c>
      <c r="EZ205" s="417">
        <f>IFERROR(VLOOKUP(H205,CEI_032018!$A$1:$U$509,9,FALSE),0)</f>
        <v>0</v>
      </c>
      <c r="FA205" s="417">
        <f>IFERROR(VLOOKUP(H205,CEI_042018!$A$1:$U$491,9,FALSE),0)</f>
        <v>11.423999786376953</v>
      </c>
      <c r="FB205" s="417">
        <f>IFERROR(VLOOKUP(H205,CEI_052018!$A$1:$U$489,9,FALSE),0)</f>
        <v>11.423999786376953</v>
      </c>
      <c r="FC205" s="417">
        <f>IFERROR(VLOOKUP(H205,CEI_062018!$A$1:$U$489,9,FALSE),0)</f>
        <v>11.423999786376953</v>
      </c>
      <c r="FD205" s="417">
        <f>IFERROR(VLOOKUP(H205,CEI_072018!$A$1:$U$489,9,FALSE),0)</f>
        <v>60.324001312255859</v>
      </c>
      <c r="FE205" s="417">
        <f>IFERROR(VLOOKUP(H205,CEI_082018!$A$1:$U$489,9,FALSE),0)</f>
        <v>60.324001312255859</v>
      </c>
      <c r="FF205" s="417">
        <f>IFERROR(VLOOKUP(H205,CEI_092018!$A$1:$U$489,9,FALSE),0)</f>
        <v>60.324001312255859</v>
      </c>
      <c r="FG205" s="417"/>
      <c r="FH205" s="417"/>
      <c r="FI205" s="417"/>
      <c r="FJ205" s="418">
        <f>IFERROR(VLOOKUP(H205,CEI_092018!$A$1:$U$489,12,FALSE),0)</f>
        <v>155.67599487304687</v>
      </c>
      <c r="FK205" s="418">
        <f t="shared" si="70"/>
        <v>215.99999618530273</v>
      </c>
      <c r="FL205" s="418">
        <f t="shared" si="71"/>
        <v>5.1269531127218215E-6</v>
      </c>
      <c r="FM205" s="417"/>
      <c r="FN205" s="417"/>
      <c r="FO205" s="417"/>
      <c r="FP205" s="417"/>
      <c r="FQ205" s="417"/>
      <c r="FR205" s="417"/>
      <c r="FS205" s="417"/>
      <c r="FT205" s="417"/>
      <c r="FU205" s="417"/>
      <c r="FV205" s="417"/>
      <c r="FW205" s="417"/>
      <c r="FX205" s="417"/>
      <c r="FY205" s="418"/>
      <c r="FZ205" s="418"/>
      <c r="GA205" s="418"/>
      <c r="GB205" s="417"/>
      <c r="GC205" s="417"/>
      <c r="GD205" s="417"/>
      <c r="GE205" s="417"/>
      <c r="GF205" s="417"/>
      <c r="GG205" s="417"/>
      <c r="GH205" s="417"/>
      <c r="GI205" s="417"/>
      <c r="GJ205" s="417"/>
      <c r="GK205" s="417"/>
      <c r="GL205" s="417"/>
      <c r="GM205" s="417"/>
      <c r="GN205" s="418"/>
      <c r="GO205" s="418"/>
      <c r="GP205" s="418"/>
      <c r="GQ205" s="417"/>
      <c r="GR205" s="417"/>
      <c r="GS205" s="417"/>
      <c r="GT205" s="417"/>
      <c r="GU205" s="417"/>
      <c r="GV205" s="417"/>
      <c r="GW205" s="417"/>
      <c r="GX205" s="417"/>
      <c r="GY205" s="417"/>
      <c r="GZ205" s="417"/>
      <c r="HA205" s="417"/>
      <c r="HB205" s="417"/>
      <c r="HC205" s="418"/>
      <c r="HD205" s="418"/>
      <c r="HE205" s="418"/>
      <c r="HF205" s="417"/>
      <c r="HG205" s="417"/>
      <c r="HH205" s="417"/>
      <c r="HI205" s="417"/>
      <c r="HJ205" s="417"/>
      <c r="HK205" s="417"/>
      <c r="HL205" s="417"/>
      <c r="HM205" s="417"/>
      <c r="HN205" s="417"/>
      <c r="HO205" s="417"/>
      <c r="HP205" s="417"/>
      <c r="HQ205" s="417"/>
      <c r="HR205" s="418"/>
      <c r="HS205" s="418"/>
      <c r="HT205" s="418"/>
    </row>
    <row r="206" spans="1:228" s="387" customFormat="1" ht="12.75" customHeight="1" x14ac:dyDescent="0.2">
      <c r="A206" s="406" t="s">
        <v>55</v>
      </c>
      <c r="B206" s="407" t="s">
        <v>42</v>
      </c>
      <c r="C206" s="406" t="s">
        <v>1000</v>
      </c>
      <c r="D206" s="407" t="s">
        <v>1006</v>
      </c>
      <c r="E206" s="407" t="s">
        <v>1000</v>
      </c>
      <c r="F206" s="407" t="s">
        <v>1006</v>
      </c>
      <c r="G206" s="406" t="s">
        <v>54</v>
      </c>
      <c r="H206" s="408" t="s">
        <v>1102</v>
      </c>
      <c r="I206" s="408" t="s">
        <v>1320</v>
      </c>
      <c r="J206" s="406" t="s">
        <v>310</v>
      </c>
      <c r="K206" s="406" t="s">
        <v>311</v>
      </c>
      <c r="L206" s="406" t="s">
        <v>312</v>
      </c>
      <c r="M206" s="406" t="s">
        <v>1770</v>
      </c>
      <c r="N206" s="452">
        <v>0</v>
      </c>
      <c r="O206" s="452">
        <v>0</v>
      </c>
      <c r="P206" s="452">
        <v>52.127998352050781</v>
      </c>
      <c r="Q206" s="452">
        <v>0</v>
      </c>
      <c r="R206" s="452">
        <v>44.687999725341797</v>
      </c>
      <c r="S206" s="452">
        <v>0</v>
      </c>
      <c r="T206" s="452">
        <v>50.304000854492188</v>
      </c>
      <c r="U206" s="409">
        <v>28.511999130249023</v>
      </c>
      <c r="V206" s="409">
        <v>0</v>
      </c>
      <c r="W206" s="409">
        <v>16.488</v>
      </c>
      <c r="X206" s="409">
        <v>0</v>
      </c>
      <c r="Y206" s="409">
        <v>20.695999999999998</v>
      </c>
      <c r="Z206" s="453">
        <f t="shared" si="83"/>
        <v>212.81599806213379</v>
      </c>
      <c r="AA206" s="452">
        <v>50</v>
      </c>
      <c r="AB206" s="452">
        <v>50</v>
      </c>
      <c r="AC206" s="452">
        <v>50</v>
      </c>
      <c r="AD206" s="452">
        <v>50</v>
      </c>
      <c r="AE206" s="452">
        <v>87</v>
      </c>
      <c r="AF206" s="452">
        <v>0</v>
      </c>
      <c r="AG206" s="452">
        <v>150</v>
      </c>
      <c r="AH206" s="409">
        <v>100</v>
      </c>
      <c r="AI206" s="409">
        <v>0</v>
      </c>
      <c r="AJ206" s="409">
        <v>0</v>
      </c>
      <c r="AK206" s="409">
        <v>0</v>
      </c>
      <c r="AL206" s="409">
        <v>0</v>
      </c>
      <c r="AM206" s="453">
        <f t="shared" si="78"/>
        <v>537</v>
      </c>
      <c r="AN206" s="452">
        <v>0</v>
      </c>
      <c r="AO206" s="452">
        <v>0</v>
      </c>
      <c r="AP206" s="452">
        <v>0</v>
      </c>
      <c r="AQ206" s="452">
        <v>0</v>
      </c>
      <c r="AR206" s="452">
        <v>0</v>
      </c>
      <c r="AS206" s="452">
        <v>0</v>
      </c>
      <c r="AT206" s="452">
        <v>0</v>
      </c>
      <c r="AU206" s="409">
        <v>0</v>
      </c>
      <c r="AV206" s="409">
        <v>0</v>
      </c>
      <c r="AW206" s="409">
        <v>0</v>
      </c>
      <c r="AX206" s="409">
        <v>0</v>
      </c>
      <c r="AY206" s="409">
        <v>0</v>
      </c>
      <c r="AZ206" s="453">
        <f t="shared" si="79"/>
        <v>0</v>
      </c>
      <c r="BA206" s="452">
        <v>0</v>
      </c>
      <c r="BB206" s="452">
        <v>0</v>
      </c>
      <c r="BC206" s="452">
        <v>0</v>
      </c>
      <c r="BD206" s="452">
        <v>0</v>
      </c>
      <c r="BE206" s="452">
        <v>0</v>
      </c>
      <c r="BF206" s="452">
        <v>0</v>
      </c>
      <c r="BG206" s="452">
        <v>0</v>
      </c>
      <c r="BH206" s="409">
        <v>0</v>
      </c>
      <c r="BI206" s="409">
        <v>0</v>
      </c>
      <c r="BJ206" s="409">
        <v>0</v>
      </c>
      <c r="BK206" s="409">
        <v>0</v>
      </c>
      <c r="BL206" s="409">
        <v>0</v>
      </c>
      <c r="BM206" s="453">
        <f t="shared" si="80"/>
        <v>0</v>
      </c>
      <c r="BN206" s="452">
        <v>0</v>
      </c>
      <c r="BO206" s="452">
        <v>0</v>
      </c>
      <c r="BP206" s="452">
        <v>0</v>
      </c>
      <c r="BQ206" s="452">
        <v>0</v>
      </c>
      <c r="BR206" s="452">
        <v>0</v>
      </c>
      <c r="BS206" s="452">
        <v>0</v>
      </c>
      <c r="BT206" s="452">
        <v>0</v>
      </c>
      <c r="BU206" s="409">
        <v>0</v>
      </c>
      <c r="BV206" s="409">
        <v>0</v>
      </c>
      <c r="BW206" s="409">
        <v>0</v>
      </c>
      <c r="BX206" s="409">
        <v>0</v>
      </c>
      <c r="BY206" s="409">
        <v>0</v>
      </c>
      <c r="BZ206" s="453">
        <f t="shared" si="81"/>
        <v>0</v>
      </c>
      <c r="CA206" s="454">
        <f t="shared" si="82"/>
        <v>749.81599806213376</v>
      </c>
      <c r="CB206" s="419"/>
      <c r="CC206" s="419">
        <v>1</v>
      </c>
      <c r="CD206" s="419">
        <v>1</v>
      </c>
      <c r="CE206" s="419">
        <v>1</v>
      </c>
      <c r="CF206" s="419">
        <v>1</v>
      </c>
      <c r="CG206" s="420">
        <f>IFERROR((FE206/Z206%),0)</f>
        <v>82.527629342440804</v>
      </c>
      <c r="CH206" s="421">
        <f>IFERROR((FK206/Z206%),0)</f>
        <v>236.90798441705098</v>
      </c>
      <c r="CI206" s="414" t="s">
        <v>1622</v>
      </c>
      <c r="CJ206" s="415">
        <v>0</v>
      </c>
      <c r="CK206" s="415">
        <v>0</v>
      </c>
      <c r="CL206" s="415">
        <v>86.88000000000001</v>
      </c>
      <c r="CM206" s="415">
        <v>0</v>
      </c>
      <c r="CN206" s="415">
        <v>74.48</v>
      </c>
      <c r="CO206" s="415">
        <v>0</v>
      </c>
      <c r="CP206" s="415">
        <v>25</v>
      </c>
      <c r="CQ206" s="415">
        <v>25</v>
      </c>
      <c r="CR206" s="415">
        <v>25</v>
      </c>
      <c r="CS206" s="415">
        <v>25</v>
      </c>
      <c r="CT206" s="415">
        <v>25</v>
      </c>
      <c r="CU206" s="415">
        <v>68.333333333333343</v>
      </c>
      <c r="CV206" s="410">
        <f t="shared" si="72"/>
        <v>354.69333333333338</v>
      </c>
      <c r="CW206" s="415">
        <v>83.333333333333343</v>
      </c>
      <c r="CX206" s="415">
        <v>83.333333333333343</v>
      </c>
      <c r="CY206" s="415">
        <v>83.333333333333343</v>
      </c>
      <c r="CZ206" s="415">
        <v>83.333333333333343</v>
      </c>
      <c r="DA206" s="415">
        <v>145</v>
      </c>
      <c r="DB206" s="415">
        <v>0</v>
      </c>
      <c r="DC206" s="415">
        <v>250</v>
      </c>
      <c r="DD206" s="415">
        <v>166.66666666666669</v>
      </c>
      <c r="DE206" s="415">
        <v>0</v>
      </c>
      <c r="DF206" s="415">
        <v>0</v>
      </c>
      <c r="DG206" s="415">
        <v>0</v>
      </c>
      <c r="DH206" s="415">
        <v>0</v>
      </c>
      <c r="DI206" s="410">
        <f t="shared" si="73"/>
        <v>895</v>
      </c>
      <c r="DJ206" s="415">
        <v>0</v>
      </c>
      <c r="DK206" s="415">
        <v>0</v>
      </c>
      <c r="DL206" s="415">
        <v>0</v>
      </c>
      <c r="DM206" s="415">
        <v>0</v>
      </c>
      <c r="DN206" s="415">
        <v>0</v>
      </c>
      <c r="DO206" s="415">
        <v>0</v>
      </c>
      <c r="DP206" s="415">
        <v>0</v>
      </c>
      <c r="DQ206" s="415">
        <v>0</v>
      </c>
      <c r="DR206" s="415">
        <v>0</v>
      </c>
      <c r="DS206" s="415">
        <v>0</v>
      </c>
      <c r="DT206" s="415">
        <v>0</v>
      </c>
      <c r="DU206" s="415">
        <v>0</v>
      </c>
      <c r="DV206" s="410">
        <f t="shared" si="74"/>
        <v>0</v>
      </c>
      <c r="DW206" s="415">
        <v>0</v>
      </c>
      <c r="DX206" s="415">
        <v>0</v>
      </c>
      <c r="DY206" s="415">
        <v>0</v>
      </c>
      <c r="DZ206" s="415">
        <v>0</v>
      </c>
      <c r="EA206" s="415">
        <v>0</v>
      </c>
      <c r="EB206" s="415">
        <v>0</v>
      </c>
      <c r="EC206" s="415">
        <v>0</v>
      </c>
      <c r="ED206" s="415">
        <v>0</v>
      </c>
      <c r="EE206" s="415">
        <v>0</v>
      </c>
      <c r="EF206" s="415">
        <v>0</v>
      </c>
      <c r="EG206" s="415">
        <v>0</v>
      </c>
      <c r="EH206" s="415">
        <v>0</v>
      </c>
      <c r="EI206" s="410">
        <f t="shared" si="75"/>
        <v>0</v>
      </c>
      <c r="EJ206" s="415">
        <v>0</v>
      </c>
      <c r="EK206" s="415">
        <v>0</v>
      </c>
      <c r="EL206" s="415">
        <v>0</v>
      </c>
      <c r="EM206" s="415">
        <v>0</v>
      </c>
      <c r="EN206" s="415">
        <v>0</v>
      </c>
      <c r="EO206" s="415">
        <v>0</v>
      </c>
      <c r="EP206" s="415">
        <v>0</v>
      </c>
      <c r="EQ206" s="415">
        <v>0</v>
      </c>
      <c r="ER206" s="415">
        <v>0</v>
      </c>
      <c r="ES206" s="415">
        <v>0</v>
      </c>
      <c r="ET206" s="415">
        <v>0</v>
      </c>
      <c r="EU206" s="415">
        <v>0</v>
      </c>
      <c r="EV206" s="410">
        <f t="shared" si="76"/>
        <v>0</v>
      </c>
      <c r="EW206" s="416">
        <f t="shared" si="77"/>
        <v>1249.6933333333334</v>
      </c>
      <c r="EX206" s="417">
        <f>IFERROR(VLOOKUP(H206,CEI_012018!$A$1:$U$509,9,FALSE),0)</f>
        <v>0</v>
      </c>
      <c r="EY206" s="417">
        <f>IFERROR(VLOOKUP(H206,CEI_022018!$A$1:$U$509,9,FALSE),0)</f>
        <v>0</v>
      </c>
      <c r="EZ206" s="417">
        <f>IFERROR(VLOOKUP(H206,CEI_032018!$A$1:$U$509,9,FALSE),0)</f>
        <v>52.127998352050781</v>
      </c>
      <c r="FA206" s="417">
        <f>IFERROR(VLOOKUP(H206,CEI_042018!$A$1:$U$491,9,FALSE),0)</f>
        <v>52.127998352050781</v>
      </c>
      <c r="FB206" s="417">
        <f>IFERROR(VLOOKUP(H206,CEI_052018!$A$1:$U$489,9,FALSE),0)</f>
        <v>96.815998077392578</v>
      </c>
      <c r="FC206" s="417">
        <f>IFERROR(VLOOKUP(H206,CEI_062018!$A$1:$U$489,9,FALSE),0)</f>
        <v>96.815998077392578</v>
      </c>
      <c r="FD206" s="417">
        <f>IFERROR(VLOOKUP(H206,CEI_072018!$A$1:$U$489,9,FALSE),0)</f>
        <v>147.11999893188477</v>
      </c>
      <c r="FE206" s="417">
        <f>IFERROR(VLOOKUP(H206,CEI_082018!$A$1:$U$489,9,FALSE),0)</f>
        <v>175.63199806213379</v>
      </c>
      <c r="FF206" s="417">
        <f>IFERROR(VLOOKUP(H206,CEI_092018!$A$1:$U$489,9,FALSE),0)</f>
        <v>175.63199806213379</v>
      </c>
      <c r="FG206" s="417"/>
      <c r="FH206" s="417"/>
      <c r="FI206" s="417"/>
      <c r="FJ206" s="418">
        <f>IFERROR(VLOOKUP(H206,CEI_092018!$A$1:$U$489,12,FALSE),0)</f>
        <v>328.54609346389771</v>
      </c>
      <c r="FK206" s="418">
        <f t="shared" si="70"/>
        <v>504.17809152603149</v>
      </c>
      <c r="FL206" s="418">
        <f t="shared" si="71"/>
        <v>-291.36209346389774</v>
      </c>
      <c r="FM206" s="417"/>
      <c r="FN206" s="417"/>
      <c r="FO206" s="417"/>
      <c r="FP206" s="417"/>
      <c r="FQ206" s="417"/>
      <c r="FR206" s="417"/>
      <c r="FS206" s="417"/>
      <c r="FT206" s="417"/>
      <c r="FU206" s="417"/>
      <c r="FV206" s="417"/>
      <c r="FW206" s="417"/>
      <c r="FX206" s="417"/>
      <c r="FY206" s="418"/>
      <c r="FZ206" s="418"/>
      <c r="GA206" s="418"/>
      <c r="GB206" s="417"/>
      <c r="GC206" s="417"/>
      <c r="GD206" s="417"/>
      <c r="GE206" s="417"/>
      <c r="GF206" s="417"/>
      <c r="GG206" s="417"/>
      <c r="GH206" s="417"/>
      <c r="GI206" s="417"/>
      <c r="GJ206" s="417"/>
      <c r="GK206" s="417"/>
      <c r="GL206" s="417"/>
      <c r="GM206" s="417"/>
      <c r="GN206" s="418"/>
      <c r="GO206" s="418"/>
      <c r="GP206" s="418"/>
      <c r="GQ206" s="417"/>
      <c r="GR206" s="417"/>
      <c r="GS206" s="417"/>
      <c r="GT206" s="417"/>
      <c r="GU206" s="417"/>
      <c r="GV206" s="417"/>
      <c r="GW206" s="417"/>
      <c r="GX206" s="417"/>
      <c r="GY206" s="417"/>
      <c r="GZ206" s="417"/>
      <c r="HA206" s="417"/>
      <c r="HB206" s="417"/>
      <c r="HC206" s="418"/>
      <c r="HD206" s="418"/>
      <c r="HE206" s="418"/>
      <c r="HF206" s="417"/>
      <c r="HG206" s="417"/>
      <c r="HH206" s="417"/>
      <c r="HI206" s="417"/>
      <c r="HJ206" s="417"/>
      <c r="HK206" s="417"/>
      <c r="HL206" s="417"/>
      <c r="HM206" s="417"/>
      <c r="HN206" s="417"/>
      <c r="HO206" s="417"/>
      <c r="HP206" s="417"/>
      <c r="HQ206" s="417"/>
      <c r="HR206" s="418"/>
      <c r="HS206" s="418"/>
      <c r="HT206" s="418"/>
    </row>
    <row r="207" spans="1:228" s="387" customFormat="1" ht="12.75" customHeight="1" x14ac:dyDescent="0.2">
      <c r="A207" s="406" t="s">
        <v>55</v>
      </c>
      <c r="B207" s="407" t="s">
        <v>42</v>
      </c>
      <c r="C207" s="406" t="s">
        <v>1000</v>
      </c>
      <c r="D207" s="407" t="s">
        <v>1004</v>
      </c>
      <c r="E207" s="407" t="s">
        <v>1000</v>
      </c>
      <c r="F207" s="407" t="s">
        <v>1004</v>
      </c>
      <c r="G207" s="406" t="s">
        <v>54</v>
      </c>
      <c r="H207" s="408" t="s">
        <v>520</v>
      </c>
      <c r="I207" s="408" t="s">
        <v>57</v>
      </c>
      <c r="J207" s="406" t="s">
        <v>722</v>
      </c>
      <c r="K207" s="406" t="s">
        <v>723</v>
      </c>
      <c r="L207" s="406" t="s">
        <v>724</v>
      </c>
      <c r="M207" s="406" t="s">
        <v>57</v>
      </c>
      <c r="N207" s="452">
        <v>0</v>
      </c>
      <c r="O207" s="452">
        <v>0</v>
      </c>
      <c r="P207" s="452">
        <v>0</v>
      </c>
      <c r="Q207" s="452">
        <v>0</v>
      </c>
      <c r="R207" s="452">
        <v>0</v>
      </c>
      <c r="S207" s="452">
        <v>0</v>
      </c>
      <c r="T207" s="452">
        <v>0</v>
      </c>
      <c r="U207" s="409">
        <v>0</v>
      </c>
      <c r="V207" s="409">
        <v>0</v>
      </c>
      <c r="W207" s="409">
        <v>0</v>
      </c>
      <c r="X207" s="409">
        <v>0</v>
      </c>
      <c r="Y207" s="409">
        <v>0</v>
      </c>
      <c r="Z207" s="453">
        <f t="shared" si="83"/>
        <v>0</v>
      </c>
      <c r="AA207" s="452">
        <v>0</v>
      </c>
      <c r="AB207" s="452">
        <v>0</v>
      </c>
      <c r="AC207" s="452">
        <v>0</v>
      </c>
      <c r="AD207" s="452">
        <v>0</v>
      </c>
      <c r="AE207" s="452">
        <v>0</v>
      </c>
      <c r="AF207" s="452">
        <v>0</v>
      </c>
      <c r="AG207" s="452">
        <v>0</v>
      </c>
      <c r="AH207" s="409">
        <v>0</v>
      </c>
      <c r="AI207" s="409">
        <v>0</v>
      </c>
      <c r="AJ207" s="409">
        <v>0</v>
      </c>
      <c r="AK207" s="409">
        <v>0</v>
      </c>
      <c r="AL207" s="409">
        <v>0</v>
      </c>
      <c r="AM207" s="453">
        <f t="shared" si="78"/>
        <v>0</v>
      </c>
      <c r="AN207" s="452">
        <v>0</v>
      </c>
      <c r="AO207" s="452">
        <v>0</v>
      </c>
      <c r="AP207" s="452">
        <v>50</v>
      </c>
      <c r="AQ207" s="452">
        <v>0</v>
      </c>
      <c r="AR207" s="452">
        <v>0</v>
      </c>
      <c r="AS207" s="452">
        <v>0</v>
      </c>
      <c r="AT207" s="452">
        <v>50</v>
      </c>
      <c r="AU207" s="409">
        <v>0</v>
      </c>
      <c r="AV207" s="409">
        <v>0</v>
      </c>
      <c r="AW207" s="409">
        <v>0</v>
      </c>
      <c r="AX207" s="409">
        <v>100</v>
      </c>
      <c r="AY207" s="409">
        <v>0</v>
      </c>
      <c r="AZ207" s="453">
        <f t="shared" si="79"/>
        <v>200</v>
      </c>
      <c r="BA207" s="452">
        <v>0</v>
      </c>
      <c r="BB207" s="452">
        <v>0</v>
      </c>
      <c r="BC207" s="452">
        <v>100</v>
      </c>
      <c r="BD207" s="452">
        <v>0</v>
      </c>
      <c r="BE207" s="452">
        <v>0</v>
      </c>
      <c r="BF207" s="452">
        <v>0</v>
      </c>
      <c r="BG207" s="452">
        <v>200</v>
      </c>
      <c r="BH207" s="409">
        <v>0</v>
      </c>
      <c r="BI207" s="409">
        <v>0</v>
      </c>
      <c r="BJ207" s="409">
        <v>0</v>
      </c>
      <c r="BK207" s="409">
        <v>0</v>
      </c>
      <c r="BL207" s="409">
        <v>0</v>
      </c>
      <c r="BM207" s="453">
        <f t="shared" si="80"/>
        <v>300</v>
      </c>
      <c r="BN207" s="452">
        <v>0</v>
      </c>
      <c r="BO207" s="452">
        <v>0</v>
      </c>
      <c r="BP207" s="452">
        <v>25</v>
      </c>
      <c r="BQ207" s="452">
        <v>0</v>
      </c>
      <c r="BR207" s="452">
        <v>0</v>
      </c>
      <c r="BS207" s="452">
        <v>50</v>
      </c>
      <c r="BT207" s="452">
        <v>0</v>
      </c>
      <c r="BU207" s="409">
        <v>25</v>
      </c>
      <c r="BV207" s="409">
        <v>25</v>
      </c>
      <c r="BW207" s="409">
        <v>0</v>
      </c>
      <c r="BX207" s="409">
        <v>25</v>
      </c>
      <c r="BY207" s="409">
        <v>150</v>
      </c>
      <c r="BZ207" s="453">
        <f t="shared" si="81"/>
        <v>300</v>
      </c>
      <c r="CA207" s="454">
        <f t="shared" si="82"/>
        <v>800</v>
      </c>
      <c r="CB207" s="411"/>
      <c r="CC207" s="411"/>
      <c r="CD207" s="411"/>
      <c r="CE207" s="411"/>
      <c r="CF207" s="411"/>
      <c r="CG207" s="412"/>
      <c r="CH207" s="413"/>
      <c r="CI207" s="414" t="s">
        <v>1622</v>
      </c>
      <c r="CJ207" s="415">
        <v>0</v>
      </c>
      <c r="CK207" s="415">
        <v>0</v>
      </c>
      <c r="CL207" s="415">
        <v>0</v>
      </c>
      <c r="CM207" s="415">
        <v>0</v>
      </c>
      <c r="CN207" s="415">
        <v>0</v>
      </c>
      <c r="CO207" s="415">
        <v>0</v>
      </c>
      <c r="CP207" s="415">
        <v>0</v>
      </c>
      <c r="CQ207" s="415">
        <v>0</v>
      </c>
      <c r="CR207" s="415">
        <v>0</v>
      </c>
      <c r="CS207" s="415">
        <v>0</v>
      </c>
      <c r="CT207" s="415">
        <v>0</v>
      </c>
      <c r="CU207" s="415">
        <v>0</v>
      </c>
      <c r="CV207" s="410">
        <f t="shared" ref="CV207:CV220" si="84">SUM(CJ207:CU207)</f>
        <v>0</v>
      </c>
      <c r="CW207" s="415">
        <v>0</v>
      </c>
      <c r="CX207" s="415">
        <v>0</v>
      </c>
      <c r="CY207" s="415">
        <v>0</v>
      </c>
      <c r="CZ207" s="415">
        <v>0</v>
      </c>
      <c r="DA207" s="415">
        <v>0</v>
      </c>
      <c r="DB207" s="415">
        <v>0</v>
      </c>
      <c r="DC207" s="415">
        <v>0</v>
      </c>
      <c r="DD207" s="415">
        <v>0</v>
      </c>
      <c r="DE207" s="415">
        <v>0</v>
      </c>
      <c r="DF207" s="415">
        <v>0</v>
      </c>
      <c r="DG207" s="415">
        <v>0</v>
      </c>
      <c r="DH207" s="415">
        <v>0</v>
      </c>
      <c r="DI207" s="410">
        <f t="shared" ref="DI207:DI220" si="85">SUM(CW207:DH207)</f>
        <v>0</v>
      </c>
      <c r="DJ207" s="415">
        <v>0</v>
      </c>
      <c r="DK207" s="415">
        <v>0</v>
      </c>
      <c r="DL207" s="415">
        <v>116.27906976744187</v>
      </c>
      <c r="DM207" s="415">
        <v>0</v>
      </c>
      <c r="DN207" s="415">
        <v>0</v>
      </c>
      <c r="DO207" s="415">
        <v>0</v>
      </c>
      <c r="DP207" s="415">
        <v>116.27906976744187</v>
      </c>
      <c r="DQ207" s="415">
        <v>0</v>
      </c>
      <c r="DR207" s="415">
        <v>0</v>
      </c>
      <c r="DS207" s="415">
        <v>0</v>
      </c>
      <c r="DT207" s="415">
        <v>232.55813953488374</v>
      </c>
      <c r="DU207" s="415">
        <v>0</v>
      </c>
      <c r="DV207" s="410">
        <f t="shared" ref="DV207:DV220" si="86">SUM(DJ207:DU207)</f>
        <v>465.11627906976747</v>
      </c>
      <c r="DW207" s="415">
        <v>0</v>
      </c>
      <c r="DX207" s="415">
        <v>0</v>
      </c>
      <c r="DY207" s="415">
        <v>232.55813953488374</v>
      </c>
      <c r="DZ207" s="415">
        <v>0</v>
      </c>
      <c r="EA207" s="415">
        <v>0</v>
      </c>
      <c r="EB207" s="415">
        <v>0</v>
      </c>
      <c r="EC207" s="415">
        <v>465.11627906976747</v>
      </c>
      <c r="ED207" s="415">
        <v>0</v>
      </c>
      <c r="EE207" s="415">
        <v>0</v>
      </c>
      <c r="EF207" s="415">
        <v>0</v>
      </c>
      <c r="EG207" s="415">
        <v>0</v>
      </c>
      <c r="EH207" s="415">
        <v>0</v>
      </c>
      <c r="EI207" s="410">
        <f t="shared" ref="EI207:EI220" si="87">SUM(DW207:EH207)</f>
        <v>697.67441860465124</v>
      </c>
      <c r="EJ207" s="415">
        <v>0</v>
      </c>
      <c r="EK207" s="415">
        <v>0</v>
      </c>
      <c r="EL207" s="415">
        <v>58.139534883720934</v>
      </c>
      <c r="EM207" s="415">
        <v>0</v>
      </c>
      <c r="EN207" s="415">
        <v>0</v>
      </c>
      <c r="EO207" s="415">
        <v>116.27906976744187</v>
      </c>
      <c r="EP207" s="415">
        <v>0</v>
      </c>
      <c r="EQ207" s="415">
        <v>58.139534883720934</v>
      </c>
      <c r="ER207" s="415">
        <v>58.139534883720934</v>
      </c>
      <c r="ES207" s="415">
        <v>0</v>
      </c>
      <c r="ET207" s="415">
        <v>58.139534883720934</v>
      </c>
      <c r="EU207" s="415">
        <v>348.83720930232556</v>
      </c>
      <c r="EV207" s="410">
        <f t="shared" ref="EV207:EV220" si="88">SUM(EJ207:EU207)</f>
        <v>697.67441860465124</v>
      </c>
      <c r="EW207" s="416">
        <f t="shared" ref="EW207:EW220" si="89">SUM(EV207,EI207,DV207,DI207,CV207)</f>
        <v>1860.4651162790699</v>
      </c>
      <c r="EX207" s="417">
        <f>IFERROR(VLOOKUP(H207,CEI_012018!$A$1:$U$509,9,FALSE),0)</f>
        <v>0</v>
      </c>
      <c r="EY207" s="417">
        <f>IFERROR(VLOOKUP(H207,CEI_022018!$A$1:$U$509,9,FALSE),0)</f>
        <v>0</v>
      </c>
      <c r="EZ207" s="417">
        <f>IFERROR(VLOOKUP(H207,CEI_032018!$A$1:$U$509,9,FALSE),0)</f>
        <v>0</v>
      </c>
      <c r="FA207" s="417">
        <f>IFERROR(VLOOKUP(H207,CEI_042018!$A$1:$U$491,9,FALSE),0)</f>
        <v>0</v>
      </c>
      <c r="FB207" s="417">
        <f>IFERROR(VLOOKUP(H207,CEI_052018!$A$1:$U$489,9,FALSE),0)</f>
        <v>0</v>
      </c>
      <c r="FC207" s="417">
        <f>IFERROR(VLOOKUP(H207,CEI_062018!$A$1:$U$489,9,FALSE),0)</f>
        <v>0</v>
      </c>
      <c r="FD207" s="417">
        <f>IFERROR(VLOOKUP(H207,CEI_072018!$A$1:$U$489,9,FALSE),0)</f>
        <v>0</v>
      </c>
      <c r="FE207" s="417">
        <f>IFERROR(VLOOKUP(H207,CEI_082018!$A$1:$U$489,9,FALSE),0)</f>
        <v>0</v>
      </c>
      <c r="FF207" s="417">
        <f>IFERROR(VLOOKUP(H207,CEI_092018!$A$1:$U$489,9,FALSE),0)</f>
        <v>0</v>
      </c>
      <c r="FG207" s="417"/>
      <c r="FH207" s="417"/>
      <c r="FI207" s="417"/>
      <c r="FJ207" s="418">
        <f>IFERROR(VLOOKUP(H207,CEI_092018!$A$1:$U$489,12,FALSE),0)</f>
        <v>0</v>
      </c>
      <c r="FK207" s="418">
        <f t="shared" si="70"/>
        <v>0</v>
      </c>
      <c r="FL207" s="418">
        <f t="shared" si="71"/>
        <v>0</v>
      </c>
      <c r="FM207" s="417"/>
      <c r="FN207" s="417"/>
      <c r="FO207" s="417"/>
      <c r="FP207" s="417"/>
      <c r="FQ207" s="417"/>
      <c r="FR207" s="417"/>
      <c r="FS207" s="417"/>
      <c r="FT207" s="417"/>
      <c r="FU207" s="417"/>
      <c r="FV207" s="417"/>
      <c r="FW207" s="417"/>
      <c r="FX207" s="417"/>
      <c r="FY207" s="418"/>
      <c r="FZ207" s="418"/>
      <c r="GA207" s="418"/>
      <c r="GB207" s="417"/>
      <c r="GC207" s="417"/>
      <c r="GD207" s="417"/>
      <c r="GE207" s="417"/>
      <c r="GF207" s="417"/>
      <c r="GG207" s="417"/>
      <c r="GH207" s="417"/>
      <c r="GI207" s="417"/>
      <c r="GJ207" s="417"/>
      <c r="GK207" s="417"/>
      <c r="GL207" s="417"/>
      <c r="GM207" s="417"/>
      <c r="GN207" s="418"/>
      <c r="GO207" s="418"/>
      <c r="GP207" s="418"/>
      <c r="GQ207" s="417"/>
      <c r="GR207" s="417"/>
      <c r="GS207" s="417"/>
      <c r="GT207" s="417"/>
      <c r="GU207" s="417"/>
      <c r="GV207" s="417"/>
      <c r="GW207" s="417"/>
      <c r="GX207" s="417"/>
      <c r="GY207" s="417"/>
      <c r="GZ207" s="417"/>
      <c r="HA207" s="417"/>
      <c r="HB207" s="417"/>
      <c r="HC207" s="418"/>
      <c r="HD207" s="418"/>
      <c r="HE207" s="418"/>
      <c r="HF207" s="417"/>
      <c r="HG207" s="417"/>
      <c r="HH207" s="417"/>
      <c r="HI207" s="417"/>
      <c r="HJ207" s="417"/>
      <c r="HK207" s="417"/>
      <c r="HL207" s="417"/>
      <c r="HM207" s="417"/>
      <c r="HN207" s="417"/>
      <c r="HO207" s="417"/>
      <c r="HP207" s="417"/>
      <c r="HQ207" s="417"/>
      <c r="HR207" s="418"/>
      <c r="HS207" s="418"/>
      <c r="HT207" s="418"/>
    </row>
    <row r="208" spans="1:228" s="387" customFormat="1" ht="12.75" customHeight="1" x14ac:dyDescent="0.2">
      <c r="A208" s="406" t="s">
        <v>55</v>
      </c>
      <c r="B208" s="407" t="s">
        <v>42</v>
      </c>
      <c r="C208" s="406" t="s">
        <v>1000</v>
      </c>
      <c r="D208" s="407" t="s">
        <v>1004</v>
      </c>
      <c r="E208" s="407" t="s">
        <v>1000</v>
      </c>
      <c r="F208" s="407" t="s">
        <v>1004</v>
      </c>
      <c r="G208" s="406" t="s">
        <v>54</v>
      </c>
      <c r="H208" s="408" t="s">
        <v>520</v>
      </c>
      <c r="I208" s="408" t="s">
        <v>57</v>
      </c>
      <c r="J208" s="406" t="s">
        <v>383</v>
      </c>
      <c r="K208" s="406" t="s">
        <v>725</v>
      </c>
      <c r="L208" s="406" t="s">
        <v>726</v>
      </c>
      <c r="M208" s="406" t="s">
        <v>1778</v>
      </c>
      <c r="N208" s="452">
        <v>0</v>
      </c>
      <c r="O208" s="452">
        <v>0</v>
      </c>
      <c r="P208" s="452">
        <v>0</v>
      </c>
      <c r="Q208" s="452">
        <v>0</v>
      </c>
      <c r="R208" s="452">
        <v>0</v>
      </c>
      <c r="S208" s="452">
        <v>0</v>
      </c>
      <c r="T208" s="452">
        <v>0</v>
      </c>
      <c r="U208" s="409">
        <v>0</v>
      </c>
      <c r="V208" s="409">
        <v>0</v>
      </c>
      <c r="W208" s="409">
        <v>0</v>
      </c>
      <c r="X208" s="409">
        <v>0</v>
      </c>
      <c r="Y208" s="409">
        <v>0</v>
      </c>
      <c r="Z208" s="453">
        <f t="shared" si="83"/>
        <v>0</v>
      </c>
      <c r="AA208" s="452">
        <v>0</v>
      </c>
      <c r="AB208" s="452">
        <v>0</v>
      </c>
      <c r="AC208" s="452">
        <v>0</v>
      </c>
      <c r="AD208" s="452">
        <v>0</v>
      </c>
      <c r="AE208" s="452">
        <v>0</v>
      </c>
      <c r="AF208" s="452">
        <v>0</v>
      </c>
      <c r="AG208" s="452">
        <v>0</v>
      </c>
      <c r="AH208" s="409">
        <v>0</v>
      </c>
      <c r="AI208" s="409">
        <v>0</v>
      </c>
      <c r="AJ208" s="409">
        <v>0</v>
      </c>
      <c r="AK208" s="409">
        <v>0</v>
      </c>
      <c r="AL208" s="409">
        <v>0</v>
      </c>
      <c r="AM208" s="453">
        <f t="shared" si="78"/>
        <v>0</v>
      </c>
      <c r="AN208" s="452">
        <v>0</v>
      </c>
      <c r="AO208" s="452">
        <v>20</v>
      </c>
      <c r="AP208" s="452">
        <v>0</v>
      </c>
      <c r="AQ208" s="452">
        <v>20</v>
      </c>
      <c r="AR208" s="452">
        <v>20</v>
      </c>
      <c r="AS208" s="452">
        <v>20</v>
      </c>
      <c r="AT208" s="452">
        <v>0</v>
      </c>
      <c r="AU208" s="409">
        <v>20</v>
      </c>
      <c r="AV208" s="409">
        <v>20</v>
      </c>
      <c r="AW208" s="409">
        <v>25</v>
      </c>
      <c r="AX208" s="409">
        <v>40</v>
      </c>
      <c r="AY208" s="409">
        <v>40</v>
      </c>
      <c r="AZ208" s="453">
        <f t="shared" si="79"/>
        <v>225</v>
      </c>
      <c r="BA208" s="452">
        <v>20</v>
      </c>
      <c r="BB208" s="452">
        <v>20</v>
      </c>
      <c r="BC208" s="452">
        <v>20</v>
      </c>
      <c r="BD208" s="452">
        <v>40</v>
      </c>
      <c r="BE208" s="452">
        <v>20</v>
      </c>
      <c r="BF208" s="452">
        <v>40</v>
      </c>
      <c r="BG208" s="452">
        <v>20</v>
      </c>
      <c r="BH208" s="409">
        <v>40</v>
      </c>
      <c r="BI208" s="409">
        <v>20</v>
      </c>
      <c r="BJ208" s="409">
        <v>40</v>
      </c>
      <c r="BK208" s="409">
        <v>40</v>
      </c>
      <c r="BL208" s="409">
        <v>60</v>
      </c>
      <c r="BM208" s="453">
        <f t="shared" si="80"/>
        <v>380</v>
      </c>
      <c r="BN208" s="452">
        <v>20</v>
      </c>
      <c r="BO208" s="452">
        <v>20</v>
      </c>
      <c r="BP208" s="452">
        <v>20</v>
      </c>
      <c r="BQ208" s="452">
        <v>50</v>
      </c>
      <c r="BR208" s="452">
        <v>20</v>
      </c>
      <c r="BS208" s="452">
        <v>80</v>
      </c>
      <c r="BT208" s="452">
        <v>20</v>
      </c>
      <c r="BU208" s="409">
        <v>20</v>
      </c>
      <c r="BV208" s="409">
        <v>20</v>
      </c>
      <c r="BW208" s="409">
        <v>30</v>
      </c>
      <c r="BX208" s="409">
        <v>50</v>
      </c>
      <c r="BY208" s="409">
        <v>60</v>
      </c>
      <c r="BZ208" s="453">
        <f t="shared" si="81"/>
        <v>410</v>
      </c>
      <c r="CA208" s="454">
        <f t="shared" si="82"/>
        <v>1015</v>
      </c>
      <c r="CB208" s="411"/>
      <c r="CC208" s="411"/>
      <c r="CD208" s="411"/>
      <c r="CE208" s="411"/>
      <c r="CF208" s="411"/>
      <c r="CG208" s="412"/>
      <c r="CH208" s="413"/>
      <c r="CI208" s="414" t="s">
        <v>1622</v>
      </c>
      <c r="CJ208" s="415">
        <v>0</v>
      </c>
      <c r="CK208" s="415">
        <v>0</v>
      </c>
      <c r="CL208" s="415">
        <v>0</v>
      </c>
      <c r="CM208" s="415">
        <v>0</v>
      </c>
      <c r="CN208" s="415">
        <v>0</v>
      </c>
      <c r="CO208" s="415">
        <v>0</v>
      </c>
      <c r="CP208" s="415">
        <v>0</v>
      </c>
      <c r="CQ208" s="415">
        <v>0</v>
      </c>
      <c r="CR208" s="415">
        <v>0</v>
      </c>
      <c r="CS208" s="415">
        <v>0</v>
      </c>
      <c r="CT208" s="415">
        <v>0</v>
      </c>
      <c r="CU208" s="415">
        <v>0</v>
      </c>
      <c r="CV208" s="410">
        <f t="shared" si="84"/>
        <v>0</v>
      </c>
      <c r="CW208" s="415">
        <v>0</v>
      </c>
      <c r="CX208" s="415">
        <v>0</v>
      </c>
      <c r="CY208" s="415">
        <v>0</v>
      </c>
      <c r="CZ208" s="415">
        <v>0</v>
      </c>
      <c r="DA208" s="415">
        <v>0</v>
      </c>
      <c r="DB208" s="415">
        <v>0</v>
      </c>
      <c r="DC208" s="415">
        <v>0</v>
      </c>
      <c r="DD208" s="415">
        <v>0</v>
      </c>
      <c r="DE208" s="415">
        <v>0</v>
      </c>
      <c r="DF208" s="415">
        <v>0</v>
      </c>
      <c r="DG208" s="415">
        <v>0</v>
      </c>
      <c r="DH208" s="415">
        <v>0</v>
      </c>
      <c r="DI208" s="410">
        <f t="shared" si="85"/>
        <v>0</v>
      </c>
      <c r="DJ208" s="415">
        <v>0</v>
      </c>
      <c r="DK208" s="415">
        <v>40</v>
      </c>
      <c r="DL208" s="415">
        <v>0</v>
      </c>
      <c r="DM208" s="415">
        <v>40</v>
      </c>
      <c r="DN208" s="415">
        <v>40</v>
      </c>
      <c r="DO208" s="415">
        <v>40</v>
      </c>
      <c r="DP208" s="415">
        <v>0</v>
      </c>
      <c r="DQ208" s="415">
        <v>40</v>
      </c>
      <c r="DR208" s="415">
        <v>40</v>
      </c>
      <c r="DS208" s="415">
        <v>50</v>
      </c>
      <c r="DT208" s="415">
        <v>80</v>
      </c>
      <c r="DU208" s="415">
        <v>80</v>
      </c>
      <c r="DV208" s="410">
        <f t="shared" si="86"/>
        <v>450</v>
      </c>
      <c r="DW208" s="415">
        <v>40</v>
      </c>
      <c r="DX208" s="415">
        <v>40</v>
      </c>
      <c r="DY208" s="415">
        <v>40</v>
      </c>
      <c r="DZ208" s="415">
        <v>80</v>
      </c>
      <c r="EA208" s="415">
        <v>40</v>
      </c>
      <c r="EB208" s="415">
        <v>80</v>
      </c>
      <c r="EC208" s="415">
        <v>40</v>
      </c>
      <c r="ED208" s="415">
        <v>80</v>
      </c>
      <c r="EE208" s="415">
        <v>40</v>
      </c>
      <c r="EF208" s="415">
        <v>80</v>
      </c>
      <c r="EG208" s="415">
        <v>80</v>
      </c>
      <c r="EH208" s="415">
        <v>120</v>
      </c>
      <c r="EI208" s="410">
        <f t="shared" si="87"/>
        <v>760</v>
      </c>
      <c r="EJ208" s="415">
        <v>40</v>
      </c>
      <c r="EK208" s="415">
        <v>40</v>
      </c>
      <c r="EL208" s="415">
        <v>40</v>
      </c>
      <c r="EM208" s="415">
        <v>100</v>
      </c>
      <c r="EN208" s="415">
        <v>40</v>
      </c>
      <c r="EO208" s="415">
        <v>160</v>
      </c>
      <c r="EP208" s="415">
        <v>40</v>
      </c>
      <c r="EQ208" s="415">
        <v>40</v>
      </c>
      <c r="ER208" s="415">
        <v>40</v>
      </c>
      <c r="ES208" s="415">
        <v>60</v>
      </c>
      <c r="ET208" s="415">
        <v>100</v>
      </c>
      <c r="EU208" s="415">
        <v>120</v>
      </c>
      <c r="EV208" s="410">
        <f t="shared" si="88"/>
        <v>820</v>
      </c>
      <c r="EW208" s="416">
        <f t="shared" si="89"/>
        <v>2030</v>
      </c>
      <c r="EX208" s="417">
        <f>IFERROR(VLOOKUP(H208,CEI_012018!$A$1:$U$509,9,FALSE),0)</f>
        <v>0</v>
      </c>
      <c r="EY208" s="417">
        <f>IFERROR(VLOOKUP(H208,CEI_022018!$A$1:$U$509,9,FALSE),0)</f>
        <v>0</v>
      </c>
      <c r="EZ208" s="417">
        <f>IFERROR(VLOOKUP(H208,CEI_032018!$A$1:$U$509,9,FALSE),0)</f>
        <v>0</v>
      </c>
      <c r="FA208" s="417">
        <f>IFERROR(VLOOKUP(H208,CEI_042018!$A$1:$U$491,9,FALSE),0)</f>
        <v>0</v>
      </c>
      <c r="FB208" s="417">
        <f>IFERROR(VLOOKUP(H208,CEI_052018!$A$1:$U$489,9,FALSE),0)</f>
        <v>0</v>
      </c>
      <c r="FC208" s="417">
        <f>IFERROR(VLOOKUP(H208,CEI_062018!$A$1:$U$489,9,FALSE),0)</f>
        <v>0</v>
      </c>
      <c r="FD208" s="417">
        <f>IFERROR(VLOOKUP(H208,CEI_072018!$A$1:$U$489,9,FALSE),0)</f>
        <v>0</v>
      </c>
      <c r="FE208" s="417">
        <f>IFERROR(VLOOKUP(H208,CEI_082018!$A$1:$U$489,9,FALSE),0)</f>
        <v>0</v>
      </c>
      <c r="FF208" s="417">
        <f>IFERROR(VLOOKUP(H208,CEI_092018!$A$1:$U$489,9,FALSE),0)</f>
        <v>0</v>
      </c>
      <c r="FG208" s="417"/>
      <c r="FH208" s="417"/>
      <c r="FI208" s="417"/>
      <c r="FJ208" s="418">
        <f>IFERROR(VLOOKUP(H208,CEI_092018!$A$1:$U$489,12,FALSE),0)</f>
        <v>0</v>
      </c>
      <c r="FK208" s="418">
        <f t="shared" si="70"/>
        <v>0</v>
      </c>
      <c r="FL208" s="418">
        <f t="shared" si="71"/>
        <v>0</v>
      </c>
      <c r="FM208" s="417"/>
      <c r="FN208" s="417"/>
      <c r="FO208" s="417"/>
      <c r="FP208" s="417"/>
      <c r="FQ208" s="417"/>
      <c r="FR208" s="417"/>
      <c r="FS208" s="417"/>
      <c r="FT208" s="417"/>
      <c r="FU208" s="417"/>
      <c r="FV208" s="417"/>
      <c r="FW208" s="417"/>
      <c r="FX208" s="417"/>
      <c r="FY208" s="418"/>
      <c r="FZ208" s="418"/>
      <c r="GA208" s="418"/>
      <c r="GB208" s="417"/>
      <c r="GC208" s="417"/>
      <c r="GD208" s="417"/>
      <c r="GE208" s="417"/>
      <c r="GF208" s="417"/>
      <c r="GG208" s="417"/>
      <c r="GH208" s="417"/>
      <c r="GI208" s="417"/>
      <c r="GJ208" s="417"/>
      <c r="GK208" s="417"/>
      <c r="GL208" s="417"/>
      <c r="GM208" s="417"/>
      <c r="GN208" s="418"/>
      <c r="GO208" s="418"/>
      <c r="GP208" s="418"/>
      <c r="GQ208" s="417"/>
      <c r="GR208" s="417"/>
      <c r="GS208" s="417"/>
      <c r="GT208" s="417"/>
      <c r="GU208" s="417"/>
      <c r="GV208" s="417"/>
      <c r="GW208" s="417"/>
      <c r="GX208" s="417"/>
      <c r="GY208" s="417"/>
      <c r="GZ208" s="417"/>
      <c r="HA208" s="417"/>
      <c r="HB208" s="417"/>
      <c r="HC208" s="418"/>
      <c r="HD208" s="418"/>
      <c r="HE208" s="418"/>
      <c r="HF208" s="417"/>
      <c r="HG208" s="417"/>
      <c r="HH208" s="417"/>
      <c r="HI208" s="417"/>
      <c r="HJ208" s="417"/>
      <c r="HK208" s="417"/>
      <c r="HL208" s="417"/>
      <c r="HM208" s="417"/>
      <c r="HN208" s="417"/>
      <c r="HO208" s="417"/>
      <c r="HP208" s="417"/>
      <c r="HQ208" s="417"/>
      <c r="HR208" s="418"/>
      <c r="HS208" s="418"/>
      <c r="HT208" s="418"/>
    </row>
    <row r="209" spans="1:228" s="387" customFormat="1" ht="12.75" customHeight="1" x14ac:dyDescent="0.2">
      <c r="A209" s="406" t="s">
        <v>55</v>
      </c>
      <c r="B209" s="407" t="s">
        <v>42</v>
      </c>
      <c r="C209" s="406" t="s">
        <v>1000</v>
      </c>
      <c r="D209" s="407" t="s">
        <v>1004</v>
      </c>
      <c r="E209" s="407" t="s">
        <v>1000</v>
      </c>
      <c r="F209" s="407" t="s">
        <v>1004</v>
      </c>
      <c r="G209" s="406" t="s">
        <v>54</v>
      </c>
      <c r="H209" s="408" t="s">
        <v>701</v>
      </c>
      <c r="I209" s="408" t="s">
        <v>1269</v>
      </c>
      <c r="J209" s="406" t="s">
        <v>316</v>
      </c>
      <c r="K209" s="406" t="s">
        <v>317</v>
      </c>
      <c r="L209" s="406" t="s">
        <v>318</v>
      </c>
      <c r="M209" s="406" t="s">
        <v>57</v>
      </c>
      <c r="N209" s="452">
        <v>0</v>
      </c>
      <c r="O209" s="452">
        <v>20.24778938293457</v>
      </c>
      <c r="P209" s="452">
        <v>18.123899459838867</v>
      </c>
      <c r="Q209" s="452">
        <v>26.203470230102539</v>
      </c>
      <c r="R209" s="452">
        <v>0</v>
      </c>
      <c r="S209" s="452">
        <v>38.438701629638672</v>
      </c>
      <c r="T209" s="452">
        <v>0</v>
      </c>
      <c r="U209" s="409">
        <v>0</v>
      </c>
      <c r="V209" s="409">
        <v>18.737609999999997</v>
      </c>
      <c r="W209" s="409">
        <v>0</v>
      </c>
      <c r="X209" s="409">
        <v>0</v>
      </c>
      <c r="Y209" s="409">
        <v>0</v>
      </c>
      <c r="Z209" s="453">
        <f t="shared" si="83"/>
        <v>121.75147070251464</v>
      </c>
      <c r="AA209" s="452">
        <v>0</v>
      </c>
      <c r="AB209" s="452">
        <v>0</v>
      </c>
      <c r="AC209" s="452">
        <v>0</v>
      </c>
      <c r="AD209" s="452">
        <v>0</v>
      </c>
      <c r="AE209" s="452">
        <v>0</v>
      </c>
      <c r="AF209" s="452">
        <v>0</v>
      </c>
      <c r="AG209" s="452">
        <v>0</v>
      </c>
      <c r="AH209" s="409">
        <v>0</v>
      </c>
      <c r="AI209" s="409">
        <v>0</v>
      </c>
      <c r="AJ209" s="409">
        <v>0</v>
      </c>
      <c r="AK209" s="409">
        <v>0</v>
      </c>
      <c r="AL209" s="409">
        <v>0</v>
      </c>
      <c r="AM209" s="453">
        <f t="shared" si="78"/>
        <v>0</v>
      </c>
      <c r="AN209" s="452">
        <v>0</v>
      </c>
      <c r="AO209" s="452">
        <v>0</v>
      </c>
      <c r="AP209" s="452">
        <v>0</v>
      </c>
      <c r="AQ209" s="452">
        <v>0</v>
      </c>
      <c r="AR209" s="452">
        <v>0</v>
      </c>
      <c r="AS209" s="452">
        <v>0</v>
      </c>
      <c r="AT209" s="452">
        <v>0</v>
      </c>
      <c r="AU209" s="409">
        <v>0</v>
      </c>
      <c r="AV209" s="409">
        <v>0</v>
      </c>
      <c r="AW209" s="409">
        <v>0</v>
      </c>
      <c r="AX209" s="409">
        <v>0</v>
      </c>
      <c r="AY209" s="409">
        <v>0</v>
      </c>
      <c r="AZ209" s="453">
        <f t="shared" si="79"/>
        <v>0</v>
      </c>
      <c r="BA209" s="452">
        <v>0</v>
      </c>
      <c r="BB209" s="452">
        <v>0</v>
      </c>
      <c r="BC209" s="452">
        <v>0</v>
      </c>
      <c r="BD209" s="452">
        <v>0</v>
      </c>
      <c r="BE209" s="452">
        <v>0</v>
      </c>
      <c r="BF209" s="452">
        <v>0</v>
      </c>
      <c r="BG209" s="452">
        <v>0</v>
      </c>
      <c r="BH209" s="409">
        <v>0</v>
      </c>
      <c r="BI209" s="409">
        <v>0</v>
      </c>
      <c r="BJ209" s="409">
        <v>0</v>
      </c>
      <c r="BK209" s="409">
        <v>0</v>
      </c>
      <c r="BL209" s="409">
        <v>0</v>
      </c>
      <c r="BM209" s="453">
        <f t="shared" si="80"/>
        <v>0</v>
      </c>
      <c r="BN209" s="452">
        <v>0</v>
      </c>
      <c r="BO209" s="452">
        <v>0</v>
      </c>
      <c r="BP209" s="452">
        <v>0</v>
      </c>
      <c r="BQ209" s="452">
        <v>0</v>
      </c>
      <c r="BR209" s="452">
        <v>0</v>
      </c>
      <c r="BS209" s="452">
        <v>0</v>
      </c>
      <c r="BT209" s="452">
        <v>0</v>
      </c>
      <c r="BU209" s="409">
        <v>0</v>
      </c>
      <c r="BV209" s="409">
        <v>0</v>
      </c>
      <c r="BW209" s="409">
        <v>0</v>
      </c>
      <c r="BX209" s="409">
        <v>0</v>
      </c>
      <c r="BY209" s="409">
        <v>0</v>
      </c>
      <c r="BZ209" s="453">
        <f t="shared" si="81"/>
        <v>0</v>
      </c>
      <c r="CA209" s="454">
        <f t="shared" si="82"/>
        <v>121.75147070251464</v>
      </c>
      <c r="CB209" s="419"/>
      <c r="CC209" s="419">
        <v>1</v>
      </c>
      <c r="CD209" s="419">
        <v>1</v>
      </c>
      <c r="CE209" s="419">
        <v>1</v>
      </c>
      <c r="CF209" s="419">
        <v>1</v>
      </c>
      <c r="CG209" s="420">
        <f>IFERROR((FE209/Z209%),0)</f>
        <v>84.6099518208013</v>
      </c>
      <c r="CH209" s="421">
        <f>IFERROR((FK209/Z209%),0)</f>
        <v>96.513577895794654</v>
      </c>
      <c r="CI209" s="414" t="s">
        <v>1622</v>
      </c>
      <c r="CJ209" s="415">
        <v>0</v>
      </c>
      <c r="CK209" s="415">
        <v>47.087883720930229</v>
      </c>
      <c r="CL209" s="415">
        <v>42.148604651162792</v>
      </c>
      <c r="CM209" s="415">
        <v>60.938302325581404</v>
      </c>
      <c r="CN209" s="415">
        <v>0</v>
      </c>
      <c r="CO209" s="415">
        <v>89.39232558139534</v>
      </c>
      <c r="CP209" s="415">
        <v>78.604651162790688</v>
      </c>
      <c r="CQ209" s="415">
        <v>79.510720930232566</v>
      </c>
      <c r="CR209" s="415">
        <v>0</v>
      </c>
      <c r="CS209" s="415">
        <v>0</v>
      </c>
      <c r="CT209" s="415">
        <v>0</v>
      </c>
      <c r="CU209" s="415">
        <v>0</v>
      </c>
      <c r="CV209" s="410">
        <f t="shared" si="84"/>
        <v>397.68248837209308</v>
      </c>
      <c r="CW209" s="415">
        <v>69.767441860465112</v>
      </c>
      <c r="CX209" s="415">
        <v>69.767441860465112</v>
      </c>
      <c r="CY209" s="415">
        <v>0</v>
      </c>
      <c r="CZ209" s="415">
        <v>0</v>
      </c>
      <c r="DA209" s="415">
        <v>0</v>
      </c>
      <c r="DB209" s="415">
        <v>0</v>
      </c>
      <c r="DC209" s="415">
        <v>0</v>
      </c>
      <c r="DD209" s="415">
        <v>0</v>
      </c>
      <c r="DE209" s="415">
        <v>0</v>
      </c>
      <c r="DF209" s="415">
        <v>0</v>
      </c>
      <c r="DG209" s="415">
        <v>0</v>
      </c>
      <c r="DH209" s="415">
        <v>0</v>
      </c>
      <c r="DI209" s="410">
        <f t="shared" si="85"/>
        <v>139.53488372093022</v>
      </c>
      <c r="DJ209" s="415">
        <v>0</v>
      </c>
      <c r="DK209" s="415">
        <v>0</v>
      </c>
      <c r="DL209" s="415">
        <v>0</v>
      </c>
      <c r="DM209" s="415">
        <v>0</v>
      </c>
      <c r="DN209" s="415">
        <v>0</v>
      </c>
      <c r="DO209" s="415">
        <v>0</v>
      </c>
      <c r="DP209" s="415">
        <v>0</v>
      </c>
      <c r="DQ209" s="415">
        <v>0</v>
      </c>
      <c r="DR209" s="415">
        <v>0</v>
      </c>
      <c r="DS209" s="415">
        <v>0</v>
      </c>
      <c r="DT209" s="415">
        <v>0</v>
      </c>
      <c r="DU209" s="415">
        <v>0</v>
      </c>
      <c r="DV209" s="410">
        <f t="shared" si="86"/>
        <v>0</v>
      </c>
      <c r="DW209" s="415">
        <v>0</v>
      </c>
      <c r="DX209" s="415">
        <v>0</v>
      </c>
      <c r="DY209" s="415">
        <v>0</v>
      </c>
      <c r="DZ209" s="415">
        <v>0</v>
      </c>
      <c r="EA209" s="415">
        <v>0</v>
      </c>
      <c r="EB209" s="415">
        <v>0</v>
      </c>
      <c r="EC209" s="415">
        <v>0</v>
      </c>
      <c r="ED209" s="415">
        <v>0</v>
      </c>
      <c r="EE209" s="415">
        <v>0</v>
      </c>
      <c r="EF209" s="415">
        <v>0</v>
      </c>
      <c r="EG209" s="415">
        <v>0</v>
      </c>
      <c r="EH209" s="415">
        <v>0</v>
      </c>
      <c r="EI209" s="410">
        <f t="shared" si="87"/>
        <v>0</v>
      </c>
      <c r="EJ209" s="415">
        <v>0</v>
      </c>
      <c r="EK209" s="415">
        <v>0</v>
      </c>
      <c r="EL209" s="415">
        <v>0</v>
      </c>
      <c r="EM209" s="415">
        <v>0</v>
      </c>
      <c r="EN209" s="415">
        <v>0</v>
      </c>
      <c r="EO209" s="415">
        <v>0</v>
      </c>
      <c r="EP209" s="415">
        <v>0</v>
      </c>
      <c r="EQ209" s="415">
        <v>0</v>
      </c>
      <c r="ER209" s="415">
        <v>0</v>
      </c>
      <c r="ES209" s="415">
        <v>0</v>
      </c>
      <c r="ET209" s="415">
        <v>0</v>
      </c>
      <c r="EU209" s="415">
        <v>0</v>
      </c>
      <c r="EV209" s="410">
        <f t="shared" si="88"/>
        <v>0</v>
      </c>
      <c r="EW209" s="416">
        <f t="shared" si="89"/>
        <v>537.2173720930233</v>
      </c>
      <c r="EX209" s="417">
        <f>IFERROR(VLOOKUP(H209,CEI_012018!$A$1:$U$509,9,FALSE),0)</f>
        <v>0</v>
      </c>
      <c r="EY209" s="417">
        <f>IFERROR(VLOOKUP(H209,CEI_022018!$A$1:$U$509,9,FALSE),0)</f>
        <v>20.24778938293457</v>
      </c>
      <c r="EZ209" s="417">
        <f>IFERROR(VLOOKUP(H209,CEI_032018!$A$1:$U$509,9,FALSE),0)</f>
        <v>38.371688842773438</v>
      </c>
      <c r="FA209" s="417">
        <f>IFERROR(VLOOKUP(H209,CEI_042018!$A$1:$U$491,9,FALSE),0)</f>
        <v>64.575159072875977</v>
      </c>
      <c r="FB209" s="417">
        <f>IFERROR(VLOOKUP(H209,CEI_052018!$A$1:$U$489,9,FALSE),0)</f>
        <v>64.575159072875977</v>
      </c>
      <c r="FC209" s="417">
        <f>IFERROR(VLOOKUP(H209,CEI_062018!$A$1:$U$489,9,FALSE),0)</f>
        <v>103.01386070251465</v>
      </c>
      <c r="FD209" s="417">
        <f>IFERROR(VLOOKUP(H209,CEI_072018!$A$1:$U$489,9,FALSE),0)</f>
        <v>103.01386070251465</v>
      </c>
      <c r="FE209" s="417">
        <f>IFERROR(VLOOKUP(H209,CEI_082018!$A$1:$U$489,9,FALSE),0)</f>
        <v>103.01386070251465</v>
      </c>
      <c r="FF209" s="417">
        <f>IFERROR(VLOOKUP(H209,CEI_092018!$A$1:$U$489,9,FALSE),0)</f>
        <v>103.01386070251465</v>
      </c>
      <c r="FG209" s="417"/>
      <c r="FH209" s="417"/>
      <c r="FI209" s="417"/>
      <c r="FJ209" s="418">
        <f>IFERROR(VLOOKUP(H209,CEI_092018!$A$1:$U$489,12,FALSE),0)</f>
        <v>14.492839813232422</v>
      </c>
      <c r="FK209" s="418">
        <f t="shared" si="70"/>
        <v>117.50670051574707</v>
      </c>
      <c r="FL209" s="418">
        <f t="shared" si="71"/>
        <v>4.2447701867675676</v>
      </c>
      <c r="FM209" s="417"/>
      <c r="FN209" s="417"/>
      <c r="FO209" s="417"/>
      <c r="FP209" s="417"/>
      <c r="FQ209" s="417"/>
      <c r="FR209" s="417"/>
      <c r="FS209" s="417"/>
      <c r="FT209" s="417"/>
      <c r="FU209" s="417"/>
      <c r="FV209" s="417"/>
      <c r="FW209" s="417"/>
      <c r="FX209" s="417"/>
      <c r="FY209" s="418"/>
      <c r="FZ209" s="418"/>
      <c r="GA209" s="418"/>
      <c r="GB209" s="417"/>
      <c r="GC209" s="417"/>
      <c r="GD209" s="417"/>
      <c r="GE209" s="417"/>
      <c r="GF209" s="417"/>
      <c r="GG209" s="417"/>
      <c r="GH209" s="417"/>
      <c r="GI209" s="417"/>
      <c r="GJ209" s="417"/>
      <c r="GK209" s="417"/>
      <c r="GL209" s="417"/>
      <c r="GM209" s="417"/>
      <c r="GN209" s="418"/>
      <c r="GO209" s="418"/>
      <c r="GP209" s="418"/>
      <c r="GQ209" s="417"/>
      <c r="GR209" s="417"/>
      <c r="GS209" s="417"/>
      <c r="GT209" s="417"/>
      <c r="GU209" s="417"/>
      <c r="GV209" s="417"/>
      <c r="GW209" s="417"/>
      <c r="GX209" s="417"/>
      <c r="GY209" s="417"/>
      <c r="GZ209" s="417"/>
      <c r="HA209" s="417"/>
      <c r="HB209" s="417"/>
      <c r="HC209" s="418"/>
      <c r="HD209" s="418"/>
      <c r="HE209" s="418"/>
      <c r="HF209" s="417"/>
      <c r="HG209" s="417"/>
      <c r="HH209" s="417"/>
      <c r="HI209" s="417"/>
      <c r="HJ209" s="417"/>
      <c r="HK209" s="417"/>
      <c r="HL209" s="417"/>
      <c r="HM209" s="417"/>
      <c r="HN209" s="417"/>
      <c r="HO209" s="417"/>
      <c r="HP209" s="417"/>
      <c r="HQ209" s="417"/>
      <c r="HR209" s="418"/>
      <c r="HS209" s="418"/>
      <c r="HT209" s="418"/>
    </row>
    <row r="210" spans="1:228" s="387" customFormat="1" ht="12.75" customHeight="1" x14ac:dyDescent="0.2">
      <c r="A210" s="406" t="s">
        <v>55</v>
      </c>
      <c r="B210" s="407" t="s">
        <v>42</v>
      </c>
      <c r="C210" s="406" t="s">
        <v>1000</v>
      </c>
      <c r="D210" s="407" t="s">
        <v>1006</v>
      </c>
      <c r="E210" s="407" t="s">
        <v>1000</v>
      </c>
      <c r="F210" s="407" t="s">
        <v>1006</v>
      </c>
      <c r="G210" s="406" t="s">
        <v>54</v>
      </c>
      <c r="H210" s="408" t="s">
        <v>520</v>
      </c>
      <c r="I210" s="408" t="s">
        <v>57</v>
      </c>
      <c r="J210" s="406" t="s">
        <v>366</v>
      </c>
      <c r="K210" s="406" t="s">
        <v>367</v>
      </c>
      <c r="L210" s="406" t="s">
        <v>368</v>
      </c>
      <c r="M210" s="406" t="s">
        <v>57</v>
      </c>
      <c r="N210" s="452">
        <v>0</v>
      </c>
      <c r="O210" s="452">
        <v>0</v>
      </c>
      <c r="P210" s="452">
        <v>0</v>
      </c>
      <c r="Q210" s="452">
        <v>0</v>
      </c>
      <c r="R210" s="452">
        <v>0</v>
      </c>
      <c r="S210" s="452">
        <v>0</v>
      </c>
      <c r="T210" s="452">
        <v>0</v>
      </c>
      <c r="U210" s="409">
        <v>0</v>
      </c>
      <c r="V210" s="409">
        <v>0</v>
      </c>
      <c r="W210" s="409">
        <v>0</v>
      </c>
      <c r="X210" s="409">
        <v>0</v>
      </c>
      <c r="Y210" s="409">
        <v>0</v>
      </c>
      <c r="Z210" s="453">
        <f t="shared" si="83"/>
        <v>0</v>
      </c>
      <c r="AA210" s="452">
        <v>0</v>
      </c>
      <c r="AB210" s="452">
        <v>0</v>
      </c>
      <c r="AC210" s="452">
        <v>0</v>
      </c>
      <c r="AD210" s="452">
        <v>0</v>
      </c>
      <c r="AE210" s="452">
        <v>0</v>
      </c>
      <c r="AF210" s="452">
        <v>0</v>
      </c>
      <c r="AG210" s="452">
        <v>0</v>
      </c>
      <c r="AH210" s="409">
        <v>0</v>
      </c>
      <c r="AI210" s="409">
        <v>0</v>
      </c>
      <c r="AJ210" s="409">
        <v>0</v>
      </c>
      <c r="AK210" s="409">
        <v>0</v>
      </c>
      <c r="AL210" s="409">
        <v>0</v>
      </c>
      <c r="AM210" s="453">
        <f t="shared" si="78"/>
        <v>0</v>
      </c>
      <c r="AN210" s="452">
        <v>0</v>
      </c>
      <c r="AO210" s="452">
        <v>0</v>
      </c>
      <c r="AP210" s="452">
        <v>0</v>
      </c>
      <c r="AQ210" s="452">
        <v>0</v>
      </c>
      <c r="AR210" s="452">
        <v>0</v>
      </c>
      <c r="AS210" s="452">
        <v>0</v>
      </c>
      <c r="AT210" s="452">
        <v>0</v>
      </c>
      <c r="AU210" s="409">
        <v>0</v>
      </c>
      <c r="AV210" s="409">
        <v>0</v>
      </c>
      <c r="AW210" s="409">
        <v>0</v>
      </c>
      <c r="AX210" s="409">
        <v>0</v>
      </c>
      <c r="AY210" s="409">
        <v>0</v>
      </c>
      <c r="AZ210" s="453">
        <f t="shared" si="79"/>
        <v>0</v>
      </c>
      <c r="BA210" s="452">
        <v>0</v>
      </c>
      <c r="BB210" s="452">
        <v>0</v>
      </c>
      <c r="BC210" s="452">
        <v>0</v>
      </c>
      <c r="BD210" s="452">
        <v>0</v>
      </c>
      <c r="BE210" s="452">
        <v>3000</v>
      </c>
      <c r="BF210" s="452">
        <v>0</v>
      </c>
      <c r="BG210" s="452">
        <v>0</v>
      </c>
      <c r="BH210" s="409">
        <v>0</v>
      </c>
      <c r="BI210" s="409">
        <v>0</v>
      </c>
      <c r="BJ210" s="409">
        <v>0</v>
      </c>
      <c r="BK210" s="409">
        <v>0</v>
      </c>
      <c r="BL210" s="409">
        <v>0</v>
      </c>
      <c r="BM210" s="453">
        <f t="shared" si="80"/>
        <v>3000</v>
      </c>
      <c r="BN210" s="452">
        <v>0</v>
      </c>
      <c r="BO210" s="452">
        <v>0</v>
      </c>
      <c r="BP210" s="452">
        <v>0</v>
      </c>
      <c r="BQ210" s="452">
        <v>0</v>
      </c>
      <c r="BR210" s="452">
        <v>0</v>
      </c>
      <c r="BS210" s="452">
        <v>0</v>
      </c>
      <c r="BT210" s="452">
        <v>0</v>
      </c>
      <c r="BU210" s="409">
        <v>0</v>
      </c>
      <c r="BV210" s="409">
        <v>0</v>
      </c>
      <c r="BW210" s="409">
        <v>0</v>
      </c>
      <c r="BX210" s="409">
        <v>0</v>
      </c>
      <c r="BY210" s="409">
        <v>0</v>
      </c>
      <c r="BZ210" s="453">
        <f t="shared" si="81"/>
        <v>0</v>
      </c>
      <c r="CA210" s="454">
        <f t="shared" si="82"/>
        <v>3000</v>
      </c>
      <c r="CB210" s="411"/>
      <c r="CC210" s="411"/>
      <c r="CD210" s="411"/>
      <c r="CE210" s="411"/>
      <c r="CF210" s="411"/>
      <c r="CG210" s="412"/>
      <c r="CH210" s="413"/>
      <c r="CI210" s="414" t="s">
        <v>1603</v>
      </c>
      <c r="CJ210" s="415">
        <v>0</v>
      </c>
      <c r="CK210" s="415">
        <v>0</v>
      </c>
      <c r="CL210" s="415">
        <v>0</v>
      </c>
      <c r="CM210" s="415">
        <v>0</v>
      </c>
      <c r="CN210" s="415">
        <v>0</v>
      </c>
      <c r="CO210" s="415">
        <v>0</v>
      </c>
      <c r="CP210" s="415">
        <v>0</v>
      </c>
      <c r="CQ210" s="415">
        <v>0</v>
      </c>
      <c r="CR210" s="415">
        <v>0</v>
      </c>
      <c r="CS210" s="415">
        <v>0</v>
      </c>
      <c r="CT210" s="415">
        <v>0</v>
      </c>
      <c r="CU210" s="415">
        <v>0</v>
      </c>
      <c r="CV210" s="410">
        <f t="shared" si="84"/>
        <v>0</v>
      </c>
      <c r="CW210" s="415">
        <v>0</v>
      </c>
      <c r="CX210" s="415">
        <v>0</v>
      </c>
      <c r="CY210" s="415">
        <v>0</v>
      </c>
      <c r="CZ210" s="415">
        <v>0</v>
      </c>
      <c r="DA210" s="415">
        <v>0</v>
      </c>
      <c r="DB210" s="415">
        <v>0</v>
      </c>
      <c r="DC210" s="415">
        <v>0</v>
      </c>
      <c r="DD210" s="415">
        <v>0</v>
      </c>
      <c r="DE210" s="415">
        <v>0</v>
      </c>
      <c r="DF210" s="415">
        <v>0</v>
      </c>
      <c r="DG210" s="415">
        <v>0</v>
      </c>
      <c r="DH210" s="415">
        <v>0</v>
      </c>
      <c r="DI210" s="410">
        <f t="shared" si="85"/>
        <v>0</v>
      </c>
      <c r="DJ210" s="415">
        <v>0</v>
      </c>
      <c r="DK210" s="415">
        <v>0</v>
      </c>
      <c r="DL210" s="415">
        <v>0</v>
      </c>
      <c r="DM210" s="415">
        <v>0</v>
      </c>
      <c r="DN210" s="415">
        <v>0</v>
      </c>
      <c r="DO210" s="415">
        <v>0</v>
      </c>
      <c r="DP210" s="415">
        <v>0</v>
      </c>
      <c r="DQ210" s="415">
        <v>0</v>
      </c>
      <c r="DR210" s="415">
        <v>0</v>
      </c>
      <c r="DS210" s="415">
        <v>0</v>
      </c>
      <c r="DT210" s="415">
        <v>0</v>
      </c>
      <c r="DU210" s="415">
        <v>0</v>
      </c>
      <c r="DV210" s="410">
        <f t="shared" si="86"/>
        <v>0</v>
      </c>
      <c r="DW210" s="415">
        <v>0</v>
      </c>
      <c r="DX210" s="415">
        <v>0</v>
      </c>
      <c r="DY210" s="415">
        <v>0</v>
      </c>
      <c r="DZ210" s="415">
        <v>0</v>
      </c>
      <c r="EA210" s="415">
        <v>15</v>
      </c>
      <c r="EB210" s="415">
        <v>0</v>
      </c>
      <c r="EC210" s="415">
        <v>0</v>
      </c>
      <c r="ED210" s="415">
        <v>0</v>
      </c>
      <c r="EE210" s="415">
        <v>0</v>
      </c>
      <c r="EF210" s="415">
        <v>0</v>
      </c>
      <c r="EG210" s="415">
        <v>0</v>
      </c>
      <c r="EH210" s="415">
        <v>0</v>
      </c>
      <c r="EI210" s="410">
        <f t="shared" si="87"/>
        <v>15</v>
      </c>
      <c r="EJ210" s="415">
        <v>0</v>
      </c>
      <c r="EK210" s="415">
        <v>0</v>
      </c>
      <c r="EL210" s="415">
        <v>0</v>
      </c>
      <c r="EM210" s="415">
        <v>0</v>
      </c>
      <c r="EN210" s="415">
        <v>0</v>
      </c>
      <c r="EO210" s="415">
        <v>0</v>
      </c>
      <c r="EP210" s="415">
        <v>0</v>
      </c>
      <c r="EQ210" s="415">
        <v>0</v>
      </c>
      <c r="ER210" s="415">
        <v>0</v>
      </c>
      <c r="ES210" s="415">
        <v>0</v>
      </c>
      <c r="ET210" s="415">
        <v>0</v>
      </c>
      <c r="EU210" s="415">
        <v>0</v>
      </c>
      <c r="EV210" s="410">
        <f t="shared" si="88"/>
        <v>0</v>
      </c>
      <c r="EW210" s="416">
        <f t="shared" si="89"/>
        <v>15</v>
      </c>
      <c r="EX210" s="417">
        <f>IFERROR(VLOOKUP(H210,CEI_012018!$A$1:$U$509,9,FALSE),0)</f>
        <v>0</v>
      </c>
      <c r="EY210" s="417">
        <f>IFERROR(VLOOKUP(H210,CEI_022018!$A$1:$U$509,9,FALSE),0)</f>
        <v>0</v>
      </c>
      <c r="EZ210" s="417">
        <f>IFERROR(VLOOKUP(H210,CEI_032018!$A$1:$U$509,9,FALSE),0)</f>
        <v>0</v>
      </c>
      <c r="FA210" s="417">
        <f>IFERROR(VLOOKUP(H210,CEI_042018!$A$1:$U$491,9,FALSE),0)</f>
        <v>0</v>
      </c>
      <c r="FB210" s="417">
        <f>IFERROR(VLOOKUP(H210,CEI_052018!$A$1:$U$489,9,FALSE),0)</f>
        <v>0</v>
      </c>
      <c r="FC210" s="417">
        <f>IFERROR(VLOOKUP(H210,CEI_062018!$A$1:$U$489,9,FALSE),0)</f>
        <v>0</v>
      </c>
      <c r="FD210" s="417">
        <f>IFERROR(VLOOKUP(H210,CEI_072018!$A$1:$U$489,9,FALSE),0)</f>
        <v>0</v>
      </c>
      <c r="FE210" s="417">
        <f>IFERROR(VLOOKUP(H210,CEI_082018!$A$1:$U$489,9,FALSE),0)</f>
        <v>0</v>
      </c>
      <c r="FF210" s="417">
        <f>IFERROR(VLOOKUP(H210,CEI_092018!$A$1:$U$489,9,FALSE),0)</f>
        <v>0</v>
      </c>
      <c r="FG210" s="417"/>
      <c r="FH210" s="417"/>
      <c r="FI210" s="417"/>
      <c r="FJ210" s="418">
        <f>IFERROR(VLOOKUP(H210,CEI_092018!$A$1:$U$489,12,FALSE),0)</f>
        <v>0</v>
      </c>
      <c r="FK210" s="418">
        <f t="shared" si="70"/>
        <v>0</v>
      </c>
      <c r="FL210" s="418">
        <f t="shared" si="71"/>
        <v>0</v>
      </c>
      <c r="FM210" s="417"/>
      <c r="FN210" s="417"/>
      <c r="FO210" s="417"/>
      <c r="FP210" s="417"/>
      <c r="FQ210" s="417"/>
      <c r="FR210" s="417"/>
      <c r="FS210" s="417"/>
      <c r="FT210" s="417"/>
      <c r="FU210" s="417"/>
      <c r="FV210" s="417"/>
      <c r="FW210" s="417"/>
      <c r="FX210" s="417"/>
      <c r="FY210" s="418"/>
      <c r="FZ210" s="418"/>
      <c r="GA210" s="418"/>
      <c r="GB210" s="417"/>
      <c r="GC210" s="417"/>
      <c r="GD210" s="417"/>
      <c r="GE210" s="417"/>
      <c r="GF210" s="417"/>
      <c r="GG210" s="417"/>
      <c r="GH210" s="417"/>
      <c r="GI210" s="417"/>
      <c r="GJ210" s="417"/>
      <c r="GK210" s="417"/>
      <c r="GL210" s="417"/>
      <c r="GM210" s="417"/>
      <c r="GN210" s="418"/>
      <c r="GO210" s="418"/>
      <c r="GP210" s="418"/>
      <c r="GQ210" s="417"/>
      <c r="GR210" s="417"/>
      <c r="GS210" s="417"/>
      <c r="GT210" s="417"/>
      <c r="GU210" s="417"/>
      <c r="GV210" s="417"/>
      <c r="GW210" s="417"/>
      <c r="GX210" s="417"/>
      <c r="GY210" s="417"/>
      <c r="GZ210" s="417"/>
      <c r="HA210" s="417"/>
      <c r="HB210" s="417"/>
      <c r="HC210" s="418"/>
      <c r="HD210" s="418"/>
      <c r="HE210" s="418"/>
      <c r="HF210" s="417"/>
      <c r="HG210" s="417"/>
      <c r="HH210" s="417"/>
      <c r="HI210" s="417"/>
      <c r="HJ210" s="417"/>
      <c r="HK210" s="417"/>
      <c r="HL210" s="417"/>
      <c r="HM210" s="417"/>
      <c r="HN210" s="417"/>
      <c r="HO210" s="417"/>
      <c r="HP210" s="417"/>
      <c r="HQ210" s="417"/>
      <c r="HR210" s="418"/>
      <c r="HS210" s="418"/>
      <c r="HT210" s="418"/>
    </row>
    <row r="211" spans="1:228" s="387" customFormat="1" ht="12.75" customHeight="1" x14ac:dyDescent="0.2">
      <c r="A211" s="406" t="s">
        <v>55</v>
      </c>
      <c r="B211" s="407" t="s">
        <v>42</v>
      </c>
      <c r="C211" s="406" t="s">
        <v>1000</v>
      </c>
      <c r="D211" s="407" t="s">
        <v>1004</v>
      </c>
      <c r="E211" s="407" t="s">
        <v>1000</v>
      </c>
      <c r="F211" s="407" t="s">
        <v>1004</v>
      </c>
      <c r="G211" s="406" t="s">
        <v>54</v>
      </c>
      <c r="H211" s="408" t="s">
        <v>1120</v>
      </c>
      <c r="I211" s="408" t="s">
        <v>1121</v>
      </c>
      <c r="J211" s="406" t="s">
        <v>1122</v>
      </c>
      <c r="K211" s="406" t="s">
        <v>1123</v>
      </c>
      <c r="L211" s="406" t="s">
        <v>57</v>
      </c>
      <c r="M211" s="406" t="s">
        <v>57</v>
      </c>
      <c r="N211" s="452">
        <v>0</v>
      </c>
      <c r="O211" s="452">
        <v>0</v>
      </c>
      <c r="P211" s="452">
        <v>10.502650260925293</v>
      </c>
      <c r="Q211" s="452">
        <v>0</v>
      </c>
      <c r="R211" s="452">
        <v>0</v>
      </c>
      <c r="S211" s="452">
        <v>0</v>
      </c>
      <c r="T211" s="452">
        <v>0</v>
      </c>
      <c r="U211" s="409">
        <v>0</v>
      </c>
      <c r="V211" s="409">
        <v>0</v>
      </c>
      <c r="W211" s="409">
        <v>0</v>
      </c>
      <c r="X211" s="409">
        <v>0</v>
      </c>
      <c r="Y211" s="409">
        <v>0</v>
      </c>
      <c r="Z211" s="453">
        <f t="shared" si="83"/>
        <v>10.502650260925293</v>
      </c>
      <c r="AA211" s="452">
        <v>0</v>
      </c>
      <c r="AB211" s="452">
        <v>0</v>
      </c>
      <c r="AC211" s="452">
        <v>0</v>
      </c>
      <c r="AD211" s="452">
        <v>0</v>
      </c>
      <c r="AE211" s="452">
        <v>0</v>
      </c>
      <c r="AF211" s="452">
        <v>0</v>
      </c>
      <c r="AG211" s="452">
        <v>0</v>
      </c>
      <c r="AH211" s="409">
        <v>0</v>
      </c>
      <c r="AI211" s="409">
        <v>0</v>
      </c>
      <c r="AJ211" s="409">
        <v>0</v>
      </c>
      <c r="AK211" s="409">
        <v>0</v>
      </c>
      <c r="AL211" s="409">
        <v>0</v>
      </c>
      <c r="AM211" s="453">
        <f t="shared" si="78"/>
        <v>0</v>
      </c>
      <c r="AN211" s="452">
        <v>0</v>
      </c>
      <c r="AO211" s="452">
        <v>0</v>
      </c>
      <c r="AP211" s="452">
        <v>0</v>
      </c>
      <c r="AQ211" s="452">
        <v>0</v>
      </c>
      <c r="AR211" s="452">
        <v>0</v>
      </c>
      <c r="AS211" s="452">
        <v>0</v>
      </c>
      <c r="AT211" s="452">
        <v>0</v>
      </c>
      <c r="AU211" s="409">
        <v>0</v>
      </c>
      <c r="AV211" s="409">
        <v>0</v>
      </c>
      <c r="AW211" s="409">
        <v>0</v>
      </c>
      <c r="AX211" s="409">
        <v>0</v>
      </c>
      <c r="AY211" s="409">
        <v>0</v>
      </c>
      <c r="AZ211" s="453">
        <f t="shared" si="79"/>
        <v>0</v>
      </c>
      <c r="BA211" s="452">
        <v>0</v>
      </c>
      <c r="BB211" s="452">
        <v>0</v>
      </c>
      <c r="BC211" s="452">
        <v>0</v>
      </c>
      <c r="BD211" s="452">
        <v>0</v>
      </c>
      <c r="BE211" s="452">
        <v>0</v>
      </c>
      <c r="BF211" s="452">
        <v>0</v>
      </c>
      <c r="BG211" s="452">
        <v>0</v>
      </c>
      <c r="BH211" s="409">
        <v>0</v>
      </c>
      <c r="BI211" s="409">
        <v>0</v>
      </c>
      <c r="BJ211" s="409">
        <v>0</v>
      </c>
      <c r="BK211" s="409">
        <v>0</v>
      </c>
      <c r="BL211" s="409">
        <v>0</v>
      </c>
      <c r="BM211" s="453">
        <f t="shared" si="80"/>
        <v>0</v>
      </c>
      <c r="BN211" s="452">
        <v>0</v>
      </c>
      <c r="BO211" s="452">
        <v>0</v>
      </c>
      <c r="BP211" s="452">
        <v>0</v>
      </c>
      <c r="BQ211" s="452">
        <v>0</v>
      </c>
      <c r="BR211" s="452">
        <v>0</v>
      </c>
      <c r="BS211" s="452">
        <v>0</v>
      </c>
      <c r="BT211" s="452">
        <v>0</v>
      </c>
      <c r="BU211" s="409">
        <v>0</v>
      </c>
      <c r="BV211" s="409">
        <v>0</v>
      </c>
      <c r="BW211" s="409">
        <v>0</v>
      </c>
      <c r="BX211" s="409">
        <v>0</v>
      </c>
      <c r="BY211" s="409">
        <v>0</v>
      </c>
      <c r="BZ211" s="453">
        <f t="shared" si="81"/>
        <v>0</v>
      </c>
      <c r="CA211" s="454">
        <f t="shared" si="82"/>
        <v>10.502650260925293</v>
      </c>
      <c r="CB211" s="419"/>
      <c r="CC211" s="419">
        <v>1</v>
      </c>
      <c r="CD211" s="419">
        <v>1</v>
      </c>
      <c r="CE211" s="419">
        <v>1</v>
      </c>
      <c r="CF211" s="419">
        <v>1</v>
      </c>
      <c r="CG211" s="420">
        <f>IFERROR((FE211/Z211%),0)</f>
        <v>100</v>
      </c>
      <c r="CH211" s="421">
        <f>IFERROR((FK211/Z211%),0)</f>
        <v>100</v>
      </c>
      <c r="CI211" s="414" t="s">
        <v>1622</v>
      </c>
      <c r="CJ211" s="415">
        <v>0</v>
      </c>
      <c r="CK211" s="415">
        <v>0</v>
      </c>
      <c r="CL211" s="415">
        <v>24.424767441860464</v>
      </c>
      <c r="CM211" s="415">
        <v>0</v>
      </c>
      <c r="CN211" s="415">
        <v>0</v>
      </c>
      <c r="CO211" s="415">
        <v>0</v>
      </c>
      <c r="CP211" s="415">
        <v>0</v>
      </c>
      <c r="CQ211" s="415">
        <v>0</v>
      </c>
      <c r="CR211" s="415">
        <v>0</v>
      </c>
      <c r="CS211" s="415">
        <v>0</v>
      </c>
      <c r="CT211" s="415">
        <v>0</v>
      </c>
      <c r="CU211" s="415">
        <v>0</v>
      </c>
      <c r="CV211" s="410">
        <f t="shared" si="84"/>
        <v>24.424767441860464</v>
      </c>
      <c r="CW211" s="415">
        <v>0</v>
      </c>
      <c r="CX211" s="415">
        <v>0</v>
      </c>
      <c r="CY211" s="415">
        <v>0</v>
      </c>
      <c r="CZ211" s="415">
        <v>0</v>
      </c>
      <c r="DA211" s="415">
        <v>0</v>
      </c>
      <c r="DB211" s="415">
        <v>0</v>
      </c>
      <c r="DC211" s="415">
        <v>0</v>
      </c>
      <c r="DD211" s="415">
        <v>0</v>
      </c>
      <c r="DE211" s="415">
        <v>0</v>
      </c>
      <c r="DF211" s="415">
        <v>0</v>
      </c>
      <c r="DG211" s="415">
        <v>0</v>
      </c>
      <c r="DH211" s="415">
        <v>0</v>
      </c>
      <c r="DI211" s="410">
        <f t="shared" si="85"/>
        <v>0</v>
      </c>
      <c r="DJ211" s="415">
        <v>0</v>
      </c>
      <c r="DK211" s="415">
        <v>0</v>
      </c>
      <c r="DL211" s="415">
        <v>0</v>
      </c>
      <c r="DM211" s="415">
        <v>0</v>
      </c>
      <c r="DN211" s="415">
        <v>0</v>
      </c>
      <c r="DO211" s="415">
        <v>0</v>
      </c>
      <c r="DP211" s="415">
        <v>0</v>
      </c>
      <c r="DQ211" s="415">
        <v>0</v>
      </c>
      <c r="DR211" s="415">
        <v>0</v>
      </c>
      <c r="DS211" s="415">
        <v>0</v>
      </c>
      <c r="DT211" s="415">
        <v>0</v>
      </c>
      <c r="DU211" s="415">
        <v>0</v>
      </c>
      <c r="DV211" s="410">
        <f t="shared" si="86"/>
        <v>0</v>
      </c>
      <c r="DW211" s="415">
        <v>0</v>
      </c>
      <c r="DX211" s="415">
        <v>0</v>
      </c>
      <c r="DY211" s="415">
        <v>0</v>
      </c>
      <c r="DZ211" s="415">
        <v>0</v>
      </c>
      <c r="EA211" s="415">
        <v>0</v>
      </c>
      <c r="EB211" s="415">
        <v>0</v>
      </c>
      <c r="EC211" s="415">
        <v>0</v>
      </c>
      <c r="ED211" s="415">
        <v>0</v>
      </c>
      <c r="EE211" s="415">
        <v>0</v>
      </c>
      <c r="EF211" s="415">
        <v>0</v>
      </c>
      <c r="EG211" s="415">
        <v>0</v>
      </c>
      <c r="EH211" s="415">
        <v>0</v>
      </c>
      <c r="EI211" s="410">
        <f t="shared" si="87"/>
        <v>0</v>
      </c>
      <c r="EJ211" s="415">
        <v>0</v>
      </c>
      <c r="EK211" s="415">
        <v>0</v>
      </c>
      <c r="EL211" s="415">
        <v>0</v>
      </c>
      <c r="EM211" s="415">
        <v>0</v>
      </c>
      <c r="EN211" s="415">
        <v>0</v>
      </c>
      <c r="EO211" s="415">
        <v>0</v>
      </c>
      <c r="EP211" s="415">
        <v>0</v>
      </c>
      <c r="EQ211" s="415">
        <v>0</v>
      </c>
      <c r="ER211" s="415">
        <v>0</v>
      </c>
      <c r="ES211" s="415">
        <v>0</v>
      </c>
      <c r="ET211" s="415">
        <v>0</v>
      </c>
      <c r="EU211" s="415">
        <v>0</v>
      </c>
      <c r="EV211" s="410">
        <f t="shared" si="88"/>
        <v>0</v>
      </c>
      <c r="EW211" s="416">
        <f t="shared" si="89"/>
        <v>24.424767441860464</v>
      </c>
      <c r="EX211" s="417">
        <f>IFERROR(VLOOKUP(H211,CEI_012018!$A$1:$U$509,9,FALSE),0)</f>
        <v>0</v>
      </c>
      <c r="EY211" s="417">
        <f>IFERROR(VLOOKUP(H211,CEI_022018!$A$1:$U$509,9,FALSE),0)</f>
        <v>0</v>
      </c>
      <c r="EZ211" s="417">
        <f>IFERROR(VLOOKUP(H211,CEI_032018!$A$1:$U$509,9,FALSE),0)</f>
        <v>10.502650260925293</v>
      </c>
      <c r="FA211" s="417">
        <f>IFERROR(VLOOKUP(H211,CEI_042018!$A$1:$U$491,9,FALSE),0)</f>
        <v>10.502650260925293</v>
      </c>
      <c r="FB211" s="417">
        <f>IFERROR(VLOOKUP(H211,CEI_052018!$A$1:$U$489,9,FALSE),0)</f>
        <v>10.502650260925293</v>
      </c>
      <c r="FC211" s="417">
        <f>IFERROR(VLOOKUP(H211,CEI_062018!$A$1:$U$489,9,FALSE),0)</f>
        <v>10.502650260925293</v>
      </c>
      <c r="FD211" s="417">
        <f>IFERROR(VLOOKUP(H211,CEI_072018!$A$1:$U$489,9,FALSE),0)</f>
        <v>10.502650260925293</v>
      </c>
      <c r="FE211" s="417">
        <f>IFERROR(VLOOKUP(H211,CEI_082018!$A$1:$U$489,9,FALSE),0)</f>
        <v>10.502650260925293</v>
      </c>
      <c r="FF211" s="417">
        <f>IFERROR(VLOOKUP(H211,CEI_092018!$A$1:$U$489,9,FALSE),0)</f>
        <v>10.502650260925293</v>
      </c>
      <c r="FG211" s="417"/>
      <c r="FH211" s="417"/>
      <c r="FI211" s="417"/>
      <c r="FJ211" s="418">
        <f>IFERROR(VLOOKUP(H211,CEI_092018!$A$1:$U$489,12,FALSE),0)</f>
        <v>0</v>
      </c>
      <c r="FK211" s="418">
        <f t="shared" si="70"/>
        <v>10.502650260925293</v>
      </c>
      <c r="FL211" s="418">
        <f t="shared" si="71"/>
        <v>0</v>
      </c>
      <c r="FM211" s="417"/>
      <c r="FN211" s="417"/>
      <c r="FO211" s="417"/>
      <c r="FP211" s="417"/>
      <c r="FQ211" s="417"/>
      <c r="FR211" s="417"/>
      <c r="FS211" s="417"/>
      <c r="FT211" s="417"/>
      <c r="FU211" s="417"/>
      <c r="FV211" s="417"/>
      <c r="FW211" s="417"/>
      <c r="FX211" s="417"/>
      <c r="FY211" s="418"/>
      <c r="FZ211" s="418"/>
      <c r="GA211" s="418"/>
      <c r="GB211" s="417"/>
      <c r="GC211" s="417"/>
      <c r="GD211" s="417"/>
      <c r="GE211" s="417"/>
      <c r="GF211" s="417"/>
      <c r="GG211" s="417"/>
      <c r="GH211" s="417"/>
      <c r="GI211" s="417"/>
      <c r="GJ211" s="417"/>
      <c r="GK211" s="417"/>
      <c r="GL211" s="417"/>
      <c r="GM211" s="417"/>
      <c r="GN211" s="418"/>
      <c r="GO211" s="418"/>
      <c r="GP211" s="418"/>
      <c r="GQ211" s="417"/>
      <c r="GR211" s="417"/>
      <c r="GS211" s="417"/>
      <c r="GT211" s="417"/>
      <c r="GU211" s="417"/>
      <c r="GV211" s="417"/>
      <c r="GW211" s="417"/>
      <c r="GX211" s="417"/>
      <c r="GY211" s="417"/>
      <c r="GZ211" s="417"/>
      <c r="HA211" s="417"/>
      <c r="HB211" s="417"/>
      <c r="HC211" s="418"/>
      <c r="HD211" s="418"/>
      <c r="HE211" s="418"/>
      <c r="HF211" s="417"/>
      <c r="HG211" s="417"/>
      <c r="HH211" s="417"/>
      <c r="HI211" s="417"/>
      <c r="HJ211" s="417"/>
      <c r="HK211" s="417"/>
      <c r="HL211" s="417"/>
      <c r="HM211" s="417"/>
      <c r="HN211" s="417"/>
      <c r="HO211" s="417"/>
      <c r="HP211" s="417"/>
      <c r="HQ211" s="417"/>
      <c r="HR211" s="418"/>
      <c r="HS211" s="418"/>
      <c r="HT211" s="418"/>
    </row>
    <row r="212" spans="1:228" s="387" customFormat="1" ht="12.75" customHeight="1" x14ac:dyDescent="0.2">
      <c r="A212" s="406" t="s">
        <v>55</v>
      </c>
      <c r="B212" s="407" t="s">
        <v>42</v>
      </c>
      <c r="C212" s="406" t="s">
        <v>1000</v>
      </c>
      <c r="D212" s="407" t="s">
        <v>1004</v>
      </c>
      <c r="E212" s="407" t="s">
        <v>1762</v>
      </c>
      <c r="F212" s="407" t="s">
        <v>1763</v>
      </c>
      <c r="G212" s="406" t="s">
        <v>54</v>
      </c>
      <c r="H212" s="408" t="s">
        <v>1901</v>
      </c>
      <c r="I212" s="408" t="s">
        <v>1903</v>
      </c>
      <c r="J212" s="406" t="s">
        <v>1904</v>
      </c>
      <c r="K212" s="406" t="s">
        <v>203</v>
      </c>
      <c r="L212" s="406" t="s">
        <v>204</v>
      </c>
      <c r="M212" s="406" t="s">
        <v>1778</v>
      </c>
      <c r="N212" s="452">
        <v>0</v>
      </c>
      <c r="O212" s="452">
        <v>0</v>
      </c>
      <c r="P212" s="452">
        <v>0</v>
      </c>
      <c r="Q212" s="452">
        <v>0</v>
      </c>
      <c r="R212" s="452">
        <v>0</v>
      </c>
      <c r="S212" s="452">
        <v>0</v>
      </c>
      <c r="T212" s="452">
        <v>0</v>
      </c>
      <c r="U212" s="409">
        <v>0</v>
      </c>
      <c r="V212" s="409">
        <v>12</v>
      </c>
      <c r="W212" s="409">
        <v>12</v>
      </c>
      <c r="X212" s="409">
        <v>12</v>
      </c>
      <c r="Y212" s="409">
        <v>14</v>
      </c>
      <c r="Z212" s="453">
        <f t="shared" si="83"/>
        <v>50</v>
      </c>
      <c r="AA212" s="452">
        <v>10</v>
      </c>
      <c r="AB212" s="452">
        <v>10</v>
      </c>
      <c r="AC212" s="452">
        <v>10</v>
      </c>
      <c r="AD212" s="452">
        <v>10</v>
      </c>
      <c r="AE212" s="452">
        <v>10</v>
      </c>
      <c r="AF212" s="452">
        <v>10</v>
      </c>
      <c r="AG212" s="452">
        <v>10</v>
      </c>
      <c r="AH212" s="409">
        <v>10</v>
      </c>
      <c r="AI212" s="409">
        <v>10</v>
      </c>
      <c r="AJ212" s="409">
        <v>10</v>
      </c>
      <c r="AK212" s="409">
        <v>10</v>
      </c>
      <c r="AL212" s="409">
        <v>10</v>
      </c>
      <c r="AM212" s="453">
        <f t="shared" si="78"/>
        <v>120</v>
      </c>
      <c r="AN212" s="452">
        <v>8</v>
      </c>
      <c r="AO212" s="452">
        <v>9</v>
      </c>
      <c r="AP212" s="452">
        <v>8</v>
      </c>
      <c r="AQ212" s="452">
        <v>9</v>
      </c>
      <c r="AR212" s="452">
        <v>8</v>
      </c>
      <c r="AS212" s="452">
        <v>9</v>
      </c>
      <c r="AT212" s="452">
        <v>8</v>
      </c>
      <c r="AU212" s="409">
        <v>9</v>
      </c>
      <c r="AV212" s="409">
        <v>8</v>
      </c>
      <c r="AW212" s="409">
        <v>8</v>
      </c>
      <c r="AX212" s="409">
        <v>8</v>
      </c>
      <c r="AY212" s="409">
        <v>8</v>
      </c>
      <c r="AZ212" s="453">
        <f t="shared" si="79"/>
        <v>100</v>
      </c>
      <c r="BA212" s="452">
        <v>0</v>
      </c>
      <c r="BB212" s="452">
        <v>0</v>
      </c>
      <c r="BC212" s="452">
        <v>0</v>
      </c>
      <c r="BD212" s="452">
        <v>0</v>
      </c>
      <c r="BE212" s="452">
        <v>0</v>
      </c>
      <c r="BF212" s="452">
        <v>0</v>
      </c>
      <c r="BG212" s="452">
        <v>0</v>
      </c>
      <c r="BH212" s="409">
        <v>0</v>
      </c>
      <c r="BI212" s="409">
        <v>0</v>
      </c>
      <c r="BJ212" s="409">
        <v>0</v>
      </c>
      <c r="BK212" s="409">
        <v>0</v>
      </c>
      <c r="BL212" s="409">
        <v>0</v>
      </c>
      <c r="BM212" s="453">
        <f t="shared" si="80"/>
        <v>0</v>
      </c>
      <c r="BN212" s="452">
        <v>0</v>
      </c>
      <c r="BO212" s="452">
        <v>0</v>
      </c>
      <c r="BP212" s="452">
        <v>0</v>
      </c>
      <c r="BQ212" s="452">
        <v>0</v>
      </c>
      <c r="BR212" s="452">
        <v>0</v>
      </c>
      <c r="BS212" s="452">
        <v>0</v>
      </c>
      <c r="BT212" s="452">
        <v>0</v>
      </c>
      <c r="BU212" s="409">
        <v>0</v>
      </c>
      <c r="BV212" s="409">
        <v>0</v>
      </c>
      <c r="BW212" s="409">
        <v>0</v>
      </c>
      <c r="BX212" s="409">
        <v>0</v>
      </c>
      <c r="BY212" s="409">
        <v>0</v>
      </c>
      <c r="BZ212" s="453">
        <f t="shared" si="81"/>
        <v>0</v>
      </c>
      <c r="CA212" s="454">
        <f t="shared" si="82"/>
        <v>270</v>
      </c>
      <c r="CB212" s="419"/>
      <c r="CC212" s="419">
        <v>1</v>
      </c>
      <c r="CD212" s="419">
        <v>1</v>
      </c>
      <c r="CE212" s="419">
        <v>1</v>
      </c>
      <c r="CF212" s="419">
        <v>1</v>
      </c>
      <c r="CG212" s="420">
        <f>IFERROR((FE212/Z212%),0)</f>
        <v>0</v>
      </c>
      <c r="CH212" s="421">
        <f>IFERROR((FK212/Z212%),0)</f>
        <v>159.99990081787109</v>
      </c>
      <c r="CI212" s="414" t="s">
        <v>1621</v>
      </c>
      <c r="CJ212" s="415">
        <v>0</v>
      </c>
      <c r="CK212" s="415">
        <v>0</v>
      </c>
      <c r="CL212" s="415">
        <v>0</v>
      </c>
      <c r="CM212" s="415">
        <v>0</v>
      </c>
      <c r="CN212" s="415">
        <v>0</v>
      </c>
      <c r="CO212" s="415">
        <v>0</v>
      </c>
      <c r="CP212" s="415">
        <v>0</v>
      </c>
      <c r="CQ212" s="415">
        <v>0</v>
      </c>
      <c r="CR212" s="415">
        <v>0</v>
      </c>
      <c r="CS212" s="415">
        <v>0</v>
      </c>
      <c r="CT212" s="415">
        <v>0</v>
      </c>
      <c r="CU212" s="415">
        <v>1</v>
      </c>
      <c r="CV212" s="410">
        <f t="shared" si="84"/>
        <v>1</v>
      </c>
      <c r="CW212" s="415">
        <v>0</v>
      </c>
      <c r="CX212" s="415">
        <v>0</v>
      </c>
      <c r="CY212" s="415">
        <v>0</v>
      </c>
      <c r="CZ212" s="415">
        <v>1</v>
      </c>
      <c r="DA212" s="415">
        <v>0</v>
      </c>
      <c r="DB212" s="415">
        <v>0</v>
      </c>
      <c r="DC212" s="415">
        <v>0</v>
      </c>
      <c r="DD212" s="415">
        <v>0</v>
      </c>
      <c r="DE212" s="415">
        <v>0</v>
      </c>
      <c r="DF212" s="415">
        <v>0</v>
      </c>
      <c r="DG212" s="415">
        <v>0</v>
      </c>
      <c r="DH212" s="415">
        <v>0</v>
      </c>
      <c r="DI212" s="410">
        <f t="shared" si="85"/>
        <v>1</v>
      </c>
      <c r="DJ212" s="415">
        <v>0</v>
      </c>
      <c r="DK212" s="415">
        <v>0</v>
      </c>
      <c r="DL212" s="415">
        <v>1</v>
      </c>
      <c r="DM212" s="415">
        <v>0</v>
      </c>
      <c r="DN212" s="415">
        <v>0</v>
      </c>
      <c r="DO212" s="415">
        <v>0</v>
      </c>
      <c r="DP212" s="415">
        <v>0</v>
      </c>
      <c r="DQ212" s="415">
        <v>0</v>
      </c>
      <c r="DR212" s="415">
        <v>0</v>
      </c>
      <c r="DS212" s="415">
        <v>0</v>
      </c>
      <c r="DT212" s="415">
        <v>0</v>
      </c>
      <c r="DU212" s="415">
        <v>0</v>
      </c>
      <c r="DV212" s="410">
        <f t="shared" si="86"/>
        <v>1</v>
      </c>
      <c r="DW212" s="415">
        <v>0</v>
      </c>
      <c r="DX212" s="415">
        <v>0</v>
      </c>
      <c r="DY212" s="415">
        <v>0</v>
      </c>
      <c r="DZ212" s="415">
        <v>0</v>
      </c>
      <c r="EA212" s="415">
        <v>0</v>
      </c>
      <c r="EB212" s="415">
        <v>0</v>
      </c>
      <c r="EC212" s="415">
        <v>0</v>
      </c>
      <c r="ED212" s="415">
        <v>0</v>
      </c>
      <c r="EE212" s="415">
        <v>0</v>
      </c>
      <c r="EF212" s="415">
        <v>0</v>
      </c>
      <c r="EG212" s="415">
        <v>0</v>
      </c>
      <c r="EH212" s="415">
        <v>0</v>
      </c>
      <c r="EI212" s="410">
        <f t="shared" si="87"/>
        <v>0</v>
      </c>
      <c r="EJ212" s="415">
        <v>0</v>
      </c>
      <c r="EK212" s="415">
        <v>0</v>
      </c>
      <c r="EL212" s="415">
        <v>0</v>
      </c>
      <c r="EM212" s="415">
        <v>0</v>
      </c>
      <c r="EN212" s="415">
        <v>0</v>
      </c>
      <c r="EO212" s="415">
        <v>0</v>
      </c>
      <c r="EP212" s="415">
        <v>0</v>
      </c>
      <c r="EQ212" s="415">
        <v>0</v>
      </c>
      <c r="ER212" s="415">
        <v>0</v>
      </c>
      <c r="ES212" s="415">
        <v>0</v>
      </c>
      <c r="ET212" s="415">
        <v>0</v>
      </c>
      <c r="EU212" s="415">
        <v>0</v>
      </c>
      <c r="EV212" s="410">
        <f t="shared" si="88"/>
        <v>0</v>
      </c>
      <c r="EW212" s="416">
        <f t="shared" si="89"/>
        <v>3</v>
      </c>
      <c r="EX212" s="417">
        <f>IFERROR(VLOOKUP(H212,CEI_012018!$A$1:$U$509,9,FALSE),0)</f>
        <v>0</v>
      </c>
      <c r="EY212" s="417">
        <f>IFERROR(VLOOKUP(H212,CEI_022018!$A$1:$U$509,9,FALSE),0)</f>
        <v>0</v>
      </c>
      <c r="EZ212" s="417">
        <f>IFERROR(VLOOKUP(H212,CEI_032018!$A$1:$U$509,9,FALSE),0)</f>
        <v>0</v>
      </c>
      <c r="FA212" s="417">
        <f>IFERROR(VLOOKUP(H212,CEI_042018!$A$1:$U$491,9,FALSE),0)</f>
        <v>0</v>
      </c>
      <c r="FB212" s="417">
        <f>IFERROR(VLOOKUP(H212,CEI_052018!$A$1:$U$489,9,FALSE),0)</f>
        <v>0</v>
      </c>
      <c r="FC212" s="417">
        <f>IFERROR(VLOOKUP(H212,CEI_062018!$A$1:$U$489,9,FALSE),0)</f>
        <v>0</v>
      </c>
      <c r="FD212" s="417">
        <f>IFERROR(VLOOKUP(H212,CEI_072018!$A$1:$U$489,9,FALSE),0)</f>
        <v>0</v>
      </c>
      <c r="FE212" s="417">
        <f>IFERROR(VLOOKUP(H212,CEI_082018!$A$1:$U$489,9,FALSE),0)</f>
        <v>0</v>
      </c>
      <c r="FF212" s="417">
        <f>IFERROR(VLOOKUP(H212,CEI_092018!$A$1:$U$489,9,FALSE),0)</f>
        <v>18.450000762939453</v>
      </c>
      <c r="FG212" s="417"/>
      <c r="FH212" s="417"/>
      <c r="FI212" s="417"/>
      <c r="FJ212" s="418">
        <f>IFERROR(VLOOKUP(H212,CEI_092018!$A$1:$U$489,12,FALSE),0)</f>
        <v>61.549949645996094</v>
      </c>
      <c r="FK212" s="418">
        <f t="shared" si="70"/>
        <v>79.999950408935547</v>
      </c>
      <c r="FL212" s="418">
        <f t="shared" si="71"/>
        <v>-29.999950408935547</v>
      </c>
      <c r="FM212" s="417"/>
      <c r="FN212" s="417"/>
      <c r="FO212" s="417"/>
      <c r="FP212" s="417"/>
      <c r="FQ212" s="417"/>
      <c r="FR212" s="417"/>
      <c r="FS212" s="417"/>
      <c r="FT212" s="417"/>
      <c r="FU212" s="417"/>
      <c r="FV212" s="417"/>
      <c r="FW212" s="417"/>
      <c r="FX212" s="417"/>
      <c r="FY212" s="418"/>
      <c r="FZ212" s="418"/>
      <c r="GA212" s="418"/>
      <c r="GB212" s="417"/>
      <c r="GC212" s="417"/>
      <c r="GD212" s="417"/>
      <c r="GE212" s="417"/>
      <c r="GF212" s="417"/>
      <c r="GG212" s="417"/>
      <c r="GH212" s="417"/>
      <c r="GI212" s="417"/>
      <c r="GJ212" s="417"/>
      <c r="GK212" s="417"/>
      <c r="GL212" s="417"/>
      <c r="GM212" s="417"/>
      <c r="GN212" s="418"/>
      <c r="GO212" s="418"/>
      <c r="GP212" s="418"/>
      <c r="GQ212" s="417"/>
      <c r="GR212" s="417"/>
      <c r="GS212" s="417"/>
      <c r="GT212" s="417"/>
      <c r="GU212" s="417"/>
      <c r="GV212" s="417"/>
      <c r="GW212" s="417"/>
      <c r="GX212" s="417"/>
      <c r="GY212" s="417"/>
      <c r="GZ212" s="417"/>
      <c r="HA212" s="417"/>
      <c r="HB212" s="417"/>
      <c r="HC212" s="418"/>
      <c r="HD212" s="418"/>
      <c r="HE212" s="418"/>
      <c r="HF212" s="417"/>
      <c r="HG212" s="417"/>
      <c r="HH212" s="417"/>
      <c r="HI212" s="417"/>
      <c r="HJ212" s="417"/>
      <c r="HK212" s="417"/>
      <c r="HL212" s="417"/>
      <c r="HM212" s="417"/>
      <c r="HN212" s="417"/>
      <c r="HO212" s="417"/>
      <c r="HP212" s="417"/>
      <c r="HQ212" s="417"/>
      <c r="HR212" s="418"/>
      <c r="HS212" s="418"/>
      <c r="HT212" s="418"/>
    </row>
    <row r="213" spans="1:228" s="387" customFormat="1" ht="12.75" customHeight="1" x14ac:dyDescent="0.2">
      <c r="A213" s="406" t="s">
        <v>55</v>
      </c>
      <c r="B213" s="407" t="s">
        <v>42</v>
      </c>
      <c r="C213" s="406" t="s">
        <v>1000</v>
      </c>
      <c r="D213" s="407" t="s">
        <v>1004</v>
      </c>
      <c r="E213" s="407" t="s">
        <v>1000</v>
      </c>
      <c r="F213" s="407" t="s">
        <v>1004</v>
      </c>
      <c r="G213" s="406" t="s">
        <v>54</v>
      </c>
      <c r="H213" s="408" t="s">
        <v>520</v>
      </c>
      <c r="I213" s="408" t="s">
        <v>57</v>
      </c>
      <c r="J213" s="406" t="s">
        <v>362</v>
      </c>
      <c r="K213" s="406" t="s">
        <v>718</v>
      </c>
      <c r="L213" s="406" t="s">
        <v>719</v>
      </c>
      <c r="M213" s="406" t="s">
        <v>1778</v>
      </c>
      <c r="N213" s="452">
        <v>0</v>
      </c>
      <c r="O213" s="452">
        <v>0</v>
      </c>
      <c r="P213" s="452">
        <v>0</v>
      </c>
      <c r="Q213" s="452">
        <v>0</v>
      </c>
      <c r="R213" s="452">
        <v>0</v>
      </c>
      <c r="S213" s="452">
        <v>0</v>
      </c>
      <c r="T213" s="452">
        <v>0</v>
      </c>
      <c r="U213" s="409">
        <v>0</v>
      </c>
      <c r="V213" s="409">
        <v>0</v>
      </c>
      <c r="W213" s="409">
        <v>0</v>
      </c>
      <c r="X213" s="409">
        <v>0</v>
      </c>
      <c r="Y213" s="409">
        <v>0</v>
      </c>
      <c r="Z213" s="453">
        <f t="shared" si="83"/>
        <v>0</v>
      </c>
      <c r="AA213" s="452">
        <v>0</v>
      </c>
      <c r="AB213" s="452">
        <v>0</v>
      </c>
      <c r="AC213" s="452">
        <v>0</v>
      </c>
      <c r="AD213" s="452">
        <v>0</v>
      </c>
      <c r="AE213" s="452">
        <v>10</v>
      </c>
      <c r="AF213" s="452">
        <v>20</v>
      </c>
      <c r="AG213" s="452">
        <v>20</v>
      </c>
      <c r="AH213" s="409">
        <v>20</v>
      </c>
      <c r="AI213" s="409">
        <v>20</v>
      </c>
      <c r="AJ213" s="409">
        <v>20</v>
      </c>
      <c r="AK213" s="409">
        <v>20</v>
      </c>
      <c r="AL213" s="409">
        <v>20</v>
      </c>
      <c r="AM213" s="453">
        <f t="shared" si="78"/>
        <v>150</v>
      </c>
      <c r="AN213" s="452">
        <v>0</v>
      </c>
      <c r="AO213" s="452">
        <v>0</v>
      </c>
      <c r="AP213" s="452">
        <v>0</v>
      </c>
      <c r="AQ213" s="452">
        <v>0</v>
      </c>
      <c r="AR213" s="452">
        <v>0</v>
      </c>
      <c r="AS213" s="452">
        <v>20</v>
      </c>
      <c r="AT213" s="452">
        <v>35</v>
      </c>
      <c r="AU213" s="409">
        <v>40</v>
      </c>
      <c r="AV213" s="409">
        <v>40</v>
      </c>
      <c r="AW213" s="409">
        <v>40</v>
      </c>
      <c r="AX213" s="409">
        <v>40</v>
      </c>
      <c r="AY213" s="409">
        <v>100</v>
      </c>
      <c r="AZ213" s="453">
        <f t="shared" si="79"/>
        <v>315</v>
      </c>
      <c r="BA213" s="452">
        <v>0</v>
      </c>
      <c r="BB213" s="452">
        <v>0</v>
      </c>
      <c r="BC213" s="452">
        <v>0</v>
      </c>
      <c r="BD213" s="452">
        <v>50</v>
      </c>
      <c r="BE213" s="452">
        <v>50</v>
      </c>
      <c r="BF213" s="452">
        <v>80</v>
      </c>
      <c r="BG213" s="452">
        <v>40</v>
      </c>
      <c r="BH213" s="409">
        <v>40</v>
      </c>
      <c r="BI213" s="409">
        <v>40</v>
      </c>
      <c r="BJ213" s="409">
        <v>80</v>
      </c>
      <c r="BK213" s="409">
        <v>40</v>
      </c>
      <c r="BL213" s="409">
        <v>40</v>
      </c>
      <c r="BM213" s="453">
        <f t="shared" si="80"/>
        <v>460</v>
      </c>
      <c r="BN213" s="452">
        <v>0</v>
      </c>
      <c r="BO213" s="452">
        <v>0</v>
      </c>
      <c r="BP213" s="452">
        <v>0</v>
      </c>
      <c r="BQ213" s="452">
        <v>50</v>
      </c>
      <c r="BR213" s="452">
        <v>40</v>
      </c>
      <c r="BS213" s="452">
        <v>80</v>
      </c>
      <c r="BT213" s="452">
        <v>40</v>
      </c>
      <c r="BU213" s="409">
        <v>80</v>
      </c>
      <c r="BV213" s="409">
        <v>40</v>
      </c>
      <c r="BW213" s="409">
        <v>40</v>
      </c>
      <c r="BX213" s="409">
        <v>50</v>
      </c>
      <c r="BY213" s="409">
        <v>40</v>
      </c>
      <c r="BZ213" s="453">
        <f t="shared" si="81"/>
        <v>460</v>
      </c>
      <c r="CA213" s="454">
        <f t="shared" si="82"/>
        <v>1385</v>
      </c>
      <c r="CB213" s="411"/>
      <c r="CC213" s="411"/>
      <c r="CD213" s="411"/>
      <c r="CE213" s="411"/>
      <c r="CF213" s="411"/>
      <c r="CG213" s="412"/>
      <c r="CH213" s="413"/>
      <c r="CI213" s="414" t="s">
        <v>1622</v>
      </c>
      <c r="CJ213" s="415">
        <v>0</v>
      </c>
      <c r="CK213" s="415">
        <v>0</v>
      </c>
      <c r="CL213" s="415">
        <v>0</v>
      </c>
      <c r="CM213" s="415">
        <v>0</v>
      </c>
      <c r="CN213" s="415">
        <v>0</v>
      </c>
      <c r="CO213" s="415">
        <v>0</v>
      </c>
      <c r="CP213" s="415">
        <v>0</v>
      </c>
      <c r="CQ213" s="415">
        <v>0</v>
      </c>
      <c r="CR213" s="415">
        <v>0</v>
      </c>
      <c r="CS213" s="415">
        <v>0</v>
      </c>
      <c r="CT213" s="415">
        <v>0</v>
      </c>
      <c r="CU213" s="415">
        <v>0</v>
      </c>
      <c r="CV213" s="410">
        <f t="shared" si="84"/>
        <v>0</v>
      </c>
      <c r="CW213" s="415">
        <v>0</v>
      </c>
      <c r="CX213" s="415">
        <v>0</v>
      </c>
      <c r="CY213" s="415">
        <v>0</v>
      </c>
      <c r="CZ213" s="415">
        <v>0</v>
      </c>
      <c r="DA213" s="415">
        <v>40</v>
      </c>
      <c r="DB213" s="415">
        <v>80</v>
      </c>
      <c r="DC213" s="415">
        <v>80</v>
      </c>
      <c r="DD213" s="415">
        <v>80</v>
      </c>
      <c r="DE213" s="415">
        <v>80</v>
      </c>
      <c r="DF213" s="415">
        <v>80</v>
      </c>
      <c r="DG213" s="415">
        <v>80</v>
      </c>
      <c r="DH213" s="415">
        <v>80</v>
      </c>
      <c r="DI213" s="410">
        <f t="shared" si="85"/>
        <v>600</v>
      </c>
      <c r="DJ213" s="415">
        <v>0</v>
      </c>
      <c r="DK213" s="415">
        <v>0</v>
      </c>
      <c r="DL213" s="415">
        <v>0</v>
      </c>
      <c r="DM213" s="415">
        <v>0</v>
      </c>
      <c r="DN213" s="415">
        <v>0</v>
      </c>
      <c r="DO213" s="415">
        <v>80</v>
      </c>
      <c r="DP213" s="415">
        <v>80</v>
      </c>
      <c r="DQ213" s="415">
        <v>80</v>
      </c>
      <c r="DR213" s="415">
        <v>80</v>
      </c>
      <c r="DS213" s="415">
        <v>80</v>
      </c>
      <c r="DT213" s="415">
        <v>200</v>
      </c>
      <c r="DU213" s="415">
        <v>260</v>
      </c>
      <c r="DV213" s="410">
        <f t="shared" si="86"/>
        <v>860</v>
      </c>
      <c r="DW213" s="415">
        <v>0</v>
      </c>
      <c r="DX213" s="415">
        <v>0</v>
      </c>
      <c r="DY213" s="415">
        <v>0</v>
      </c>
      <c r="DZ213" s="415">
        <v>100</v>
      </c>
      <c r="EA213" s="415">
        <v>100</v>
      </c>
      <c r="EB213" s="415">
        <v>160</v>
      </c>
      <c r="EC213" s="415">
        <v>80</v>
      </c>
      <c r="ED213" s="415">
        <v>80</v>
      </c>
      <c r="EE213" s="415">
        <v>80</v>
      </c>
      <c r="EF213" s="415">
        <v>160</v>
      </c>
      <c r="EG213" s="415">
        <v>80</v>
      </c>
      <c r="EH213" s="415">
        <v>80</v>
      </c>
      <c r="EI213" s="410">
        <f t="shared" si="87"/>
        <v>920</v>
      </c>
      <c r="EJ213" s="415">
        <v>0</v>
      </c>
      <c r="EK213" s="415">
        <v>0</v>
      </c>
      <c r="EL213" s="415">
        <v>0</v>
      </c>
      <c r="EM213" s="415">
        <v>100</v>
      </c>
      <c r="EN213" s="415">
        <v>80</v>
      </c>
      <c r="EO213" s="415">
        <v>160</v>
      </c>
      <c r="EP213" s="415">
        <v>80</v>
      </c>
      <c r="EQ213" s="415">
        <v>160</v>
      </c>
      <c r="ER213" s="415">
        <v>80</v>
      </c>
      <c r="ES213" s="415">
        <v>80</v>
      </c>
      <c r="ET213" s="415">
        <v>100</v>
      </c>
      <c r="EU213" s="415">
        <v>80</v>
      </c>
      <c r="EV213" s="410">
        <f t="shared" si="88"/>
        <v>920</v>
      </c>
      <c r="EW213" s="416">
        <f t="shared" si="89"/>
        <v>3300</v>
      </c>
      <c r="EX213" s="417">
        <f>IFERROR(VLOOKUP(H213,CEI_012018!$A$1:$U$509,9,FALSE),0)</f>
        <v>0</v>
      </c>
      <c r="EY213" s="417">
        <f>IFERROR(VLOOKUP(H213,CEI_022018!$A$1:$U$509,9,FALSE),0)</f>
        <v>0</v>
      </c>
      <c r="EZ213" s="417">
        <f>IFERROR(VLOOKUP(H213,CEI_032018!$A$1:$U$509,9,FALSE),0)</f>
        <v>0</v>
      </c>
      <c r="FA213" s="417">
        <f>IFERROR(VLOOKUP(H213,CEI_042018!$A$1:$U$491,9,FALSE),0)</f>
        <v>0</v>
      </c>
      <c r="FB213" s="417">
        <f>IFERROR(VLOOKUP(H213,CEI_052018!$A$1:$U$489,9,FALSE),0)</f>
        <v>0</v>
      </c>
      <c r="FC213" s="417">
        <f>IFERROR(VLOOKUP(H213,CEI_062018!$A$1:$U$489,9,FALSE),0)</f>
        <v>0</v>
      </c>
      <c r="FD213" s="417">
        <f>IFERROR(VLOOKUP(H213,CEI_072018!$A$1:$U$489,9,FALSE),0)</f>
        <v>0</v>
      </c>
      <c r="FE213" s="417">
        <f>IFERROR(VLOOKUP(H213,CEI_082018!$A$1:$U$489,9,FALSE),0)</f>
        <v>0</v>
      </c>
      <c r="FF213" s="417">
        <f>IFERROR(VLOOKUP(H213,CEI_092018!$A$1:$U$489,9,FALSE),0)</f>
        <v>0</v>
      </c>
      <c r="FG213" s="417"/>
      <c r="FH213" s="417"/>
      <c r="FI213" s="417"/>
      <c r="FJ213" s="418">
        <f>IFERROR(VLOOKUP(H213,CEI_092018!$A$1:$U$489,12,FALSE),0)</f>
        <v>0</v>
      </c>
      <c r="FK213" s="418">
        <f t="shared" si="70"/>
        <v>0</v>
      </c>
      <c r="FL213" s="418">
        <f t="shared" si="71"/>
        <v>0</v>
      </c>
      <c r="FM213" s="417"/>
      <c r="FN213" s="417"/>
      <c r="FO213" s="417"/>
      <c r="FP213" s="417"/>
      <c r="FQ213" s="417"/>
      <c r="FR213" s="417"/>
      <c r="FS213" s="417"/>
      <c r="FT213" s="417"/>
      <c r="FU213" s="417"/>
      <c r="FV213" s="417"/>
      <c r="FW213" s="417"/>
      <c r="FX213" s="417"/>
      <c r="FY213" s="418"/>
      <c r="FZ213" s="418"/>
      <c r="GA213" s="418"/>
      <c r="GB213" s="417"/>
      <c r="GC213" s="417"/>
      <c r="GD213" s="417"/>
      <c r="GE213" s="417"/>
      <c r="GF213" s="417"/>
      <c r="GG213" s="417"/>
      <c r="GH213" s="417"/>
      <c r="GI213" s="417"/>
      <c r="GJ213" s="417"/>
      <c r="GK213" s="417"/>
      <c r="GL213" s="417"/>
      <c r="GM213" s="417"/>
      <c r="GN213" s="418"/>
      <c r="GO213" s="418"/>
      <c r="GP213" s="418"/>
      <c r="GQ213" s="417"/>
      <c r="GR213" s="417"/>
      <c r="GS213" s="417"/>
      <c r="GT213" s="417"/>
      <c r="GU213" s="417"/>
      <c r="GV213" s="417"/>
      <c r="GW213" s="417"/>
      <c r="GX213" s="417"/>
      <c r="GY213" s="417"/>
      <c r="GZ213" s="417"/>
      <c r="HA213" s="417"/>
      <c r="HB213" s="417"/>
      <c r="HC213" s="418"/>
      <c r="HD213" s="418"/>
      <c r="HE213" s="418"/>
      <c r="HF213" s="417"/>
      <c r="HG213" s="417"/>
      <c r="HH213" s="417"/>
      <c r="HI213" s="417"/>
      <c r="HJ213" s="417"/>
      <c r="HK213" s="417"/>
      <c r="HL213" s="417"/>
      <c r="HM213" s="417"/>
      <c r="HN213" s="417"/>
      <c r="HO213" s="417"/>
      <c r="HP213" s="417"/>
      <c r="HQ213" s="417"/>
      <c r="HR213" s="418"/>
      <c r="HS213" s="418"/>
      <c r="HT213" s="418"/>
    </row>
    <row r="214" spans="1:228" s="387" customFormat="1" ht="12.75" customHeight="1" x14ac:dyDescent="0.2">
      <c r="A214" s="406" t="s">
        <v>55</v>
      </c>
      <c r="B214" s="407" t="s">
        <v>42</v>
      </c>
      <c r="C214" s="406" t="s">
        <v>1000</v>
      </c>
      <c r="D214" s="407" t="s">
        <v>1004</v>
      </c>
      <c r="E214" s="407" t="s">
        <v>1000</v>
      </c>
      <c r="F214" s="407" t="s">
        <v>1004</v>
      </c>
      <c r="G214" s="406" t="s">
        <v>54</v>
      </c>
      <c r="H214" s="408" t="s">
        <v>1116</v>
      </c>
      <c r="I214" s="408" t="s">
        <v>1117</v>
      </c>
      <c r="J214" s="406" t="s">
        <v>1118</v>
      </c>
      <c r="K214" s="406" t="s">
        <v>1119</v>
      </c>
      <c r="L214" s="406" t="s">
        <v>57</v>
      </c>
      <c r="M214" s="406" t="s">
        <v>57</v>
      </c>
      <c r="N214" s="452">
        <v>0</v>
      </c>
      <c r="O214" s="452">
        <v>0</v>
      </c>
      <c r="P214" s="452">
        <v>14.010740280151367</v>
      </c>
      <c r="Q214" s="452">
        <v>0</v>
      </c>
      <c r="R214" s="452">
        <v>0</v>
      </c>
      <c r="S214" s="452">
        <v>0</v>
      </c>
      <c r="T214" s="452">
        <v>0</v>
      </c>
      <c r="U214" s="409">
        <v>0</v>
      </c>
      <c r="V214" s="409">
        <v>0</v>
      </c>
      <c r="W214" s="409">
        <v>0</v>
      </c>
      <c r="X214" s="409">
        <v>0</v>
      </c>
      <c r="Y214" s="409">
        <v>0</v>
      </c>
      <c r="Z214" s="453">
        <f t="shared" si="83"/>
        <v>14.010740280151367</v>
      </c>
      <c r="AA214" s="452">
        <v>0</v>
      </c>
      <c r="AB214" s="452">
        <v>0</v>
      </c>
      <c r="AC214" s="452">
        <v>0</v>
      </c>
      <c r="AD214" s="452">
        <v>0</v>
      </c>
      <c r="AE214" s="452">
        <v>0</v>
      </c>
      <c r="AF214" s="452">
        <v>0</v>
      </c>
      <c r="AG214" s="452">
        <v>0</v>
      </c>
      <c r="AH214" s="409">
        <v>0</v>
      </c>
      <c r="AI214" s="409">
        <v>0</v>
      </c>
      <c r="AJ214" s="409">
        <v>0</v>
      </c>
      <c r="AK214" s="409">
        <v>0</v>
      </c>
      <c r="AL214" s="409">
        <v>0</v>
      </c>
      <c r="AM214" s="453">
        <f t="shared" si="78"/>
        <v>0</v>
      </c>
      <c r="AN214" s="452">
        <v>0</v>
      </c>
      <c r="AO214" s="452">
        <v>0</v>
      </c>
      <c r="AP214" s="452">
        <v>0</v>
      </c>
      <c r="AQ214" s="452">
        <v>0</v>
      </c>
      <c r="AR214" s="452">
        <v>0</v>
      </c>
      <c r="AS214" s="452">
        <v>0</v>
      </c>
      <c r="AT214" s="452">
        <v>0</v>
      </c>
      <c r="AU214" s="409">
        <v>0</v>
      </c>
      <c r="AV214" s="409">
        <v>0</v>
      </c>
      <c r="AW214" s="409">
        <v>0</v>
      </c>
      <c r="AX214" s="409">
        <v>0</v>
      </c>
      <c r="AY214" s="409">
        <v>0</v>
      </c>
      <c r="AZ214" s="453">
        <f t="shared" si="79"/>
        <v>0</v>
      </c>
      <c r="BA214" s="452">
        <v>0</v>
      </c>
      <c r="BB214" s="452">
        <v>0</v>
      </c>
      <c r="BC214" s="452">
        <v>0</v>
      </c>
      <c r="BD214" s="452">
        <v>0</v>
      </c>
      <c r="BE214" s="452">
        <v>0</v>
      </c>
      <c r="BF214" s="452">
        <v>0</v>
      </c>
      <c r="BG214" s="452">
        <v>0</v>
      </c>
      <c r="BH214" s="409">
        <v>0</v>
      </c>
      <c r="BI214" s="409">
        <v>0</v>
      </c>
      <c r="BJ214" s="409">
        <v>0</v>
      </c>
      <c r="BK214" s="409">
        <v>0</v>
      </c>
      <c r="BL214" s="409">
        <v>0</v>
      </c>
      <c r="BM214" s="453">
        <f t="shared" si="80"/>
        <v>0</v>
      </c>
      <c r="BN214" s="452">
        <v>0</v>
      </c>
      <c r="BO214" s="452">
        <v>0</v>
      </c>
      <c r="BP214" s="452">
        <v>0</v>
      </c>
      <c r="BQ214" s="452">
        <v>0</v>
      </c>
      <c r="BR214" s="452">
        <v>0</v>
      </c>
      <c r="BS214" s="452">
        <v>0</v>
      </c>
      <c r="BT214" s="452">
        <v>0</v>
      </c>
      <c r="BU214" s="409">
        <v>0</v>
      </c>
      <c r="BV214" s="409">
        <v>0</v>
      </c>
      <c r="BW214" s="409">
        <v>0</v>
      </c>
      <c r="BX214" s="409">
        <v>0</v>
      </c>
      <c r="BY214" s="409">
        <v>0</v>
      </c>
      <c r="BZ214" s="453">
        <f t="shared" si="81"/>
        <v>0</v>
      </c>
      <c r="CA214" s="454">
        <f t="shared" si="82"/>
        <v>14.010740280151367</v>
      </c>
      <c r="CB214" s="419"/>
      <c r="CC214" s="419">
        <v>1</v>
      </c>
      <c r="CD214" s="419">
        <v>1</v>
      </c>
      <c r="CE214" s="419">
        <v>1</v>
      </c>
      <c r="CF214" s="419">
        <v>1</v>
      </c>
      <c r="CG214" s="420">
        <f t="shared" ref="CG214:CG221" si="90">IFERROR((FE214/Z214%),0)</f>
        <v>100</v>
      </c>
      <c r="CH214" s="421">
        <f t="shared" ref="CH214:CH221" si="91">IFERROR((FK214/Z214%),0)</f>
        <v>100</v>
      </c>
      <c r="CI214" s="414" t="s">
        <v>1622</v>
      </c>
      <c r="CJ214" s="415">
        <v>0</v>
      </c>
      <c r="CK214" s="415">
        <v>0</v>
      </c>
      <c r="CL214" s="415">
        <v>32.58311627906977</v>
      </c>
      <c r="CM214" s="415">
        <v>0</v>
      </c>
      <c r="CN214" s="415">
        <v>0</v>
      </c>
      <c r="CO214" s="415">
        <v>0</v>
      </c>
      <c r="CP214" s="415">
        <v>0</v>
      </c>
      <c r="CQ214" s="415">
        <v>0</v>
      </c>
      <c r="CR214" s="415">
        <v>0</v>
      </c>
      <c r="CS214" s="415">
        <v>0</v>
      </c>
      <c r="CT214" s="415">
        <v>0</v>
      </c>
      <c r="CU214" s="415">
        <v>0</v>
      </c>
      <c r="CV214" s="410">
        <f t="shared" si="84"/>
        <v>32.58311627906977</v>
      </c>
      <c r="CW214" s="415">
        <v>0</v>
      </c>
      <c r="CX214" s="415">
        <v>0</v>
      </c>
      <c r="CY214" s="415">
        <v>0</v>
      </c>
      <c r="CZ214" s="415">
        <v>0</v>
      </c>
      <c r="DA214" s="415">
        <v>0</v>
      </c>
      <c r="DB214" s="415">
        <v>0</v>
      </c>
      <c r="DC214" s="415">
        <v>0</v>
      </c>
      <c r="DD214" s="415">
        <v>0</v>
      </c>
      <c r="DE214" s="415">
        <v>0</v>
      </c>
      <c r="DF214" s="415">
        <v>0</v>
      </c>
      <c r="DG214" s="415">
        <v>0</v>
      </c>
      <c r="DH214" s="415">
        <v>0</v>
      </c>
      <c r="DI214" s="410">
        <f t="shared" si="85"/>
        <v>0</v>
      </c>
      <c r="DJ214" s="415">
        <v>0</v>
      </c>
      <c r="DK214" s="415">
        <v>0</v>
      </c>
      <c r="DL214" s="415">
        <v>0</v>
      </c>
      <c r="DM214" s="415">
        <v>0</v>
      </c>
      <c r="DN214" s="415">
        <v>0</v>
      </c>
      <c r="DO214" s="415">
        <v>0</v>
      </c>
      <c r="DP214" s="415">
        <v>0</v>
      </c>
      <c r="DQ214" s="415">
        <v>0</v>
      </c>
      <c r="DR214" s="415">
        <v>0</v>
      </c>
      <c r="DS214" s="415">
        <v>0</v>
      </c>
      <c r="DT214" s="415">
        <v>0</v>
      </c>
      <c r="DU214" s="415">
        <v>0</v>
      </c>
      <c r="DV214" s="410">
        <f t="shared" si="86"/>
        <v>0</v>
      </c>
      <c r="DW214" s="415">
        <v>0</v>
      </c>
      <c r="DX214" s="415">
        <v>0</v>
      </c>
      <c r="DY214" s="415">
        <v>0</v>
      </c>
      <c r="DZ214" s="415">
        <v>0</v>
      </c>
      <c r="EA214" s="415">
        <v>0</v>
      </c>
      <c r="EB214" s="415">
        <v>0</v>
      </c>
      <c r="EC214" s="415">
        <v>0</v>
      </c>
      <c r="ED214" s="415">
        <v>0</v>
      </c>
      <c r="EE214" s="415">
        <v>0</v>
      </c>
      <c r="EF214" s="415">
        <v>0</v>
      </c>
      <c r="EG214" s="415">
        <v>0</v>
      </c>
      <c r="EH214" s="415">
        <v>0</v>
      </c>
      <c r="EI214" s="410">
        <f t="shared" si="87"/>
        <v>0</v>
      </c>
      <c r="EJ214" s="415">
        <v>0</v>
      </c>
      <c r="EK214" s="415">
        <v>0</v>
      </c>
      <c r="EL214" s="415">
        <v>0</v>
      </c>
      <c r="EM214" s="415">
        <v>0</v>
      </c>
      <c r="EN214" s="415">
        <v>0</v>
      </c>
      <c r="EO214" s="415">
        <v>0</v>
      </c>
      <c r="EP214" s="415">
        <v>0</v>
      </c>
      <c r="EQ214" s="415">
        <v>0</v>
      </c>
      <c r="ER214" s="415">
        <v>0</v>
      </c>
      <c r="ES214" s="415">
        <v>0</v>
      </c>
      <c r="ET214" s="415">
        <v>0</v>
      </c>
      <c r="EU214" s="415">
        <v>0</v>
      </c>
      <c r="EV214" s="410">
        <f t="shared" si="88"/>
        <v>0</v>
      </c>
      <c r="EW214" s="416">
        <f t="shared" si="89"/>
        <v>32.58311627906977</v>
      </c>
      <c r="EX214" s="417">
        <f>IFERROR(VLOOKUP(H214,CEI_012018!$A$1:$U$509,9,FALSE),0)</f>
        <v>0</v>
      </c>
      <c r="EY214" s="417">
        <f>IFERROR(VLOOKUP(H214,CEI_022018!$A$1:$U$509,9,FALSE),0)</f>
        <v>0</v>
      </c>
      <c r="EZ214" s="417">
        <f>IFERROR(VLOOKUP(H214,CEI_032018!$A$1:$U$509,9,FALSE),0)</f>
        <v>14.010740280151367</v>
      </c>
      <c r="FA214" s="417">
        <f>IFERROR(VLOOKUP(H214,CEI_042018!$A$1:$U$491,9,FALSE),0)</f>
        <v>14.010740280151367</v>
      </c>
      <c r="FB214" s="417">
        <f>IFERROR(VLOOKUP(H214,CEI_052018!$A$1:$U$489,9,FALSE),0)</f>
        <v>14.010740280151367</v>
      </c>
      <c r="FC214" s="417">
        <f>IFERROR(VLOOKUP(H214,CEI_062018!$A$1:$U$489,9,FALSE),0)</f>
        <v>14.010740280151367</v>
      </c>
      <c r="FD214" s="417">
        <f>IFERROR(VLOOKUP(H214,CEI_072018!$A$1:$U$489,9,FALSE),0)</f>
        <v>14.010740280151367</v>
      </c>
      <c r="FE214" s="417">
        <f>IFERROR(VLOOKUP(H214,CEI_082018!$A$1:$U$489,9,FALSE),0)</f>
        <v>14.010740280151367</v>
      </c>
      <c r="FF214" s="417">
        <f>IFERROR(VLOOKUP(H214,CEI_092018!$A$1:$U$489,9,FALSE),0)</f>
        <v>14.010740280151367</v>
      </c>
      <c r="FG214" s="417"/>
      <c r="FH214" s="417"/>
      <c r="FI214" s="417"/>
      <c r="FJ214" s="418">
        <f>IFERROR(VLOOKUP(H214,CEI_092018!$A$1:$U$489,12,FALSE),0)</f>
        <v>0</v>
      </c>
      <c r="FK214" s="418">
        <f t="shared" si="70"/>
        <v>14.010740280151367</v>
      </c>
      <c r="FL214" s="418">
        <f t="shared" si="71"/>
        <v>0</v>
      </c>
      <c r="FM214" s="417"/>
      <c r="FN214" s="417"/>
      <c r="FO214" s="417"/>
      <c r="FP214" s="417"/>
      <c r="FQ214" s="417"/>
      <c r="FR214" s="417"/>
      <c r="FS214" s="417"/>
      <c r="FT214" s="417"/>
      <c r="FU214" s="417"/>
      <c r="FV214" s="417"/>
      <c r="FW214" s="417"/>
      <c r="FX214" s="417"/>
      <c r="FY214" s="418"/>
      <c r="FZ214" s="418"/>
      <c r="GA214" s="418"/>
      <c r="GB214" s="417"/>
      <c r="GC214" s="417"/>
      <c r="GD214" s="417"/>
      <c r="GE214" s="417"/>
      <c r="GF214" s="417"/>
      <c r="GG214" s="417"/>
      <c r="GH214" s="417"/>
      <c r="GI214" s="417"/>
      <c r="GJ214" s="417"/>
      <c r="GK214" s="417"/>
      <c r="GL214" s="417"/>
      <c r="GM214" s="417"/>
      <c r="GN214" s="418"/>
      <c r="GO214" s="418"/>
      <c r="GP214" s="418"/>
      <c r="GQ214" s="417"/>
      <c r="GR214" s="417"/>
      <c r="GS214" s="417"/>
      <c r="GT214" s="417"/>
      <c r="GU214" s="417"/>
      <c r="GV214" s="417"/>
      <c r="GW214" s="417"/>
      <c r="GX214" s="417"/>
      <c r="GY214" s="417"/>
      <c r="GZ214" s="417"/>
      <c r="HA214" s="417"/>
      <c r="HB214" s="417"/>
      <c r="HC214" s="418"/>
      <c r="HD214" s="418"/>
      <c r="HE214" s="418"/>
      <c r="HF214" s="417"/>
      <c r="HG214" s="417"/>
      <c r="HH214" s="417"/>
      <c r="HI214" s="417"/>
      <c r="HJ214" s="417"/>
      <c r="HK214" s="417"/>
      <c r="HL214" s="417"/>
      <c r="HM214" s="417"/>
      <c r="HN214" s="417"/>
      <c r="HO214" s="417"/>
      <c r="HP214" s="417"/>
      <c r="HQ214" s="417"/>
      <c r="HR214" s="418"/>
      <c r="HS214" s="418"/>
      <c r="HT214" s="418"/>
    </row>
    <row r="215" spans="1:228" s="387" customFormat="1" ht="12.75" customHeight="1" x14ac:dyDescent="0.2">
      <c r="A215" s="406" t="s">
        <v>55</v>
      </c>
      <c r="B215" s="407" t="s">
        <v>42</v>
      </c>
      <c r="C215" s="406" t="s">
        <v>1000</v>
      </c>
      <c r="D215" s="407" t="s">
        <v>1004</v>
      </c>
      <c r="E215" s="407" t="s">
        <v>1000</v>
      </c>
      <c r="F215" s="407" t="s">
        <v>1004</v>
      </c>
      <c r="G215" s="406" t="s">
        <v>54</v>
      </c>
      <c r="H215" s="408" t="s">
        <v>1124</v>
      </c>
      <c r="I215" s="408" t="s">
        <v>1125</v>
      </c>
      <c r="J215" s="406" t="s">
        <v>1126</v>
      </c>
      <c r="K215" s="406" t="s">
        <v>1127</v>
      </c>
      <c r="L215" s="406" t="s">
        <v>57</v>
      </c>
      <c r="M215" s="406" t="s">
        <v>57</v>
      </c>
      <c r="N215" s="452">
        <v>0</v>
      </c>
      <c r="O215" s="452">
        <v>0</v>
      </c>
      <c r="P215" s="452">
        <v>9.5870800018310547</v>
      </c>
      <c r="Q215" s="452">
        <v>0</v>
      </c>
      <c r="R215" s="452">
        <v>0</v>
      </c>
      <c r="S215" s="452">
        <v>0</v>
      </c>
      <c r="T215" s="452">
        <v>0</v>
      </c>
      <c r="U215" s="409">
        <v>0</v>
      </c>
      <c r="V215" s="409">
        <v>0</v>
      </c>
      <c r="W215" s="409">
        <v>0</v>
      </c>
      <c r="X215" s="409">
        <v>0</v>
      </c>
      <c r="Y215" s="409">
        <v>0</v>
      </c>
      <c r="Z215" s="453">
        <f t="shared" si="83"/>
        <v>9.5870800018310547</v>
      </c>
      <c r="AA215" s="452">
        <v>0</v>
      </c>
      <c r="AB215" s="452">
        <v>0</v>
      </c>
      <c r="AC215" s="452">
        <v>0</v>
      </c>
      <c r="AD215" s="452">
        <v>0</v>
      </c>
      <c r="AE215" s="452">
        <v>0</v>
      </c>
      <c r="AF215" s="452">
        <v>0</v>
      </c>
      <c r="AG215" s="452">
        <v>0</v>
      </c>
      <c r="AH215" s="409">
        <v>0</v>
      </c>
      <c r="AI215" s="409">
        <v>0</v>
      </c>
      <c r="AJ215" s="409">
        <v>0</v>
      </c>
      <c r="AK215" s="409">
        <v>0</v>
      </c>
      <c r="AL215" s="409">
        <v>0</v>
      </c>
      <c r="AM215" s="453">
        <f t="shared" si="78"/>
        <v>0</v>
      </c>
      <c r="AN215" s="452">
        <v>0</v>
      </c>
      <c r="AO215" s="452">
        <v>0</v>
      </c>
      <c r="AP215" s="452">
        <v>0</v>
      </c>
      <c r="AQ215" s="452">
        <v>0</v>
      </c>
      <c r="AR215" s="452">
        <v>0</v>
      </c>
      <c r="AS215" s="452">
        <v>0</v>
      </c>
      <c r="AT215" s="452">
        <v>0</v>
      </c>
      <c r="AU215" s="409">
        <v>0</v>
      </c>
      <c r="AV215" s="409">
        <v>0</v>
      </c>
      <c r="AW215" s="409">
        <v>0</v>
      </c>
      <c r="AX215" s="409">
        <v>0</v>
      </c>
      <c r="AY215" s="409">
        <v>0</v>
      </c>
      <c r="AZ215" s="453">
        <f t="shared" si="79"/>
        <v>0</v>
      </c>
      <c r="BA215" s="452">
        <v>0</v>
      </c>
      <c r="BB215" s="452">
        <v>0</v>
      </c>
      <c r="BC215" s="452">
        <v>0</v>
      </c>
      <c r="BD215" s="452">
        <v>0</v>
      </c>
      <c r="BE215" s="452">
        <v>0</v>
      </c>
      <c r="BF215" s="452">
        <v>0</v>
      </c>
      <c r="BG215" s="452">
        <v>0</v>
      </c>
      <c r="BH215" s="409">
        <v>0</v>
      </c>
      <c r="BI215" s="409">
        <v>0</v>
      </c>
      <c r="BJ215" s="409">
        <v>0</v>
      </c>
      <c r="BK215" s="409">
        <v>0</v>
      </c>
      <c r="BL215" s="409">
        <v>0</v>
      </c>
      <c r="BM215" s="453">
        <f t="shared" si="80"/>
        <v>0</v>
      </c>
      <c r="BN215" s="452">
        <v>0</v>
      </c>
      <c r="BO215" s="452">
        <v>0</v>
      </c>
      <c r="BP215" s="452">
        <v>0</v>
      </c>
      <c r="BQ215" s="452">
        <v>0</v>
      </c>
      <c r="BR215" s="452">
        <v>0</v>
      </c>
      <c r="BS215" s="452">
        <v>0</v>
      </c>
      <c r="BT215" s="452">
        <v>0</v>
      </c>
      <c r="BU215" s="409">
        <v>0</v>
      </c>
      <c r="BV215" s="409">
        <v>0</v>
      </c>
      <c r="BW215" s="409">
        <v>0</v>
      </c>
      <c r="BX215" s="409">
        <v>0</v>
      </c>
      <c r="BY215" s="409">
        <v>0</v>
      </c>
      <c r="BZ215" s="453">
        <f t="shared" si="81"/>
        <v>0</v>
      </c>
      <c r="CA215" s="454">
        <f t="shared" si="82"/>
        <v>9.5870800018310547</v>
      </c>
      <c r="CB215" s="419"/>
      <c r="CC215" s="419">
        <v>1</v>
      </c>
      <c r="CD215" s="419">
        <v>1</v>
      </c>
      <c r="CE215" s="419">
        <v>1</v>
      </c>
      <c r="CF215" s="419">
        <v>1</v>
      </c>
      <c r="CG215" s="420">
        <f t="shared" si="90"/>
        <v>100</v>
      </c>
      <c r="CH215" s="421">
        <f t="shared" si="91"/>
        <v>100</v>
      </c>
      <c r="CI215" s="414" t="s">
        <v>1622</v>
      </c>
      <c r="CJ215" s="415">
        <v>0</v>
      </c>
      <c r="CK215" s="415">
        <v>0</v>
      </c>
      <c r="CL215" s="415">
        <v>22.295534883720933</v>
      </c>
      <c r="CM215" s="415">
        <v>0</v>
      </c>
      <c r="CN215" s="415">
        <v>0</v>
      </c>
      <c r="CO215" s="415">
        <v>0</v>
      </c>
      <c r="CP215" s="415">
        <v>0</v>
      </c>
      <c r="CQ215" s="415">
        <v>0</v>
      </c>
      <c r="CR215" s="415">
        <v>0</v>
      </c>
      <c r="CS215" s="415">
        <v>0</v>
      </c>
      <c r="CT215" s="415">
        <v>0</v>
      </c>
      <c r="CU215" s="415">
        <v>0</v>
      </c>
      <c r="CV215" s="410">
        <f t="shared" si="84"/>
        <v>22.295534883720933</v>
      </c>
      <c r="CW215" s="415">
        <v>0</v>
      </c>
      <c r="CX215" s="415">
        <v>0</v>
      </c>
      <c r="CY215" s="415">
        <v>0</v>
      </c>
      <c r="CZ215" s="415">
        <v>0</v>
      </c>
      <c r="DA215" s="415">
        <v>0</v>
      </c>
      <c r="DB215" s="415">
        <v>0</v>
      </c>
      <c r="DC215" s="415">
        <v>0</v>
      </c>
      <c r="DD215" s="415">
        <v>0</v>
      </c>
      <c r="DE215" s="415">
        <v>0</v>
      </c>
      <c r="DF215" s="415">
        <v>0</v>
      </c>
      <c r="DG215" s="415">
        <v>0</v>
      </c>
      <c r="DH215" s="415">
        <v>0</v>
      </c>
      <c r="DI215" s="410">
        <f t="shared" si="85"/>
        <v>0</v>
      </c>
      <c r="DJ215" s="415">
        <v>0</v>
      </c>
      <c r="DK215" s="415">
        <v>0</v>
      </c>
      <c r="DL215" s="415">
        <v>0</v>
      </c>
      <c r="DM215" s="415">
        <v>0</v>
      </c>
      <c r="DN215" s="415">
        <v>0</v>
      </c>
      <c r="DO215" s="415">
        <v>0</v>
      </c>
      <c r="DP215" s="415">
        <v>0</v>
      </c>
      <c r="DQ215" s="415">
        <v>0</v>
      </c>
      <c r="DR215" s="415">
        <v>0</v>
      </c>
      <c r="DS215" s="415">
        <v>0</v>
      </c>
      <c r="DT215" s="415">
        <v>0</v>
      </c>
      <c r="DU215" s="415">
        <v>0</v>
      </c>
      <c r="DV215" s="410">
        <f t="shared" si="86"/>
        <v>0</v>
      </c>
      <c r="DW215" s="415">
        <v>0</v>
      </c>
      <c r="DX215" s="415">
        <v>0</v>
      </c>
      <c r="DY215" s="415">
        <v>0</v>
      </c>
      <c r="DZ215" s="415">
        <v>0</v>
      </c>
      <c r="EA215" s="415">
        <v>0</v>
      </c>
      <c r="EB215" s="415">
        <v>0</v>
      </c>
      <c r="EC215" s="415">
        <v>0</v>
      </c>
      <c r="ED215" s="415">
        <v>0</v>
      </c>
      <c r="EE215" s="415">
        <v>0</v>
      </c>
      <c r="EF215" s="415">
        <v>0</v>
      </c>
      <c r="EG215" s="415">
        <v>0</v>
      </c>
      <c r="EH215" s="415">
        <v>0</v>
      </c>
      <c r="EI215" s="410">
        <f t="shared" si="87"/>
        <v>0</v>
      </c>
      <c r="EJ215" s="415">
        <v>0</v>
      </c>
      <c r="EK215" s="415">
        <v>0</v>
      </c>
      <c r="EL215" s="415">
        <v>0</v>
      </c>
      <c r="EM215" s="415">
        <v>0</v>
      </c>
      <c r="EN215" s="415">
        <v>0</v>
      </c>
      <c r="EO215" s="415">
        <v>0</v>
      </c>
      <c r="EP215" s="415">
        <v>0</v>
      </c>
      <c r="EQ215" s="415">
        <v>0</v>
      </c>
      <c r="ER215" s="415">
        <v>0</v>
      </c>
      <c r="ES215" s="415">
        <v>0</v>
      </c>
      <c r="ET215" s="415">
        <v>0</v>
      </c>
      <c r="EU215" s="415">
        <v>0</v>
      </c>
      <c r="EV215" s="410">
        <f t="shared" si="88"/>
        <v>0</v>
      </c>
      <c r="EW215" s="416">
        <f t="shared" si="89"/>
        <v>22.295534883720933</v>
      </c>
      <c r="EX215" s="417">
        <f>IFERROR(VLOOKUP(H215,CEI_012018!$A$1:$U$509,9,FALSE),0)</f>
        <v>0</v>
      </c>
      <c r="EY215" s="417">
        <f>IFERROR(VLOOKUP(H215,CEI_022018!$A$1:$U$509,9,FALSE),0)</f>
        <v>0</v>
      </c>
      <c r="EZ215" s="417">
        <f>IFERROR(VLOOKUP(H215,CEI_032018!$A$1:$U$509,9,FALSE),0)</f>
        <v>9.5870800018310547</v>
      </c>
      <c r="FA215" s="417">
        <f>IFERROR(VLOOKUP(H215,CEI_042018!$A$1:$U$491,9,FALSE),0)</f>
        <v>9.5870800018310547</v>
      </c>
      <c r="FB215" s="417">
        <f>IFERROR(VLOOKUP(H215,CEI_052018!$A$1:$U$489,9,FALSE),0)</f>
        <v>9.5870800018310547</v>
      </c>
      <c r="FC215" s="417">
        <f>IFERROR(VLOOKUP(H215,CEI_062018!$A$1:$U$489,9,FALSE),0)</f>
        <v>9.5870800018310547</v>
      </c>
      <c r="FD215" s="417">
        <f>IFERROR(VLOOKUP(H215,CEI_072018!$A$1:$U$489,9,FALSE),0)</f>
        <v>9.5870800018310547</v>
      </c>
      <c r="FE215" s="417">
        <f>IFERROR(VLOOKUP(H215,CEI_082018!$A$1:$U$489,9,FALSE),0)</f>
        <v>9.5870800018310547</v>
      </c>
      <c r="FF215" s="417">
        <f>IFERROR(VLOOKUP(H215,CEI_092018!$A$1:$U$489,9,FALSE),0)</f>
        <v>9.5870800018310547</v>
      </c>
      <c r="FG215" s="417"/>
      <c r="FH215" s="417"/>
      <c r="FI215" s="417"/>
      <c r="FJ215" s="418">
        <f>IFERROR(VLOOKUP(H215,CEI_092018!$A$1:$U$489,12,FALSE),0)</f>
        <v>0</v>
      </c>
      <c r="FK215" s="418">
        <f t="shared" si="70"/>
        <v>9.5870800018310547</v>
      </c>
      <c r="FL215" s="418">
        <f t="shared" si="71"/>
        <v>0</v>
      </c>
      <c r="FM215" s="417"/>
      <c r="FN215" s="417"/>
      <c r="FO215" s="417"/>
      <c r="FP215" s="417"/>
      <c r="FQ215" s="417"/>
      <c r="FR215" s="417"/>
      <c r="FS215" s="417"/>
      <c r="FT215" s="417"/>
      <c r="FU215" s="417"/>
      <c r="FV215" s="417"/>
      <c r="FW215" s="417"/>
      <c r="FX215" s="417"/>
      <c r="FY215" s="418"/>
      <c r="FZ215" s="418"/>
      <c r="GA215" s="418"/>
      <c r="GB215" s="417"/>
      <c r="GC215" s="417"/>
      <c r="GD215" s="417"/>
      <c r="GE215" s="417"/>
      <c r="GF215" s="417"/>
      <c r="GG215" s="417"/>
      <c r="GH215" s="417"/>
      <c r="GI215" s="417"/>
      <c r="GJ215" s="417"/>
      <c r="GK215" s="417"/>
      <c r="GL215" s="417"/>
      <c r="GM215" s="417"/>
      <c r="GN215" s="418"/>
      <c r="GO215" s="418"/>
      <c r="GP215" s="418"/>
      <c r="GQ215" s="417"/>
      <c r="GR215" s="417"/>
      <c r="GS215" s="417"/>
      <c r="GT215" s="417"/>
      <c r="GU215" s="417"/>
      <c r="GV215" s="417"/>
      <c r="GW215" s="417"/>
      <c r="GX215" s="417"/>
      <c r="GY215" s="417"/>
      <c r="GZ215" s="417"/>
      <c r="HA215" s="417"/>
      <c r="HB215" s="417"/>
      <c r="HC215" s="418"/>
      <c r="HD215" s="418"/>
      <c r="HE215" s="418"/>
      <c r="HF215" s="417"/>
      <c r="HG215" s="417"/>
      <c r="HH215" s="417"/>
      <c r="HI215" s="417"/>
      <c r="HJ215" s="417"/>
      <c r="HK215" s="417"/>
      <c r="HL215" s="417"/>
      <c r="HM215" s="417"/>
      <c r="HN215" s="417"/>
      <c r="HO215" s="417"/>
      <c r="HP215" s="417"/>
      <c r="HQ215" s="417"/>
      <c r="HR215" s="418"/>
      <c r="HS215" s="418"/>
      <c r="HT215" s="418"/>
    </row>
    <row r="216" spans="1:228" s="387" customFormat="1" ht="12.75" customHeight="1" x14ac:dyDescent="0.2">
      <c r="A216" s="406" t="s">
        <v>55</v>
      </c>
      <c r="B216" s="407" t="s">
        <v>42</v>
      </c>
      <c r="C216" s="406" t="s">
        <v>1000</v>
      </c>
      <c r="D216" s="407" t="s">
        <v>1004</v>
      </c>
      <c r="E216" s="407" t="s">
        <v>1000</v>
      </c>
      <c r="F216" s="407" t="s">
        <v>1004</v>
      </c>
      <c r="G216" s="406" t="s">
        <v>54</v>
      </c>
      <c r="H216" s="408" t="s">
        <v>991</v>
      </c>
      <c r="I216" s="408" t="s">
        <v>1328</v>
      </c>
      <c r="J216" s="406" t="s">
        <v>965</v>
      </c>
      <c r="K216" s="406" t="s">
        <v>994</v>
      </c>
      <c r="L216" s="406" t="s">
        <v>995</v>
      </c>
      <c r="M216" s="406" t="s">
        <v>57</v>
      </c>
      <c r="N216" s="452">
        <v>0</v>
      </c>
      <c r="O216" s="452">
        <v>0</v>
      </c>
      <c r="P216" s="452">
        <v>0</v>
      </c>
      <c r="Q216" s="452">
        <v>0</v>
      </c>
      <c r="R216" s="452">
        <v>0</v>
      </c>
      <c r="S216" s="452">
        <v>35.544418334960938</v>
      </c>
      <c r="T216" s="452">
        <v>36.857521057128906</v>
      </c>
      <c r="U216" s="409">
        <v>38.273300170898437</v>
      </c>
      <c r="V216" s="409">
        <v>30</v>
      </c>
      <c r="W216" s="409">
        <v>30</v>
      </c>
      <c r="X216" s="409">
        <v>31.8</v>
      </c>
      <c r="Y216" s="409">
        <v>44.724759999999996</v>
      </c>
      <c r="Z216" s="453">
        <f t="shared" si="83"/>
        <v>247.1999995629883</v>
      </c>
      <c r="AA216" s="452">
        <v>0</v>
      </c>
      <c r="AB216" s="452">
        <v>0</v>
      </c>
      <c r="AC216" s="452">
        <v>92.7</v>
      </c>
      <c r="AD216" s="452">
        <v>0</v>
      </c>
      <c r="AE216" s="452">
        <v>0</v>
      </c>
      <c r="AF216" s="452">
        <v>92.7</v>
      </c>
      <c r="AG216" s="452">
        <v>0</v>
      </c>
      <c r="AH216" s="409">
        <v>0</v>
      </c>
      <c r="AI216" s="409">
        <v>0</v>
      </c>
      <c r="AJ216" s="409">
        <v>0</v>
      </c>
      <c r="AK216" s="409">
        <v>0</v>
      </c>
      <c r="AL216" s="409">
        <v>0</v>
      </c>
      <c r="AM216" s="453">
        <f t="shared" si="78"/>
        <v>185.4</v>
      </c>
      <c r="AN216" s="452">
        <v>0</v>
      </c>
      <c r="AO216" s="452">
        <v>0</v>
      </c>
      <c r="AP216" s="452">
        <v>0</v>
      </c>
      <c r="AQ216" s="452">
        <v>0</v>
      </c>
      <c r="AR216" s="452">
        <v>0</v>
      </c>
      <c r="AS216" s="452">
        <v>0</v>
      </c>
      <c r="AT216" s="452">
        <v>0</v>
      </c>
      <c r="AU216" s="409">
        <v>0</v>
      </c>
      <c r="AV216" s="409">
        <v>0</v>
      </c>
      <c r="AW216" s="409">
        <v>0</v>
      </c>
      <c r="AX216" s="409">
        <v>0</v>
      </c>
      <c r="AY216" s="409">
        <v>0</v>
      </c>
      <c r="AZ216" s="453">
        <f t="shared" si="79"/>
        <v>0</v>
      </c>
      <c r="BA216" s="452">
        <v>0</v>
      </c>
      <c r="BB216" s="452">
        <v>0</v>
      </c>
      <c r="BC216" s="452">
        <v>0</v>
      </c>
      <c r="BD216" s="452">
        <v>0</v>
      </c>
      <c r="BE216" s="452">
        <v>0</v>
      </c>
      <c r="BF216" s="452">
        <v>0</v>
      </c>
      <c r="BG216" s="452">
        <v>0</v>
      </c>
      <c r="BH216" s="409">
        <v>0</v>
      </c>
      <c r="BI216" s="409">
        <v>0</v>
      </c>
      <c r="BJ216" s="409">
        <v>0</v>
      </c>
      <c r="BK216" s="409">
        <v>0</v>
      </c>
      <c r="BL216" s="409">
        <v>0</v>
      </c>
      <c r="BM216" s="453">
        <f t="shared" si="80"/>
        <v>0</v>
      </c>
      <c r="BN216" s="452">
        <v>0</v>
      </c>
      <c r="BO216" s="452">
        <v>0</v>
      </c>
      <c r="BP216" s="452">
        <v>0</v>
      </c>
      <c r="BQ216" s="452">
        <v>0</v>
      </c>
      <c r="BR216" s="452">
        <v>0</v>
      </c>
      <c r="BS216" s="452">
        <v>0</v>
      </c>
      <c r="BT216" s="452">
        <v>0</v>
      </c>
      <c r="BU216" s="409">
        <v>0</v>
      </c>
      <c r="BV216" s="409">
        <v>0</v>
      </c>
      <c r="BW216" s="409">
        <v>0</v>
      </c>
      <c r="BX216" s="409">
        <v>0</v>
      </c>
      <c r="BY216" s="409">
        <v>0</v>
      </c>
      <c r="BZ216" s="453">
        <f t="shared" si="81"/>
        <v>0</v>
      </c>
      <c r="CA216" s="454">
        <f t="shared" si="82"/>
        <v>432.59999956298827</v>
      </c>
      <c r="CB216" s="419"/>
      <c r="CC216" s="419">
        <v>1</v>
      </c>
      <c r="CD216" s="419">
        <v>1</v>
      </c>
      <c r="CE216" s="419">
        <v>1</v>
      </c>
      <c r="CF216" s="419">
        <v>1</v>
      </c>
      <c r="CG216" s="420">
        <f t="shared" si="90"/>
        <v>44.77153711919302</v>
      </c>
      <c r="CH216" s="421">
        <f t="shared" si="91"/>
        <v>99.99999894225482</v>
      </c>
      <c r="CI216" s="414" t="s">
        <v>1622</v>
      </c>
      <c r="CJ216" s="415">
        <v>0</v>
      </c>
      <c r="CK216" s="415">
        <v>0</v>
      </c>
      <c r="CL216" s="415">
        <v>0</v>
      </c>
      <c r="CM216" s="415">
        <v>0</v>
      </c>
      <c r="CN216" s="415">
        <v>0</v>
      </c>
      <c r="CO216" s="415">
        <v>115.03048543689319</v>
      </c>
      <c r="CP216" s="415">
        <v>84.969514563106799</v>
      </c>
      <c r="CQ216" s="415">
        <v>102.91262135922331</v>
      </c>
      <c r="CR216" s="415">
        <v>97.087378640776706</v>
      </c>
      <c r="CS216" s="415">
        <v>97.087378640776706</v>
      </c>
      <c r="CT216" s="415">
        <v>102.91262135922331</v>
      </c>
      <c r="CU216" s="415">
        <v>200</v>
      </c>
      <c r="CV216" s="410">
        <f t="shared" si="84"/>
        <v>800</v>
      </c>
      <c r="CW216" s="415">
        <v>0</v>
      </c>
      <c r="CX216" s="415">
        <v>0</v>
      </c>
      <c r="CY216" s="415">
        <v>300</v>
      </c>
      <c r="CZ216" s="415">
        <v>0</v>
      </c>
      <c r="DA216" s="415">
        <v>0</v>
      </c>
      <c r="DB216" s="415">
        <v>300</v>
      </c>
      <c r="DC216" s="415">
        <v>0</v>
      </c>
      <c r="DD216" s="415">
        <v>0</v>
      </c>
      <c r="DE216" s="415">
        <v>0</v>
      </c>
      <c r="DF216" s="415">
        <v>0</v>
      </c>
      <c r="DG216" s="415">
        <v>0</v>
      </c>
      <c r="DH216" s="415">
        <v>0</v>
      </c>
      <c r="DI216" s="410">
        <f t="shared" si="85"/>
        <v>600</v>
      </c>
      <c r="DJ216" s="415">
        <v>0</v>
      </c>
      <c r="DK216" s="415">
        <v>0</v>
      </c>
      <c r="DL216" s="415">
        <v>0</v>
      </c>
      <c r="DM216" s="415">
        <v>0</v>
      </c>
      <c r="DN216" s="415">
        <v>0</v>
      </c>
      <c r="DO216" s="415">
        <v>0</v>
      </c>
      <c r="DP216" s="415">
        <v>0</v>
      </c>
      <c r="DQ216" s="415">
        <v>0</v>
      </c>
      <c r="DR216" s="415">
        <v>0</v>
      </c>
      <c r="DS216" s="415">
        <v>0</v>
      </c>
      <c r="DT216" s="415">
        <v>0</v>
      </c>
      <c r="DU216" s="415">
        <v>0</v>
      </c>
      <c r="DV216" s="410">
        <f t="shared" si="86"/>
        <v>0</v>
      </c>
      <c r="DW216" s="415">
        <v>0</v>
      </c>
      <c r="DX216" s="415">
        <v>0</v>
      </c>
      <c r="DY216" s="415">
        <v>0</v>
      </c>
      <c r="DZ216" s="415">
        <v>0</v>
      </c>
      <c r="EA216" s="415">
        <v>0</v>
      </c>
      <c r="EB216" s="415">
        <v>0</v>
      </c>
      <c r="EC216" s="415">
        <v>0</v>
      </c>
      <c r="ED216" s="415">
        <v>0</v>
      </c>
      <c r="EE216" s="415">
        <v>0</v>
      </c>
      <c r="EF216" s="415">
        <v>0</v>
      </c>
      <c r="EG216" s="415">
        <v>0</v>
      </c>
      <c r="EH216" s="415">
        <v>0</v>
      </c>
      <c r="EI216" s="410">
        <f t="shared" si="87"/>
        <v>0</v>
      </c>
      <c r="EJ216" s="415">
        <v>0</v>
      </c>
      <c r="EK216" s="415">
        <v>0</v>
      </c>
      <c r="EL216" s="415">
        <v>0</v>
      </c>
      <c r="EM216" s="415">
        <v>0</v>
      </c>
      <c r="EN216" s="415">
        <v>0</v>
      </c>
      <c r="EO216" s="415">
        <v>0</v>
      </c>
      <c r="EP216" s="415">
        <v>0</v>
      </c>
      <c r="EQ216" s="415">
        <v>0</v>
      </c>
      <c r="ER216" s="415">
        <v>0</v>
      </c>
      <c r="ES216" s="415">
        <v>0</v>
      </c>
      <c r="ET216" s="415">
        <v>0</v>
      </c>
      <c r="EU216" s="415">
        <v>0</v>
      </c>
      <c r="EV216" s="410">
        <f t="shared" si="88"/>
        <v>0</v>
      </c>
      <c r="EW216" s="416">
        <f t="shared" si="89"/>
        <v>1400</v>
      </c>
      <c r="EX216" s="417">
        <f>IFERROR(VLOOKUP(H216,CEI_012018!$A$1:$U$509,9,FALSE),0)</f>
        <v>0</v>
      </c>
      <c r="EY216" s="417">
        <f>IFERROR(VLOOKUP(H216,CEI_022018!$A$1:$U$509,9,FALSE),0)</f>
        <v>0</v>
      </c>
      <c r="EZ216" s="417">
        <f>IFERROR(VLOOKUP(H216,CEI_032018!$A$1:$U$509,9,FALSE),0)</f>
        <v>0</v>
      </c>
      <c r="FA216" s="417">
        <f>IFERROR(VLOOKUP(H216,CEI_042018!$A$1:$U$491,9,FALSE),0)</f>
        <v>0</v>
      </c>
      <c r="FB216" s="417">
        <f>IFERROR(VLOOKUP(H216,CEI_052018!$A$1:$U$489,9,FALSE),0)</f>
        <v>0</v>
      </c>
      <c r="FC216" s="417">
        <f>IFERROR(VLOOKUP(H216,CEI_062018!$A$1:$U$489,9,FALSE),0)</f>
        <v>35.544418334960938</v>
      </c>
      <c r="FD216" s="417">
        <f>IFERROR(VLOOKUP(H216,CEI_072018!$A$1:$U$489,9,FALSE),0)</f>
        <v>72.401939392089844</v>
      </c>
      <c r="FE216" s="417">
        <f>IFERROR(VLOOKUP(H216,CEI_082018!$A$1:$U$489,9,FALSE),0)</f>
        <v>110.67523956298828</v>
      </c>
      <c r="FF216" s="417">
        <f>IFERROR(VLOOKUP(H216,CEI_092018!$A$1:$U$489,9,FALSE),0)</f>
        <v>154.43470001220703</v>
      </c>
      <c r="FG216" s="417"/>
      <c r="FH216" s="417"/>
      <c r="FI216" s="417"/>
      <c r="FJ216" s="418">
        <f>IFERROR(VLOOKUP(H216,CEI_092018!$A$1:$U$489,12,FALSE),0)</f>
        <v>92.765296936035156</v>
      </c>
      <c r="FK216" s="418">
        <f t="shared" si="70"/>
        <v>247.19999694824219</v>
      </c>
      <c r="FL216" s="418">
        <f t="shared" si="71"/>
        <v>2.614746108520194E-6</v>
      </c>
      <c r="FM216" s="417"/>
      <c r="FN216" s="417"/>
      <c r="FO216" s="417"/>
      <c r="FP216" s="417"/>
      <c r="FQ216" s="417"/>
      <c r="FR216" s="417"/>
      <c r="FS216" s="417"/>
      <c r="FT216" s="417"/>
      <c r="FU216" s="417"/>
      <c r="FV216" s="417"/>
      <c r="FW216" s="417"/>
      <c r="FX216" s="417"/>
      <c r="FY216" s="418"/>
      <c r="FZ216" s="418"/>
      <c r="GA216" s="418"/>
      <c r="GB216" s="417"/>
      <c r="GC216" s="417"/>
      <c r="GD216" s="417"/>
      <c r="GE216" s="417"/>
      <c r="GF216" s="417"/>
      <c r="GG216" s="417"/>
      <c r="GH216" s="417"/>
      <c r="GI216" s="417"/>
      <c r="GJ216" s="417"/>
      <c r="GK216" s="417"/>
      <c r="GL216" s="417"/>
      <c r="GM216" s="417"/>
      <c r="GN216" s="418"/>
      <c r="GO216" s="418"/>
      <c r="GP216" s="418"/>
      <c r="GQ216" s="417"/>
      <c r="GR216" s="417"/>
      <c r="GS216" s="417"/>
      <c r="GT216" s="417"/>
      <c r="GU216" s="417"/>
      <c r="GV216" s="417"/>
      <c r="GW216" s="417"/>
      <c r="GX216" s="417"/>
      <c r="GY216" s="417"/>
      <c r="GZ216" s="417"/>
      <c r="HA216" s="417"/>
      <c r="HB216" s="417"/>
      <c r="HC216" s="418"/>
      <c r="HD216" s="418"/>
      <c r="HE216" s="418"/>
      <c r="HF216" s="417"/>
      <c r="HG216" s="417"/>
      <c r="HH216" s="417"/>
      <c r="HI216" s="417"/>
      <c r="HJ216" s="417"/>
      <c r="HK216" s="417"/>
      <c r="HL216" s="417"/>
      <c r="HM216" s="417"/>
      <c r="HN216" s="417"/>
      <c r="HO216" s="417"/>
      <c r="HP216" s="417"/>
      <c r="HQ216" s="417"/>
      <c r="HR216" s="418"/>
      <c r="HS216" s="418"/>
      <c r="HT216" s="418"/>
    </row>
    <row r="217" spans="1:228" s="387" customFormat="1" ht="12.75" customHeight="1" x14ac:dyDescent="0.2">
      <c r="A217" s="406" t="s">
        <v>55</v>
      </c>
      <c r="B217" s="407" t="s">
        <v>42</v>
      </c>
      <c r="C217" s="406" t="s">
        <v>1000</v>
      </c>
      <c r="D217" s="407" t="s">
        <v>1004</v>
      </c>
      <c r="E217" s="407" t="s">
        <v>1000</v>
      </c>
      <c r="F217" s="407" t="s">
        <v>1004</v>
      </c>
      <c r="G217" s="406" t="s">
        <v>54</v>
      </c>
      <c r="H217" s="408" t="s">
        <v>702</v>
      </c>
      <c r="I217" s="408" t="s">
        <v>1265</v>
      </c>
      <c r="J217" s="406" t="s">
        <v>319</v>
      </c>
      <c r="K217" s="406" t="s">
        <v>320</v>
      </c>
      <c r="L217" s="406" t="s">
        <v>321</v>
      </c>
      <c r="M217" s="406" t="s">
        <v>57</v>
      </c>
      <c r="N217" s="452">
        <v>0</v>
      </c>
      <c r="O217" s="452">
        <v>28.96575927734375</v>
      </c>
      <c r="P217" s="452">
        <v>21.72599983215332</v>
      </c>
      <c r="Q217" s="452">
        <v>1.874250054359436</v>
      </c>
      <c r="R217" s="452">
        <v>0</v>
      </c>
      <c r="S217" s="452">
        <v>0</v>
      </c>
      <c r="T217" s="452">
        <v>48.807849884033203</v>
      </c>
      <c r="U217" s="409">
        <v>0</v>
      </c>
      <c r="V217" s="409">
        <v>0</v>
      </c>
      <c r="W217" s="409">
        <v>0</v>
      </c>
      <c r="X217" s="409">
        <v>0</v>
      </c>
      <c r="Y217" s="409">
        <v>0</v>
      </c>
      <c r="Z217" s="453">
        <f t="shared" si="83"/>
        <v>101.37385904788971</v>
      </c>
      <c r="AA217" s="452">
        <v>0</v>
      </c>
      <c r="AB217" s="452">
        <v>0</v>
      </c>
      <c r="AC217" s="452">
        <v>0</v>
      </c>
      <c r="AD217" s="452">
        <v>0</v>
      </c>
      <c r="AE217" s="452">
        <v>0</v>
      </c>
      <c r="AF217" s="452">
        <v>0</v>
      </c>
      <c r="AG217" s="452">
        <v>0</v>
      </c>
      <c r="AH217" s="409">
        <v>0</v>
      </c>
      <c r="AI217" s="409">
        <v>0</v>
      </c>
      <c r="AJ217" s="409">
        <v>0</v>
      </c>
      <c r="AK217" s="409">
        <v>0</v>
      </c>
      <c r="AL217" s="409">
        <v>0</v>
      </c>
      <c r="AM217" s="453">
        <f t="shared" si="78"/>
        <v>0</v>
      </c>
      <c r="AN217" s="452">
        <v>0</v>
      </c>
      <c r="AO217" s="452">
        <v>0</v>
      </c>
      <c r="AP217" s="452">
        <v>0</v>
      </c>
      <c r="AQ217" s="452">
        <v>0</v>
      </c>
      <c r="AR217" s="452">
        <v>0</v>
      </c>
      <c r="AS217" s="452">
        <v>0</v>
      </c>
      <c r="AT217" s="452">
        <v>0</v>
      </c>
      <c r="AU217" s="409">
        <v>0</v>
      </c>
      <c r="AV217" s="409">
        <v>0</v>
      </c>
      <c r="AW217" s="409">
        <v>0</v>
      </c>
      <c r="AX217" s="409">
        <v>0</v>
      </c>
      <c r="AY217" s="409">
        <v>0</v>
      </c>
      <c r="AZ217" s="453">
        <f t="shared" si="79"/>
        <v>0</v>
      </c>
      <c r="BA217" s="452">
        <v>0</v>
      </c>
      <c r="BB217" s="452">
        <v>0</v>
      </c>
      <c r="BC217" s="452">
        <v>0</v>
      </c>
      <c r="BD217" s="452">
        <v>0</v>
      </c>
      <c r="BE217" s="452">
        <v>0</v>
      </c>
      <c r="BF217" s="452">
        <v>0</v>
      </c>
      <c r="BG217" s="452">
        <v>0</v>
      </c>
      <c r="BH217" s="409">
        <v>0</v>
      </c>
      <c r="BI217" s="409">
        <v>0</v>
      </c>
      <c r="BJ217" s="409">
        <v>0</v>
      </c>
      <c r="BK217" s="409">
        <v>0</v>
      </c>
      <c r="BL217" s="409">
        <v>0</v>
      </c>
      <c r="BM217" s="453">
        <f t="shared" si="80"/>
        <v>0</v>
      </c>
      <c r="BN217" s="452">
        <v>0</v>
      </c>
      <c r="BO217" s="452">
        <v>0</v>
      </c>
      <c r="BP217" s="452">
        <v>0</v>
      </c>
      <c r="BQ217" s="452">
        <v>0</v>
      </c>
      <c r="BR217" s="452">
        <v>0</v>
      </c>
      <c r="BS217" s="452">
        <v>0</v>
      </c>
      <c r="BT217" s="452">
        <v>0</v>
      </c>
      <c r="BU217" s="409">
        <v>0</v>
      </c>
      <c r="BV217" s="409">
        <v>0</v>
      </c>
      <c r="BW217" s="409">
        <v>0</v>
      </c>
      <c r="BX217" s="409">
        <v>0</v>
      </c>
      <c r="BY217" s="409">
        <v>0</v>
      </c>
      <c r="BZ217" s="453">
        <f t="shared" si="81"/>
        <v>0</v>
      </c>
      <c r="CA217" s="454">
        <f t="shared" si="82"/>
        <v>101.37385904788971</v>
      </c>
      <c r="CB217" s="419"/>
      <c r="CC217" s="419">
        <v>1</v>
      </c>
      <c r="CD217" s="419">
        <v>1</v>
      </c>
      <c r="CE217" s="419">
        <v>1</v>
      </c>
      <c r="CF217" s="419">
        <v>1</v>
      </c>
      <c r="CG217" s="420">
        <f t="shared" si="90"/>
        <v>100</v>
      </c>
      <c r="CH217" s="421">
        <f t="shared" si="91"/>
        <v>100</v>
      </c>
      <c r="CI217" s="414" t="s">
        <v>1622</v>
      </c>
      <c r="CJ217" s="415">
        <v>0</v>
      </c>
      <c r="CK217" s="415">
        <v>67.362232558139539</v>
      </c>
      <c r="CL217" s="415">
        <v>50.525581395348837</v>
      </c>
      <c r="CM217" s="415">
        <v>4.3587209302325585</v>
      </c>
      <c r="CN217" s="415">
        <v>0</v>
      </c>
      <c r="CO217" s="415">
        <v>0</v>
      </c>
      <c r="CP217" s="415">
        <v>69.767441860465112</v>
      </c>
      <c r="CQ217" s="415">
        <v>147.52093023255813</v>
      </c>
      <c r="CR217" s="415">
        <v>0</v>
      </c>
      <c r="CS217" s="415">
        <v>0</v>
      </c>
      <c r="CT217" s="415">
        <v>0</v>
      </c>
      <c r="CU217" s="415">
        <v>0</v>
      </c>
      <c r="CV217" s="410">
        <f t="shared" si="84"/>
        <v>339.5349069767442</v>
      </c>
      <c r="CW217" s="415">
        <v>46.511627906976742</v>
      </c>
      <c r="CX217" s="415">
        <v>81.395348837209298</v>
      </c>
      <c r="CY217" s="415">
        <v>0</v>
      </c>
      <c r="CZ217" s="415">
        <v>0</v>
      </c>
      <c r="DA217" s="415">
        <v>0</v>
      </c>
      <c r="DB217" s="415">
        <v>0</v>
      </c>
      <c r="DC217" s="415">
        <v>0</v>
      </c>
      <c r="DD217" s="415">
        <v>0</v>
      </c>
      <c r="DE217" s="415">
        <v>0</v>
      </c>
      <c r="DF217" s="415">
        <v>0</v>
      </c>
      <c r="DG217" s="415">
        <v>0</v>
      </c>
      <c r="DH217" s="415">
        <v>0</v>
      </c>
      <c r="DI217" s="410">
        <f t="shared" si="85"/>
        <v>127.90697674418604</v>
      </c>
      <c r="DJ217" s="415">
        <v>0</v>
      </c>
      <c r="DK217" s="415">
        <v>0</v>
      </c>
      <c r="DL217" s="415">
        <v>0</v>
      </c>
      <c r="DM217" s="415">
        <v>0</v>
      </c>
      <c r="DN217" s="415">
        <v>0</v>
      </c>
      <c r="DO217" s="415">
        <v>0</v>
      </c>
      <c r="DP217" s="415">
        <v>0</v>
      </c>
      <c r="DQ217" s="415">
        <v>0</v>
      </c>
      <c r="DR217" s="415">
        <v>0</v>
      </c>
      <c r="DS217" s="415">
        <v>0</v>
      </c>
      <c r="DT217" s="415">
        <v>0</v>
      </c>
      <c r="DU217" s="415">
        <v>0</v>
      </c>
      <c r="DV217" s="410">
        <f t="shared" si="86"/>
        <v>0</v>
      </c>
      <c r="DW217" s="415">
        <v>0</v>
      </c>
      <c r="DX217" s="415">
        <v>0</v>
      </c>
      <c r="DY217" s="415">
        <v>0</v>
      </c>
      <c r="DZ217" s="415">
        <v>0</v>
      </c>
      <c r="EA217" s="415">
        <v>0</v>
      </c>
      <c r="EB217" s="415">
        <v>0</v>
      </c>
      <c r="EC217" s="415">
        <v>0</v>
      </c>
      <c r="ED217" s="415">
        <v>0</v>
      </c>
      <c r="EE217" s="415">
        <v>0</v>
      </c>
      <c r="EF217" s="415">
        <v>0</v>
      </c>
      <c r="EG217" s="415">
        <v>0</v>
      </c>
      <c r="EH217" s="415">
        <v>0</v>
      </c>
      <c r="EI217" s="410">
        <f t="shared" si="87"/>
        <v>0</v>
      </c>
      <c r="EJ217" s="415">
        <v>0</v>
      </c>
      <c r="EK217" s="415">
        <v>0</v>
      </c>
      <c r="EL217" s="415">
        <v>0</v>
      </c>
      <c r="EM217" s="415">
        <v>0</v>
      </c>
      <c r="EN217" s="415">
        <v>0</v>
      </c>
      <c r="EO217" s="415">
        <v>0</v>
      </c>
      <c r="EP217" s="415">
        <v>0</v>
      </c>
      <c r="EQ217" s="415">
        <v>0</v>
      </c>
      <c r="ER217" s="415">
        <v>0</v>
      </c>
      <c r="ES217" s="415">
        <v>0</v>
      </c>
      <c r="ET217" s="415">
        <v>0</v>
      </c>
      <c r="EU217" s="415">
        <v>0</v>
      </c>
      <c r="EV217" s="410">
        <f t="shared" si="88"/>
        <v>0</v>
      </c>
      <c r="EW217" s="416">
        <f t="shared" si="89"/>
        <v>467.44188372093026</v>
      </c>
      <c r="EX217" s="417">
        <f>IFERROR(VLOOKUP(H217,CEI_012018!$A$1:$U$509,9,FALSE),0)</f>
        <v>0</v>
      </c>
      <c r="EY217" s="417">
        <f>IFERROR(VLOOKUP(H217,CEI_022018!$A$1:$U$509,9,FALSE),0)</f>
        <v>28.96575927734375</v>
      </c>
      <c r="EZ217" s="417">
        <f>IFERROR(VLOOKUP(H217,CEI_032018!$A$1:$U$509,9,FALSE),0)</f>
        <v>50.69175910949707</v>
      </c>
      <c r="FA217" s="417">
        <f>IFERROR(VLOOKUP(H217,CEI_042018!$A$1:$U$491,9,FALSE),0)</f>
        <v>52.566009163856506</v>
      </c>
      <c r="FB217" s="417">
        <f>IFERROR(VLOOKUP(H217,CEI_052018!$A$1:$U$489,9,FALSE),0)</f>
        <v>52.566009163856506</v>
      </c>
      <c r="FC217" s="417">
        <f>IFERROR(VLOOKUP(H217,CEI_062018!$A$1:$U$489,9,FALSE),0)</f>
        <v>52.566009163856506</v>
      </c>
      <c r="FD217" s="417">
        <f>IFERROR(VLOOKUP(H217,CEI_072018!$A$1:$U$489,9,FALSE),0)</f>
        <v>101.37385904788971</v>
      </c>
      <c r="FE217" s="417">
        <f>IFERROR(VLOOKUP(H217,CEI_082018!$A$1:$U$489,9,FALSE),0)</f>
        <v>101.37385904788971</v>
      </c>
      <c r="FF217" s="417">
        <f>IFERROR(VLOOKUP(H217,CEI_092018!$A$1:$U$489,9,FALSE),0)</f>
        <v>101.37385904788971</v>
      </c>
      <c r="FG217" s="417"/>
      <c r="FH217" s="417"/>
      <c r="FI217" s="417"/>
      <c r="FJ217" s="418">
        <f>IFERROR(VLOOKUP(H217,CEI_092018!$A$1:$U$489,12,FALSE),0)</f>
        <v>0</v>
      </c>
      <c r="FK217" s="418">
        <f t="shared" si="70"/>
        <v>101.37385904788971</v>
      </c>
      <c r="FL217" s="418">
        <f t="shared" si="71"/>
        <v>0</v>
      </c>
      <c r="FM217" s="417"/>
      <c r="FN217" s="417"/>
      <c r="FO217" s="417"/>
      <c r="FP217" s="417"/>
      <c r="FQ217" s="417"/>
      <c r="FR217" s="417"/>
      <c r="FS217" s="417"/>
      <c r="FT217" s="417"/>
      <c r="FU217" s="417"/>
      <c r="FV217" s="417"/>
      <c r="FW217" s="417"/>
      <c r="FX217" s="417"/>
      <c r="FY217" s="418"/>
      <c r="FZ217" s="418"/>
      <c r="GA217" s="418"/>
      <c r="GB217" s="417"/>
      <c r="GC217" s="417"/>
      <c r="GD217" s="417"/>
      <c r="GE217" s="417"/>
      <c r="GF217" s="417"/>
      <c r="GG217" s="417"/>
      <c r="GH217" s="417"/>
      <c r="GI217" s="417"/>
      <c r="GJ217" s="417"/>
      <c r="GK217" s="417"/>
      <c r="GL217" s="417"/>
      <c r="GM217" s="417"/>
      <c r="GN217" s="418"/>
      <c r="GO217" s="418"/>
      <c r="GP217" s="418"/>
      <c r="GQ217" s="417"/>
      <c r="GR217" s="417"/>
      <c r="GS217" s="417"/>
      <c r="GT217" s="417"/>
      <c r="GU217" s="417"/>
      <c r="GV217" s="417"/>
      <c r="GW217" s="417"/>
      <c r="GX217" s="417"/>
      <c r="GY217" s="417"/>
      <c r="GZ217" s="417"/>
      <c r="HA217" s="417"/>
      <c r="HB217" s="417"/>
      <c r="HC217" s="418"/>
      <c r="HD217" s="418"/>
      <c r="HE217" s="418"/>
      <c r="HF217" s="417"/>
      <c r="HG217" s="417"/>
      <c r="HH217" s="417"/>
      <c r="HI217" s="417"/>
      <c r="HJ217" s="417"/>
      <c r="HK217" s="417"/>
      <c r="HL217" s="417"/>
      <c r="HM217" s="417"/>
      <c r="HN217" s="417"/>
      <c r="HO217" s="417"/>
      <c r="HP217" s="417"/>
      <c r="HQ217" s="417"/>
      <c r="HR217" s="418"/>
      <c r="HS217" s="418"/>
      <c r="HT217" s="418"/>
    </row>
    <row r="218" spans="1:228" s="387" customFormat="1" ht="12.75" customHeight="1" x14ac:dyDescent="0.2">
      <c r="A218" s="406" t="s">
        <v>55</v>
      </c>
      <c r="B218" s="407" t="s">
        <v>42</v>
      </c>
      <c r="C218" s="406" t="s">
        <v>1000</v>
      </c>
      <c r="D218" s="407" t="s">
        <v>1004</v>
      </c>
      <c r="E218" s="407" t="s">
        <v>1000</v>
      </c>
      <c r="F218" s="407" t="s">
        <v>1004</v>
      </c>
      <c r="G218" s="406" t="s">
        <v>54</v>
      </c>
      <c r="H218" s="408" t="s">
        <v>711</v>
      </c>
      <c r="I218" s="408" t="s">
        <v>1304</v>
      </c>
      <c r="J218" s="406" t="s">
        <v>712</v>
      </c>
      <c r="K218" s="406" t="s">
        <v>713</v>
      </c>
      <c r="L218" s="406" t="s">
        <v>714</v>
      </c>
      <c r="M218" s="406" t="s">
        <v>1787</v>
      </c>
      <c r="N218" s="452">
        <v>0</v>
      </c>
      <c r="O218" s="452">
        <v>0</v>
      </c>
      <c r="P218" s="452">
        <v>0</v>
      </c>
      <c r="Q218" s="452">
        <v>0</v>
      </c>
      <c r="R218" s="452">
        <v>0</v>
      </c>
      <c r="S218" s="452">
        <v>0</v>
      </c>
      <c r="T218" s="452">
        <v>67.199996948242187</v>
      </c>
      <c r="U218" s="409">
        <v>0</v>
      </c>
      <c r="V218" s="409">
        <v>0</v>
      </c>
      <c r="W218" s="409">
        <v>30</v>
      </c>
      <c r="X218" s="409">
        <v>0</v>
      </c>
      <c r="Y218" s="409">
        <v>22.8</v>
      </c>
      <c r="Z218" s="453">
        <f t="shared" si="83"/>
        <v>119.99999694824218</v>
      </c>
      <c r="AA218" s="452">
        <v>0</v>
      </c>
      <c r="AB218" s="452">
        <v>15</v>
      </c>
      <c r="AC218" s="452"/>
      <c r="AD218" s="452">
        <v>45</v>
      </c>
      <c r="AE218" s="452">
        <v>0</v>
      </c>
      <c r="AF218" s="452">
        <v>0</v>
      </c>
      <c r="AG218" s="452">
        <v>0</v>
      </c>
      <c r="AH218" s="409">
        <v>0</v>
      </c>
      <c r="AI218" s="409">
        <v>0</v>
      </c>
      <c r="AJ218" s="409">
        <v>0</v>
      </c>
      <c r="AK218" s="409">
        <v>0</v>
      </c>
      <c r="AL218" s="409">
        <v>0</v>
      </c>
      <c r="AM218" s="453">
        <f t="shared" si="78"/>
        <v>60</v>
      </c>
      <c r="AN218" s="452">
        <v>0</v>
      </c>
      <c r="AO218" s="452">
        <v>0</v>
      </c>
      <c r="AP218" s="452">
        <v>0</v>
      </c>
      <c r="AQ218" s="452">
        <v>0</v>
      </c>
      <c r="AR218" s="452">
        <v>0</v>
      </c>
      <c r="AS218" s="452">
        <v>0</v>
      </c>
      <c r="AT218" s="452">
        <v>0</v>
      </c>
      <c r="AU218" s="409">
        <v>0</v>
      </c>
      <c r="AV218" s="409">
        <v>0</v>
      </c>
      <c r="AW218" s="409">
        <v>0</v>
      </c>
      <c r="AX218" s="409">
        <v>0</v>
      </c>
      <c r="AY218" s="409">
        <v>0</v>
      </c>
      <c r="AZ218" s="453">
        <f t="shared" si="79"/>
        <v>0</v>
      </c>
      <c r="BA218" s="452">
        <v>0</v>
      </c>
      <c r="BB218" s="452">
        <v>0</v>
      </c>
      <c r="BC218" s="452">
        <v>0</v>
      </c>
      <c r="BD218" s="452">
        <v>0</v>
      </c>
      <c r="BE218" s="452">
        <v>0</v>
      </c>
      <c r="BF218" s="452">
        <v>0</v>
      </c>
      <c r="BG218" s="452">
        <v>0</v>
      </c>
      <c r="BH218" s="409">
        <v>0</v>
      </c>
      <c r="BI218" s="409">
        <v>0</v>
      </c>
      <c r="BJ218" s="409">
        <v>0</v>
      </c>
      <c r="BK218" s="409">
        <v>0</v>
      </c>
      <c r="BL218" s="409">
        <v>0</v>
      </c>
      <c r="BM218" s="453">
        <f t="shared" si="80"/>
        <v>0</v>
      </c>
      <c r="BN218" s="452">
        <v>0</v>
      </c>
      <c r="BO218" s="452">
        <v>0</v>
      </c>
      <c r="BP218" s="452">
        <v>0</v>
      </c>
      <c r="BQ218" s="452">
        <v>0</v>
      </c>
      <c r="BR218" s="452">
        <v>0</v>
      </c>
      <c r="BS218" s="452">
        <v>0</v>
      </c>
      <c r="BT218" s="452">
        <v>0</v>
      </c>
      <c r="BU218" s="409">
        <v>0</v>
      </c>
      <c r="BV218" s="409">
        <v>0</v>
      </c>
      <c r="BW218" s="409">
        <v>0</v>
      </c>
      <c r="BX218" s="409">
        <v>0</v>
      </c>
      <c r="BY218" s="409">
        <v>0</v>
      </c>
      <c r="BZ218" s="453">
        <f t="shared" si="81"/>
        <v>0</v>
      </c>
      <c r="CA218" s="454">
        <f t="shared" si="82"/>
        <v>179.9999969482422</v>
      </c>
      <c r="CB218" s="419"/>
      <c r="CC218" s="419">
        <v>1</v>
      </c>
      <c r="CD218" s="419">
        <v>1</v>
      </c>
      <c r="CE218" s="419">
        <v>1</v>
      </c>
      <c r="CF218" s="419">
        <v>1</v>
      </c>
      <c r="CG218" s="420">
        <f t="shared" si="90"/>
        <v>55.999998881022101</v>
      </c>
      <c r="CH218" s="421">
        <f t="shared" si="91"/>
        <v>99.999999364217103</v>
      </c>
      <c r="CI218" s="414" t="s">
        <v>1621</v>
      </c>
      <c r="CJ218" s="415">
        <v>0</v>
      </c>
      <c r="CK218" s="415">
        <v>0</v>
      </c>
      <c r="CL218" s="415">
        <v>0</v>
      </c>
      <c r="CM218" s="415">
        <v>0</v>
      </c>
      <c r="CN218" s="415">
        <v>0</v>
      </c>
      <c r="CO218" s="415">
        <v>0</v>
      </c>
      <c r="CP218" s="415">
        <v>0</v>
      </c>
      <c r="CQ218" s="415">
        <v>0</v>
      </c>
      <c r="CR218" s="415">
        <v>0</v>
      </c>
      <c r="CS218" s="415">
        <v>0</v>
      </c>
      <c r="CT218" s="415">
        <v>0</v>
      </c>
      <c r="CU218" s="415">
        <v>1</v>
      </c>
      <c r="CV218" s="410">
        <f t="shared" si="84"/>
        <v>1</v>
      </c>
      <c r="CW218" s="415">
        <v>0</v>
      </c>
      <c r="CX218" s="415">
        <v>0</v>
      </c>
      <c r="CY218" s="415">
        <v>0</v>
      </c>
      <c r="CZ218" s="415">
        <v>1</v>
      </c>
      <c r="DA218" s="415">
        <v>0</v>
      </c>
      <c r="DB218" s="415">
        <v>0</v>
      </c>
      <c r="DC218" s="415">
        <v>0</v>
      </c>
      <c r="DD218" s="415">
        <v>0</v>
      </c>
      <c r="DE218" s="415">
        <v>0</v>
      </c>
      <c r="DF218" s="415">
        <v>0</v>
      </c>
      <c r="DG218" s="415">
        <v>0</v>
      </c>
      <c r="DH218" s="415">
        <v>0</v>
      </c>
      <c r="DI218" s="410">
        <f t="shared" si="85"/>
        <v>1</v>
      </c>
      <c r="DJ218" s="415">
        <v>0</v>
      </c>
      <c r="DK218" s="415">
        <v>0</v>
      </c>
      <c r="DL218" s="415">
        <v>0</v>
      </c>
      <c r="DM218" s="415">
        <v>0</v>
      </c>
      <c r="DN218" s="415">
        <v>0</v>
      </c>
      <c r="DO218" s="415">
        <v>0</v>
      </c>
      <c r="DP218" s="415">
        <v>0</v>
      </c>
      <c r="DQ218" s="415">
        <v>0</v>
      </c>
      <c r="DR218" s="415">
        <v>0</v>
      </c>
      <c r="DS218" s="415">
        <v>0</v>
      </c>
      <c r="DT218" s="415">
        <v>0</v>
      </c>
      <c r="DU218" s="415">
        <v>0</v>
      </c>
      <c r="DV218" s="410">
        <f t="shared" si="86"/>
        <v>0</v>
      </c>
      <c r="DW218" s="415">
        <v>0</v>
      </c>
      <c r="DX218" s="415">
        <v>0</v>
      </c>
      <c r="DY218" s="415">
        <v>0</v>
      </c>
      <c r="DZ218" s="415">
        <v>0</v>
      </c>
      <c r="EA218" s="415">
        <v>0</v>
      </c>
      <c r="EB218" s="415">
        <v>0</v>
      </c>
      <c r="EC218" s="415">
        <v>0</v>
      </c>
      <c r="ED218" s="415">
        <v>0</v>
      </c>
      <c r="EE218" s="415">
        <v>0</v>
      </c>
      <c r="EF218" s="415">
        <v>0</v>
      </c>
      <c r="EG218" s="415">
        <v>0</v>
      </c>
      <c r="EH218" s="415">
        <v>0</v>
      </c>
      <c r="EI218" s="410">
        <f t="shared" si="87"/>
        <v>0</v>
      </c>
      <c r="EJ218" s="415">
        <v>0</v>
      </c>
      <c r="EK218" s="415">
        <v>0</v>
      </c>
      <c r="EL218" s="415">
        <v>0</v>
      </c>
      <c r="EM218" s="415">
        <v>0</v>
      </c>
      <c r="EN218" s="415">
        <v>0</v>
      </c>
      <c r="EO218" s="415">
        <v>0</v>
      </c>
      <c r="EP218" s="415">
        <v>0</v>
      </c>
      <c r="EQ218" s="415">
        <v>0</v>
      </c>
      <c r="ER218" s="415">
        <v>0</v>
      </c>
      <c r="ES218" s="415">
        <v>0</v>
      </c>
      <c r="ET218" s="415">
        <v>0</v>
      </c>
      <c r="EU218" s="415">
        <v>0</v>
      </c>
      <c r="EV218" s="410">
        <f t="shared" si="88"/>
        <v>0</v>
      </c>
      <c r="EW218" s="416">
        <f t="shared" si="89"/>
        <v>2</v>
      </c>
      <c r="EX218" s="417">
        <f>IFERROR(VLOOKUP(H218,CEI_012018!$A$1:$U$509,9,FALSE),0)</f>
        <v>0</v>
      </c>
      <c r="EY218" s="417">
        <f>IFERROR(VLOOKUP(H218,CEI_022018!$A$1:$U$509,9,FALSE),0)</f>
        <v>0</v>
      </c>
      <c r="EZ218" s="417">
        <f>IFERROR(VLOOKUP(H218,CEI_032018!$A$1:$U$509,9,FALSE),0)</f>
        <v>0</v>
      </c>
      <c r="FA218" s="417">
        <f>IFERROR(VLOOKUP(H218,CEI_042018!$A$1:$U$491,9,FALSE),0)</f>
        <v>0</v>
      </c>
      <c r="FB218" s="417">
        <f>IFERROR(VLOOKUP(H218,CEI_052018!$A$1:$U$489,9,FALSE),0)</f>
        <v>0</v>
      </c>
      <c r="FC218" s="417">
        <f>IFERROR(VLOOKUP(H218,CEI_062018!$A$1:$U$489,9,FALSE),0)</f>
        <v>0</v>
      </c>
      <c r="FD218" s="417">
        <f>IFERROR(VLOOKUP(H218,CEI_072018!$A$1:$U$489,9,FALSE),0)</f>
        <v>67.199996948242187</v>
      </c>
      <c r="FE218" s="417">
        <f>IFERROR(VLOOKUP(H218,CEI_082018!$A$1:$U$489,9,FALSE),0)</f>
        <v>67.199996948242187</v>
      </c>
      <c r="FF218" s="417">
        <f>IFERROR(VLOOKUP(H218,CEI_092018!$A$1:$U$489,9,FALSE),0)</f>
        <v>67.199996948242187</v>
      </c>
      <c r="FG218" s="417"/>
      <c r="FH218" s="417"/>
      <c r="FI218" s="417"/>
      <c r="FJ218" s="418">
        <f>IFERROR(VLOOKUP(H218,CEI_092018!$A$1:$U$489,12,FALSE),0)</f>
        <v>52.799999237060547</v>
      </c>
      <c r="FK218" s="418">
        <f t="shared" si="70"/>
        <v>119.99999618530273</v>
      </c>
      <c r="FL218" s="418">
        <f t="shared" si="71"/>
        <v>7.6293945028282906E-7</v>
      </c>
      <c r="FM218" s="417"/>
      <c r="FN218" s="417"/>
      <c r="FO218" s="417"/>
      <c r="FP218" s="417"/>
      <c r="FQ218" s="417"/>
      <c r="FR218" s="417"/>
      <c r="FS218" s="417"/>
      <c r="FT218" s="417"/>
      <c r="FU218" s="417"/>
      <c r="FV218" s="417"/>
      <c r="FW218" s="417"/>
      <c r="FX218" s="417"/>
      <c r="FY218" s="418"/>
      <c r="FZ218" s="418"/>
      <c r="GA218" s="418"/>
      <c r="GB218" s="417"/>
      <c r="GC218" s="417"/>
      <c r="GD218" s="417"/>
      <c r="GE218" s="417"/>
      <c r="GF218" s="417"/>
      <c r="GG218" s="417"/>
      <c r="GH218" s="417"/>
      <c r="GI218" s="417"/>
      <c r="GJ218" s="417"/>
      <c r="GK218" s="417"/>
      <c r="GL218" s="417"/>
      <c r="GM218" s="417"/>
      <c r="GN218" s="418"/>
      <c r="GO218" s="418"/>
      <c r="GP218" s="418"/>
      <c r="GQ218" s="417"/>
      <c r="GR218" s="417"/>
      <c r="GS218" s="417"/>
      <c r="GT218" s="417"/>
      <c r="GU218" s="417"/>
      <c r="GV218" s="417"/>
      <c r="GW218" s="417"/>
      <c r="GX218" s="417"/>
      <c r="GY218" s="417"/>
      <c r="GZ218" s="417"/>
      <c r="HA218" s="417"/>
      <c r="HB218" s="417"/>
      <c r="HC218" s="418"/>
      <c r="HD218" s="418"/>
      <c r="HE218" s="418"/>
      <c r="HF218" s="417"/>
      <c r="HG218" s="417"/>
      <c r="HH218" s="417"/>
      <c r="HI218" s="417"/>
      <c r="HJ218" s="417"/>
      <c r="HK218" s="417"/>
      <c r="HL218" s="417"/>
      <c r="HM218" s="417"/>
      <c r="HN218" s="417"/>
      <c r="HO218" s="417"/>
      <c r="HP218" s="417"/>
      <c r="HQ218" s="417"/>
      <c r="HR218" s="418"/>
      <c r="HS218" s="418"/>
      <c r="HT218" s="418"/>
    </row>
    <row r="219" spans="1:228" s="387" customFormat="1" ht="12.75" customHeight="1" x14ac:dyDescent="0.2">
      <c r="A219" s="406" t="s">
        <v>55</v>
      </c>
      <c r="B219" s="407" t="s">
        <v>42</v>
      </c>
      <c r="C219" s="406" t="s">
        <v>1000</v>
      </c>
      <c r="D219" s="407" t="s">
        <v>1004</v>
      </c>
      <c r="E219" s="407" t="s">
        <v>1000</v>
      </c>
      <c r="F219" s="407" t="s">
        <v>1004</v>
      </c>
      <c r="G219" s="406" t="s">
        <v>54</v>
      </c>
      <c r="H219" s="441" t="s">
        <v>1959</v>
      </c>
      <c r="I219" s="442" t="s">
        <v>1968</v>
      </c>
      <c r="J219" s="406" t="s">
        <v>1967</v>
      </c>
      <c r="K219" s="406"/>
      <c r="L219" s="406"/>
      <c r="M219" s="406"/>
      <c r="N219" s="452">
        <v>0</v>
      </c>
      <c r="O219" s="452">
        <v>0</v>
      </c>
      <c r="P219" s="452">
        <v>0</v>
      </c>
      <c r="Q219" s="452">
        <v>0</v>
      </c>
      <c r="R219" s="452">
        <v>0</v>
      </c>
      <c r="S219" s="452">
        <v>0</v>
      </c>
      <c r="T219" s="452">
        <v>0</v>
      </c>
      <c r="U219" s="409">
        <v>0</v>
      </c>
      <c r="V219" s="409">
        <v>0</v>
      </c>
      <c r="W219" s="409">
        <v>0</v>
      </c>
      <c r="X219" s="409">
        <v>0</v>
      </c>
      <c r="Y219" s="409">
        <v>24</v>
      </c>
      <c r="Z219" s="453">
        <f t="shared" si="83"/>
        <v>24</v>
      </c>
      <c r="AA219" s="452"/>
      <c r="AB219" s="452">
        <v>20</v>
      </c>
      <c r="AC219" s="452"/>
      <c r="AD219" s="452">
        <v>20</v>
      </c>
      <c r="AE219" s="452"/>
      <c r="AF219" s="452">
        <v>20</v>
      </c>
      <c r="AG219" s="452"/>
      <c r="AH219" s="409">
        <v>20</v>
      </c>
      <c r="AI219" s="409"/>
      <c r="AJ219" s="409">
        <v>20</v>
      </c>
      <c r="AK219" s="409"/>
      <c r="AL219" s="409">
        <v>30</v>
      </c>
      <c r="AM219" s="453">
        <f t="shared" si="78"/>
        <v>130</v>
      </c>
      <c r="AN219" s="452">
        <v>25</v>
      </c>
      <c r="AO219" s="452"/>
      <c r="AP219" s="452">
        <v>25</v>
      </c>
      <c r="AQ219" s="452"/>
      <c r="AR219" s="452">
        <v>25</v>
      </c>
      <c r="AS219" s="452"/>
      <c r="AT219" s="452">
        <v>25</v>
      </c>
      <c r="AU219" s="409"/>
      <c r="AV219" s="409">
        <v>23</v>
      </c>
      <c r="AW219" s="409"/>
      <c r="AX219" s="409"/>
      <c r="AY219" s="409"/>
      <c r="AZ219" s="453">
        <f t="shared" si="79"/>
        <v>123</v>
      </c>
      <c r="BA219" s="452"/>
      <c r="BB219" s="452"/>
      <c r="BC219" s="452"/>
      <c r="BD219" s="452"/>
      <c r="BE219" s="452"/>
      <c r="BF219" s="452"/>
      <c r="BG219" s="452"/>
      <c r="BH219" s="409"/>
      <c r="BI219" s="409"/>
      <c r="BJ219" s="409"/>
      <c r="BK219" s="409"/>
      <c r="BL219" s="409"/>
      <c r="BM219" s="453">
        <f t="shared" si="80"/>
        <v>0</v>
      </c>
      <c r="BN219" s="452"/>
      <c r="BO219" s="452"/>
      <c r="BP219" s="452"/>
      <c r="BQ219" s="452"/>
      <c r="BR219" s="452"/>
      <c r="BS219" s="452"/>
      <c r="BT219" s="452"/>
      <c r="BU219" s="409"/>
      <c r="BV219" s="409"/>
      <c r="BW219" s="409"/>
      <c r="BX219" s="409"/>
      <c r="BY219" s="409"/>
      <c r="BZ219" s="453">
        <f t="shared" si="81"/>
        <v>0</v>
      </c>
      <c r="CA219" s="454">
        <f t="shared" si="82"/>
        <v>277</v>
      </c>
      <c r="CB219" s="419"/>
      <c r="CC219" s="419">
        <v>1</v>
      </c>
      <c r="CD219" s="419">
        <v>1</v>
      </c>
      <c r="CE219" s="419">
        <v>1</v>
      </c>
      <c r="CF219" s="419">
        <v>1</v>
      </c>
      <c r="CG219" s="420">
        <f t="shared" si="90"/>
        <v>0</v>
      </c>
      <c r="CH219" s="421">
        <f t="shared" si="91"/>
        <v>99.937502543131515</v>
      </c>
      <c r="CI219" s="414" t="s">
        <v>1621</v>
      </c>
      <c r="CJ219" s="415"/>
      <c r="CK219" s="415"/>
      <c r="CL219" s="415"/>
      <c r="CM219" s="415"/>
      <c r="CN219" s="415"/>
      <c r="CO219" s="415"/>
      <c r="CP219" s="415"/>
      <c r="CQ219" s="415"/>
      <c r="CR219" s="415"/>
      <c r="CS219" s="415"/>
      <c r="CT219" s="415"/>
      <c r="CU219" s="415"/>
      <c r="CV219" s="410">
        <f t="shared" si="84"/>
        <v>0</v>
      </c>
      <c r="CW219" s="415"/>
      <c r="CX219" s="415"/>
      <c r="CY219" s="415"/>
      <c r="CZ219" s="415"/>
      <c r="DA219" s="415"/>
      <c r="DB219" s="415"/>
      <c r="DC219" s="415"/>
      <c r="DD219" s="415"/>
      <c r="DE219" s="415"/>
      <c r="DF219" s="415"/>
      <c r="DG219" s="415"/>
      <c r="DH219" s="415"/>
      <c r="DI219" s="410">
        <f t="shared" si="85"/>
        <v>0</v>
      </c>
      <c r="DJ219" s="415"/>
      <c r="DK219" s="415"/>
      <c r="DL219" s="415"/>
      <c r="DM219" s="415"/>
      <c r="DN219" s="415"/>
      <c r="DO219" s="415"/>
      <c r="DP219" s="415"/>
      <c r="DQ219" s="415"/>
      <c r="DR219" s="415"/>
      <c r="DS219" s="415"/>
      <c r="DT219" s="415"/>
      <c r="DU219" s="415"/>
      <c r="DV219" s="410">
        <f t="shared" si="86"/>
        <v>0</v>
      </c>
      <c r="DW219" s="415"/>
      <c r="DX219" s="415"/>
      <c r="DY219" s="415"/>
      <c r="DZ219" s="415"/>
      <c r="EA219" s="415"/>
      <c r="EB219" s="415"/>
      <c r="EC219" s="415"/>
      <c r="ED219" s="415"/>
      <c r="EE219" s="415"/>
      <c r="EF219" s="415"/>
      <c r="EG219" s="415"/>
      <c r="EH219" s="415"/>
      <c r="EI219" s="410">
        <f t="shared" si="87"/>
        <v>0</v>
      </c>
      <c r="EJ219" s="415"/>
      <c r="EK219" s="415"/>
      <c r="EL219" s="415"/>
      <c r="EM219" s="415"/>
      <c r="EN219" s="415"/>
      <c r="EO219" s="415"/>
      <c r="EP219" s="415"/>
      <c r="EQ219" s="415"/>
      <c r="ER219" s="415"/>
      <c r="ES219" s="415"/>
      <c r="ET219" s="415"/>
      <c r="EU219" s="415"/>
      <c r="EV219" s="410">
        <f t="shared" si="88"/>
        <v>0</v>
      </c>
      <c r="EW219" s="416">
        <f t="shared" si="89"/>
        <v>0</v>
      </c>
      <c r="EX219" s="417">
        <f>IFERROR(VLOOKUP(H219,CEI_012018!$A$1:$U$509,9,FALSE),0)</f>
        <v>0</v>
      </c>
      <c r="EY219" s="417">
        <f>IFERROR(VLOOKUP(H219,CEI_022018!$A$1:$U$509,9,FALSE),0)</f>
        <v>0</v>
      </c>
      <c r="EZ219" s="417">
        <f>IFERROR(VLOOKUP(H219,CEI_032018!$A$1:$U$509,9,FALSE),0)</f>
        <v>0</v>
      </c>
      <c r="FA219" s="417">
        <f>IFERROR(VLOOKUP(H219,CEI_042018!$A$1:$U$491,9,FALSE),0)</f>
        <v>0</v>
      </c>
      <c r="FB219" s="417">
        <f>IFERROR(VLOOKUP(H219,CEI_052018!$A$1:$U$489,9,FALSE),0)</f>
        <v>0</v>
      </c>
      <c r="FC219" s="417">
        <f>IFERROR(VLOOKUP(H219,CEI_062018!$A$1:$U$489,9,FALSE),0)</f>
        <v>0</v>
      </c>
      <c r="FD219" s="417">
        <f>IFERROR(VLOOKUP(H219,CEI_072018!$A$1:$U$489,9,FALSE),0)</f>
        <v>0</v>
      </c>
      <c r="FE219" s="417">
        <f>IFERROR(VLOOKUP(H219,CEI_082018!$A$1:$U$489,9,FALSE),0)</f>
        <v>0</v>
      </c>
      <c r="FF219" s="417">
        <f>IFERROR(VLOOKUP(H219,CEI_092018!$A$1:$U$489,9,FALSE),0)</f>
        <v>0</v>
      </c>
      <c r="FG219" s="417"/>
      <c r="FH219" s="417"/>
      <c r="FI219" s="417"/>
      <c r="FJ219" s="418">
        <f>IFERROR(VLOOKUP(H219,CEI_092018!$A$1:$U$489,12,FALSE),0)</f>
        <v>23.985000610351563</v>
      </c>
      <c r="FK219" s="418">
        <f t="shared" si="70"/>
        <v>23.985000610351563</v>
      </c>
      <c r="FL219" s="418">
        <f t="shared" si="71"/>
        <v>1.49993896484375E-2</v>
      </c>
      <c r="FM219" s="417"/>
      <c r="FN219" s="417"/>
      <c r="FO219" s="417"/>
      <c r="FP219" s="417"/>
      <c r="FQ219" s="417"/>
      <c r="FR219" s="417"/>
      <c r="FS219" s="417"/>
      <c r="FT219" s="417"/>
      <c r="FU219" s="417"/>
      <c r="FV219" s="417"/>
      <c r="FW219" s="417"/>
      <c r="FX219" s="417"/>
      <c r="FY219" s="418"/>
      <c r="FZ219" s="418"/>
      <c r="GA219" s="418"/>
      <c r="GB219" s="417"/>
      <c r="GC219" s="417"/>
      <c r="GD219" s="417"/>
      <c r="GE219" s="417"/>
      <c r="GF219" s="417"/>
      <c r="GG219" s="417"/>
      <c r="GH219" s="417"/>
      <c r="GI219" s="417"/>
      <c r="GJ219" s="417"/>
      <c r="GK219" s="417"/>
      <c r="GL219" s="417"/>
      <c r="GM219" s="417"/>
      <c r="GN219" s="418"/>
      <c r="GO219" s="418"/>
      <c r="GP219" s="418"/>
      <c r="GQ219" s="417"/>
      <c r="GR219" s="417"/>
      <c r="GS219" s="417"/>
      <c r="GT219" s="417"/>
      <c r="GU219" s="417"/>
      <c r="GV219" s="417"/>
      <c r="GW219" s="417"/>
      <c r="GX219" s="417"/>
      <c r="GY219" s="417"/>
      <c r="GZ219" s="417"/>
      <c r="HA219" s="417"/>
      <c r="HB219" s="417"/>
      <c r="HC219" s="418"/>
      <c r="HD219" s="418"/>
      <c r="HE219" s="418"/>
      <c r="HF219" s="417"/>
      <c r="HG219" s="417"/>
      <c r="HH219" s="417"/>
      <c r="HI219" s="417"/>
      <c r="HJ219" s="417"/>
      <c r="HK219" s="417"/>
      <c r="HL219" s="417"/>
      <c r="HM219" s="417"/>
      <c r="HN219" s="417"/>
      <c r="HO219" s="417"/>
      <c r="HP219" s="417"/>
      <c r="HQ219" s="417"/>
      <c r="HR219" s="418"/>
      <c r="HS219" s="418"/>
      <c r="HT219" s="418"/>
    </row>
    <row r="220" spans="1:228" s="387" customFormat="1" ht="12.75" customHeight="1" x14ac:dyDescent="0.2">
      <c r="A220" s="406" t="s">
        <v>55</v>
      </c>
      <c r="B220" s="407" t="s">
        <v>42</v>
      </c>
      <c r="C220" s="406" t="s">
        <v>1000</v>
      </c>
      <c r="D220" s="407" t="s">
        <v>1004</v>
      </c>
      <c r="E220" s="407" t="s">
        <v>1000</v>
      </c>
      <c r="F220" s="407" t="s">
        <v>1004</v>
      </c>
      <c r="G220" s="406" t="s">
        <v>54</v>
      </c>
      <c r="H220" s="408" t="s">
        <v>1087</v>
      </c>
      <c r="I220" s="408" t="s">
        <v>1327</v>
      </c>
      <c r="J220" s="406" t="s">
        <v>966</v>
      </c>
      <c r="K220" s="406" t="s">
        <v>1088</v>
      </c>
      <c r="L220" s="406" t="s">
        <v>998</v>
      </c>
      <c r="M220" s="406" t="s">
        <v>57</v>
      </c>
      <c r="N220" s="452">
        <v>0</v>
      </c>
      <c r="O220" s="452">
        <v>0</v>
      </c>
      <c r="P220" s="452">
        <v>0</v>
      </c>
      <c r="Q220" s="452">
        <v>0</v>
      </c>
      <c r="R220" s="452">
        <v>0</v>
      </c>
      <c r="S220" s="452">
        <v>0</v>
      </c>
      <c r="T220" s="452">
        <v>0</v>
      </c>
      <c r="U220" s="409">
        <v>0</v>
      </c>
      <c r="V220" s="409">
        <v>0</v>
      </c>
      <c r="W220" s="409">
        <v>0</v>
      </c>
      <c r="X220" s="409">
        <v>0</v>
      </c>
      <c r="Y220" s="409">
        <v>0</v>
      </c>
      <c r="Z220" s="453">
        <f t="shared" si="83"/>
        <v>0</v>
      </c>
      <c r="AA220" s="452">
        <v>0</v>
      </c>
      <c r="AB220" s="452">
        <v>20</v>
      </c>
      <c r="AC220" s="452">
        <v>23</v>
      </c>
      <c r="AD220" s="452">
        <v>30</v>
      </c>
      <c r="AE220" s="452">
        <v>20</v>
      </c>
      <c r="AF220" s="452">
        <v>20</v>
      </c>
      <c r="AG220" s="452">
        <v>20</v>
      </c>
      <c r="AH220" s="409">
        <v>20</v>
      </c>
      <c r="AI220" s="409">
        <v>20</v>
      </c>
      <c r="AJ220" s="409">
        <v>20</v>
      </c>
      <c r="AK220" s="409">
        <v>28</v>
      </c>
      <c r="AL220" s="409">
        <v>27</v>
      </c>
      <c r="AM220" s="453">
        <f t="shared" si="78"/>
        <v>248</v>
      </c>
      <c r="AN220" s="452">
        <v>0</v>
      </c>
      <c r="AO220" s="452">
        <v>0</v>
      </c>
      <c r="AP220" s="452">
        <v>0</v>
      </c>
      <c r="AQ220" s="452">
        <v>0</v>
      </c>
      <c r="AR220" s="452">
        <v>0</v>
      </c>
      <c r="AS220" s="452">
        <v>0</v>
      </c>
      <c r="AT220" s="452">
        <v>0</v>
      </c>
      <c r="AU220" s="409">
        <v>0</v>
      </c>
      <c r="AV220" s="409">
        <v>0</v>
      </c>
      <c r="AW220" s="409">
        <v>0</v>
      </c>
      <c r="AX220" s="409">
        <v>0</v>
      </c>
      <c r="AY220" s="409">
        <v>0</v>
      </c>
      <c r="AZ220" s="453">
        <f t="shared" si="79"/>
        <v>0</v>
      </c>
      <c r="BA220" s="452">
        <v>0</v>
      </c>
      <c r="BB220" s="452">
        <v>0</v>
      </c>
      <c r="BC220" s="452">
        <v>0</v>
      </c>
      <c r="BD220" s="452">
        <v>0</v>
      </c>
      <c r="BE220" s="452">
        <v>0</v>
      </c>
      <c r="BF220" s="452">
        <v>0</v>
      </c>
      <c r="BG220" s="452">
        <v>0</v>
      </c>
      <c r="BH220" s="409">
        <v>0</v>
      </c>
      <c r="BI220" s="409">
        <v>0</v>
      </c>
      <c r="BJ220" s="409">
        <v>0</v>
      </c>
      <c r="BK220" s="409">
        <v>0</v>
      </c>
      <c r="BL220" s="409">
        <v>0</v>
      </c>
      <c r="BM220" s="453">
        <f t="shared" si="80"/>
        <v>0</v>
      </c>
      <c r="BN220" s="452">
        <v>0</v>
      </c>
      <c r="BO220" s="452">
        <v>0</v>
      </c>
      <c r="BP220" s="452">
        <v>0</v>
      </c>
      <c r="BQ220" s="452">
        <v>0</v>
      </c>
      <c r="BR220" s="452">
        <v>0</v>
      </c>
      <c r="BS220" s="452">
        <v>0</v>
      </c>
      <c r="BT220" s="452">
        <v>0</v>
      </c>
      <c r="BU220" s="409">
        <v>0</v>
      </c>
      <c r="BV220" s="409">
        <v>0</v>
      </c>
      <c r="BW220" s="409">
        <v>0</v>
      </c>
      <c r="BX220" s="409">
        <v>0</v>
      </c>
      <c r="BY220" s="409">
        <v>0</v>
      </c>
      <c r="BZ220" s="453">
        <f t="shared" si="81"/>
        <v>0</v>
      </c>
      <c r="CA220" s="454">
        <f t="shared" si="82"/>
        <v>248</v>
      </c>
      <c r="CB220" s="419"/>
      <c r="CC220" s="419">
        <v>1</v>
      </c>
      <c r="CD220" s="419">
        <v>1</v>
      </c>
      <c r="CE220" s="419">
        <v>1</v>
      </c>
      <c r="CF220" s="419">
        <v>1</v>
      </c>
      <c r="CG220" s="420">
        <f t="shared" si="90"/>
        <v>0</v>
      </c>
      <c r="CH220" s="421">
        <f t="shared" si="91"/>
        <v>0</v>
      </c>
      <c r="CI220" s="414" t="s">
        <v>1622</v>
      </c>
      <c r="CJ220" s="415">
        <v>0</v>
      </c>
      <c r="CK220" s="415">
        <v>0</v>
      </c>
      <c r="CL220" s="415">
        <v>0</v>
      </c>
      <c r="CM220" s="415">
        <v>0</v>
      </c>
      <c r="CN220" s="415">
        <v>0</v>
      </c>
      <c r="CO220" s="415">
        <v>0</v>
      </c>
      <c r="CP220" s="415">
        <v>122.97734627831716</v>
      </c>
      <c r="CQ220" s="415">
        <v>0</v>
      </c>
      <c r="CR220" s="415">
        <v>122.97734627831716</v>
      </c>
      <c r="CS220" s="415">
        <v>0</v>
      </c>
      <c r="CT220" s="415">
        <v>122.97734627831716</v>
      </c>
      <c r="CU220" s="415">
        <v>131.06796116504856</v>
      </c>
      <c r="CV220" s="410">
        <f t="shared" si="84"/>
        <v>500</v>
      </c>
      <c r="CW220" s="415">
        <v>64.724919093851128</v>
      </c>
      <c r="CX220" s="415">
        <v>64.724919093851128</v>
      </c>
      <c r="CY220" s="415">
        <v>74.433656957928804</v>
      </c>
      <c r="CZ220" s="415">
        <v>97.087378640776706</v>
      </c>
      <c r="DA220" s="415">
        <v>0</v>
      </c>
      <c r="DB220" s="415">
        <v>0</v>
      </c>
      <c r="DC220" s="415">
        <v>0</v>
      </c>
      <c r="DD220" s="415">
        <v>0</v>
      </c>
      <c r="DE220" s="415">
        <v>0</v>
      </c>
      <c r="DF220" s="415">
        <v>0</v>
      </c>
      <c r="DG220" s="415">
        <v>0</v>
      </c>
      <c r="DH220" s="415">
        <v>0</v>
      </c>
      <c r="DI220" s="410">
        <f t="shared" si="85"/>
        <v>300.97087378640776</v>
      </c>
      <c r="DJ220" s="415">
        <v>0</v>
      </c>
      <c r="DK220" s="415">
        <v>0</v>
      </c>
      <c r="DL220" s="415">
        <v>0</v>
      </c>
      <c r="DM220" s="415">
        <v>0</v>
      </c>
      <c r="DN220" s="415">
        <v>0</v>
      </c>
      <c r="DO220" s="415">
        <v>0</v>
      </c>
      <c r="DP220" s="415">
        <v>0</v>
      </c>
      <c r="DQ220" s="415">
        <v>0</v>
      </c>
      <c r="DR220" s="415">
        <v>0</v>
      </c>
      <c r="DS220" s="415">
        <v>0</v>
      </c>
      <c r="DT220" s="415">
        <v>0</v>
      </c>
      <c r="DU220" s="415">
        <v>0</v>
      </c>
      <c r="DV220" s="410">
        <f t="shared" si="86"/>
        <v>0</v>
      </c>
      <c r="DW220" s="415">
        <v>0</v>
      </c>
      <c r="DX220" s="415">
        <v>0</v>
      </c>
      <c r="DY220" s="415">
        <v>0</v>
      </c>
      <c r="DZ220" s="415">
        <v>0</v>
      </c>
      <c r="EA220" s="415">
        <v>0</v>
      </c>
      <c r="EB220" s="415">
        <v>0</v>
      </c>
      <c r="EC220" s="415">
        <v>0</v>
      </c>
      <c r="ED220" s="415">
        <v>0</v>
      </c>
      <c r="EE220" s="415">
        <v>0</v>
      </c>
      <c r="EF220" s="415">
        <v>0</v>
      </c>
      <c r="EG220" s="415">
        <v>0</v>
      </c>
      <c r="EH220" s="415">
        <v>0</v>
      </c>
      <c r="EI220" s="410">
        <f t="shared" si="87"/>
        <v>0</v>
      </c>
      <c r="EJ220" s="415">
        <v>0</v>
      </c>
      <c r="EK220" s="415">
        <v>0</v>
      </c>
      <c r="EL220" s="415">
        <v>0</v>
      </c>
      <c r="EM220" s="415">
        <v>0</v>
      </c>
      <c r="EN220" s="415">
        <v>0</v>
      </c>
      <c r="EO220" s="415">
        <v>0</v>
      </c>
      <c r="EP220" s="415">
        <v>0</v>
      </c>
      <c r="EQ220" s="415">
        <v>0</v>
      </c>
      <c r="ER220" s="415">
        <v>0</v>
      </c>
      <c r="ES220" s="415">
        <v>0</v>
      </c>
      <c r="ET220" s="415">
        <v>0</v>
      </c>
      <c r="EU220" s="415">
        <v>0</v>
      </c>
      <c r="EV220" s="410">
        <f t="shared" si="88"/>
        <v>0</v>
      </c>
      <c r="EW220" s="416">
        <f t="shared" si="89"/>
        <v>800.97087378640776</v>
      </c>
      <c r="EX220" s="417">
        <f>IFERROR(VLOOKUP(H220,CEI_012018!$A$1:$U$509,9,FALSE),0)</f>
        <v>0</v>
      </c>
      <c r="EY220" s="417">
        <f>IFERROR(VLOOKUP(H220,CEI_022018!$A$1:$U$509,9,FALSE),0)</f>
        <v>0</v>
      </c>
      <c r="EZ220" s="417">
        <f>IFERROR(VLOOKUP(H220,CEI_032018!$A$1:$U$509,9,FALSE),0)</f>
        <v>0</v>
      </c>
      <c r="FA220" s="417">
        <f>IFERROR(VLOOKUP(H220,CEI_042018!$A$1:$U$491,9,FALSE),0)</f>
        <v>0</v>
      </c>
      <c r="FB220" s="417">
        <f>IFERROR(VLOOKUP(H220,CEI_052018!$A$1:$U$489,9,FALSE),0)</f>
        <v>0</v>
      </c>
      <c r="FC220" s="417">
        <f>IFERROR(VLOOKUP(H220,CEI_062018!$A$1:$U$489,9,FALSE),0)</f>
        <v>0</v>
      </c>
      <c r="FD220" s="417">
        <f>IFERROR(VLOOKUP(H220,CEI_072018!$A$1:$U$489,9,FALSE),0)</f>
        <v>0</v>
      </c>
      <c r="FE220" s="417">
        <f>IFERROR(VLOOKUP(H220,CEI_082018!$A$1:$U$489,9,FALSE),0)</f>
        <v>0</v>
      </c>
      <c r="FF220" s="417">
        <f>IFERROR(VLOOKUP(H220,CEI_092018!$A$1:$U$489,9,FALSE),0)</f>
        <v>0</v>
      </c>
      <c r="FG220" s="417"/>
      <c r="FH220" s="417"/>
      <c r="FI220" s="417"/>
      <c r="FJ220" s="418">
        <f>IFERROR(VLOOKUP(H220,CEI_092018!$A$1:$U$489,12,FALSE),0)</f>
        <v>154.5</v>
      </c>
      <c r="FK220" s="418">
        <f t="shared" si="70"/>
        <v>154.5</v>
      </c>
      <c r="FL220" s="418">
        <f t="shared" si="71"/>
        <v>-154.5</v>
      </c>
      <c r="FM220" s="417"/>
      <c r="FN220" s="417"/>
      <c r="FO220" s="417"/>
      <c r="FP220" s="417"/>
      <c r="FQ220" s="417"/>
      <c r="FR220" s="417"/>
      <c r="FS220" s="417"/>
      <c r="FT220" s="417"/>
      <c r="FU220" s="417"/>
      <c r="FV220" s="417"/>
      <c r="FW220" s="417"/>
      <c r="FX220" s="417"/>
      <c r="FY220" s="418"/>
      <c r="FZ220" s="418"/>
      <c r="GA220" s="418"/>
      <c r="GB220" s="417"/>
      <c r="GC220" s="417"/>
      <c r="GD220" s="417"/>
      <c r="GE220" s="417"/>
      <c r="GF220" s="417"/>
      <c r="GG220" s="417"/>
      <c r="GH220" s="417"/>
      <c r="GI220" s="417"/>
      <c r="GJ220" s="417"/>
      <c r="GK220" s="417"/>
      <c r="GL220" s="417"/>
      <c r="GM220" s="417"/>
      <c r="GN220" s="418"/>
      <c r="GO220" s="418"/>
      <c r="GP220" s="418"/>
      <c r="GQ220" s="417"/>
      <c r="GR220" s="417"/>
      <c r="GS220" s="417"/>
      <c r="GT220" s="417"/>
      <c r="GU220" s="417"/>
      <c r="GV220" s="417"/>
      <c r="GW220" s="417"/>
      <c r="GX220" s="417"/>
      <c r="GY220" s="417"/>
      <c r="GZ220" s="417"/>
      <c r="HA220" s="417"/>
      <c r="HB220" s="417"/>
      <c r="HC220" s="418"/>
      <c r="HD220" s="418"/>
      <c r="HE220" s="418"/>
      <c r="HF220" s="417"/>
      <c r="HG220" s="417"/>
      <c r="HH220" s="417"/>
      <c r="HI220" s="417"/>
      <c r="HJ220" s="417"/>
      <c r="HK220" s="417"/>
      <c r="HL220" s="417"/>
      <c r="HM220" s="417"/>
      <c r="HN220" s="417"/>
      <c r="HO220" s="417"/>
      <c r="HP220" s="417"/>
      <c r="HQ220" s="417"/>
      <c r="HR220" s="418"/>
      <c r="HS220" s="418"/>
      <c r="HT220" s="418"/>
    </row>
    <row r="221" spans="1:228" s="387" customFormat="1" ht="12.75" customHeight="1" x14ac:dyDescent="0.2">
      <c r="A221" s="406" t="s">
        <v>55</v>
      </c>
      <c r="B221" s="407" t="s">
        <v>42</v>
      </c>
      <c r="C221" s="406" t="s">
        <v>1000</v>
      </c>
      <c r="D221" s="407" t="s">
        <v>1004</v>
      </c>
      <c r="E221" s="444" t="s">
        <v>474</v>
      </c>
      <c r="F221" s="444" t="s">
        <v>1880</v>
      </c>
      <c r="G221" s="406" t="s">
        <v>54</v>
      </c>
      <c r="H221" s="441" t="s">
        <v>1849</v>
      </c>
      <c r="I221" s="408" t="s">
        <v>1851</v>
      </c>
      <c r="J221" s="406" t="s">
        <v>1850</v>
      </c>
      <c r="K221" s="406"/>
      <c r="L221" s="406"/>
      <c r="M221" s="406"/>
      <c r="N221" s="452">
        <v>0</v>
      </c>
      <c r="O221" s="452">
        <v>0</v>
      </c>
      <c r="P221" s="452">
        <v>0</v>
      </c>
      <c r="Q221" s="452">
        <v>0</v>
      </c>
      <c r="R221" s="452">
        <v>0</v>
      </c>
      <c r="S221" s="452">
        <v>0</v>
      </c>
      <c r="T221" s="452">
        <v>0</v>
      </c>
      <c r="U221" s="409">
        <v>0</v>
      </c>
      <c r="V221" s="409">
        <v>0</v>
      </c>
      <c r="W221" s="409">
        <v>0</v>
      </c>
      <c r="X221" s="409">
        <v>50</v>
      </c>
      <c r="Y221" s="409">
        <v>65</v>
      </c>
      <c r="Z221" s="453">
        <f t="shared" si="83"/>
        <v>115</v>
      </c>
      <c r="AA221" s="452">
        <v>0</v>
      </c>
      <c r="AB221" s="452">
        <v>25</v>
      </c>
      <c r="AC221" s="452">
        <v>0</v>
      </c>
      <c r="AD221" s="452">
        <v>25</v>
      </c>
      <c r="AE221" s="452">
        <v>50</v>
      </c>
      <c r="AF221" s="452">
        <v>0</v>
      </c>
      <c r="AG221" s="452">
        <v>0</v>
      </c>
      <c r="AH221" s="409">
        <v>25</v>
      </c>
      <c r="AI221" s="409">
        <v>25</v>
      </c>
      <c r="AJ221" s="409">
        <v>25</v>
      </c>
      <c r="AK221" s="409">
        <v>25</v>
      </c>
      <c r="AL221" s="409">
        <v>29</v>
      </c>
      <c r="AM221" s="453">
        <f t="shared" si="78"/>
        <v>229</v>
      </c>
      <c r="AN221" s="452">
        <v>50</v>
      </c>
      <c r="AO221" s="452">
        <v>65</v>
      </c>
      <c r="AP221" s="452">
        <v>0</v>
      </c>
      <c r="AQ221" s="452">
        <v>0</v>
      </c>
      <c r="AR221" s="452">
        <v>0</v>
      </c>
      <c r="AS221" s="452">
        <v>0</v>
      </c>
      <c r="AT221" s="452">
        <v>0</v>
      </c>
      <c r="AU221" s="409">
        <v>0</v>
      </c>
      <c r="AV221" s="409">
        <v>0</v>
      </c>
      <c r="AW221" s="409">
        <v>0</v>
      </c>
      <c r="AX221" s="409">
        <v>0</v>
      </c>
      <c r="AY221" s="409">
        <v>0</v>
      </c>
      <c r="AZ221" s="453">
        <f t="shared" si="79"/>
        <v>115</v>
      </c>
      <c r="BA221" s="452"/>
      <c r="BB221" s="452"/>
      <c r="BC221" s="452"/>
      <c r="BD221" s="452"/>
      <c r="BE221" s="452"/>
      <c r="BF221" s="452"/>
      <c r="BG221" s="452"/>
      <c r="BH221" s="409"/>
      <c r="BI221" s="409"/>
      <c r="BJ221" s="409"/>
      <c r="BK221" s="409"/>
      <c r="BL221" s="409"/>
      <c r="BM221" s="453">
        <f t="shared" si="80"/>
        <v>0</v>
      </c>
      <c r="BN221" s="452"/>
      <c r="BO221" s="452"/>
      <c r="BP221" s="452"/>
      <c r="BQ221" s="452"/>
      <c r="BR221" s="452"/>
      <c r="BS221" s="452"/>
      <c r="BT221" s="452"/>
      <c r="BU221" s="409"/>
      <c r="BV221" s="409"/>
      <c r="BW221" s="409"/>
      <c r="BX221" s="409"/>
      <c r="BY221" s="409"/>
      <c r="BZ221" s="453">
        <f t="shared" si="81"/>
        <v>0</v>
      </c>
      <c r="CA221" s="454">
        <f t="shared" si="82"/>
        <v>459</v>
      </c>
      <c r="CB221" s="427"/>
      <c r="CC221" s="427">
        <v>1</v>
      </c>
      <c r="CD221" s="427">
        <v>1</v>
      </c>
      <c r="CE221" s="427">
        <v>1</v>
      </c>
      <c r="CF221" s="427">
        <v>1</v>
      </c>
      <c r="CG221" s="439">
        <f t="shared" si="90"/>
        <v>0</v>
      </c>
      <c r="CH221" s="421">
        <f t="shared" si="91"/>
        <v>99.447393002717405</v>
      </c>
      <c r="CI221" s="414"/>
      <c r="CJ221" s="415"/>
      <c r="CK221" s="415"/>
      <c r="CL221" s="415"/>
      <c r="CM221" s="415"/>
      <c r="CN221" s="415"/>
      <c r="CO221" s="415"/>
      <c r="CP221" s="415"/>
      <c r="CQ221" s="415"/>
      <c r="CR221" s="415"/>
      <c r="CS221" s="415"/>
      <c r="CT221" s="415"/>
      <c r="CU221" s="415"/>
      <c r="CV221" s="410"/>
      <c r="CW221" s="415"/>
      <c r="CX221" s="415"/>
      <c r="CY221" s="415"/>
      <c r="CZ221" s="415"/>
      <c r="DA221" s="415"/>
      <c r="DB221" s="415"/>
      <c r="DC221" s="415"/>
      <c r="DD221" s="415"/>
      <c r="DE221" s="415"/>
      <c r="DF221" s="415"/>
      <c r="DG221" s="415"/>
      <c r="DH221" s="415"/>
      <c r="DI221" s="410"/>
      <c r="DJ221" s="415"/>
      <c r="DK221" s="415"/>
      <c r="DL221" s="415"/>
      <c r="DM221" s="415"/>
      <c r="DN221" s="415"/>
      <c r="DO221" s="415"/>
      <c r="DP221" s="415"/>
      <c r="DQ221" s="415"/>
      <c r="DR221" s="415"/>
      <c r="DS221" s="415"/>
      <c r="DT221" s="415"/>
      <c r="DU221" s="415"/>
      <c r="DV221" s="410"/>
      <c r="DW221" s="415"/>
      <c r="DX221" s="415"/>
      <c r="DY221" s="415"/>
      <c r="DZ221" s="415"/>
      <c r="EA221" s="415"/>
      <c r="EB221" s="415"/>
      <c r="EC221" s="415"/>
      <c r="ED221" s="415"/>
      <c r="EE221" s="415"/>
      <c r="EF221" s="415"/>
      <c r="EG221" s="415"/>
      <c r="EH221" s="415"/>
      <c r="EI221" s="410"/>
      <c r="EJ221" s="415"/>
      <c r="EK221" s="415"/>
      <c r="EL221" s="415"/>
      <c r="EM221" s="415"/>
      <c r="EN221" s="415"/>
      <c r="EO221" s="415"/>
      <c r="EP221" s="415"/>
      <c r="EQ221" s="415"/>
      <c r="ER221" s="415"/>
      <c r="ES221" s="415"/>
      <c r="ET221" s="415"/>
      <c r="EU221" s="415"/>
      <c r="EV221" s="410"/>
      <c r="EW221" s="416"/>
      <c r="EX221" s="417">
        <f>IFERROR(VLOOKUP(H221,CEI_012018!$A$1:$U$509,9,FALSE),0)</f>
        <v>0</v>
      </c>
      <c r="EY221" s="417">
        <f>IFERROR(VLOOKUP(H221,CEI_022018!$A$1:$U$509,9,FALSE),0)</f>
        <v>0</v>
      </c>
      <c r="EZ221" s="417">
        <f>IFERROR(VLOOKUP(H221,CEI_032018!$A$1:$U$509,9,FALSE),0)</f>
        <v>0</v>
      </c>
      <c r="FA221" s="417">
        <f>IFERROR(VLOOKUP(H221,CEI_042018!$A$1:$U$491,9,FALSE),0)</f>
        <v>0</v>
      </c>
      <c r="FB221" s="417">
        <f>IFERROR(VLOOKUP(H221,CEI_052018!$A$1:$U$489,9,FALSE),0)</f>
        <v>0</v>
      </c>
      <c r="FC221" s="417">
        <f>IFERROR(VLOOKUP(H221,CEI_062018!$A$1:$U$489,9,FALSE),0)</f>
        <v>0</v>
      </c>
      <c r="FD221" s="417">
        <f>IFERROR(VLOOKUP(H221,CEI_072018!$A$1:$U$489,9,FALSE),0)</f>
        <v>0</v>
      </c>
      <c r="FE221" s="417">
        <f>IFERROR(VLOOKUP(H221,CEI_082018!$A$1:$U$489,9,FALSE),0)</f>
        <v>0</v>
      </c>
      <c r="FF221" s="417">
        <f>IFERROR(VLOOKUP(H221,CEI_092018!$A$1:$U$489,9,FALSE),0)</f>
        <v>0</v>
      </c>
      <c r="FG221" s="417"/>
      <c r="FH221" s="417"/>
      <c r="FI221" s="417"/>
      <c r="FJ221" s="418">
        <f>IFERROR(VLOOKUP(H221,CEI_092018!$A$1:$U$489,12,FALSE),0)</f>
        <v>114.364501953125</v>
      </c>
      <c r="FK221" s="418">
        <f t="shared" si="70"/>
        <v>114.364501953125</v>
      </c>
      <c r="FL221" s="418">
        <f t="shared" si="71"/>
        <v>0.635498046875</v>
      </c>
      <c r="FM221" s="417"/>
      <c r="FN221" s="417"/>
      <c r="FO221" s="417"/>
      <c r="FP221" s="417"/>
      <c r="FQ221" s="417"/>
      <c r="FR221" s="417"/>
      <c r="FS221" s="417"/>
      <c r="FT221" s="417"/>
      <c r="FU221" s="417"/>
      <c r="FV221" s="417"/>
      <c r="FW221" s="417"/>
      <c r="FX221" s="417"/>
      <c r="FY221" s="418"/>
      <c r="FZ221" s="418"/>
      <c r="GA221" s="418"/>
      <c r="GB221" s="417"/>
      <c r="GC221" s="417"/>
      <c r="GD221" s="417"/>
      <c r="GE221" s="417"/>
      <c r="GF221" s="417"/>
      <c r="GG221" s="417"/>
      <c r="GH221" s="417"/>
      <c r="GI221" s="417"/>
      <c r="GJ221" s="417"/>
      <c r="GK221" s="417"/>
      <c r="GL221" s="417"/>
      <c r="GM221" s="417"/>
      <c r="GN221" s="418"/>
      <c r="GO221" s="418"/>
      <c r="GP221" s="418"/>
      <c r="GQ221" s="417"/>
      <c r="GR221" s="417"/>
      <c r="GS221" s="417"/>
      <c r="GT221" s="417"/>
      <c r="GU221" s="417"/>
      <c r="GV221" s="417"/>
      <c r="GW221" s="417"/>
      <c r="GX221" s="417"/>
      <c r="GY221" s="417"/>
      <c r="GZ221" s="417"/>
      <c r="HA221" s="417"/>
      <c r="HB221" s="417"/>
      <c r="HC221" s="418"/>
      <c r="HD221" s="418"/>
      <c r="HE221" s="418"/>
      <c r="HF221" s="417"/>
      <c r="HG221" s="417"/>
      <c r="HH221" s="417"/>
      <c r="HI221" s="417"/>
      <c r="HJ221" s="417"/>
      <c r="HK221" s="417"/>
      <c r="HL221" s="417"/>
      <c r="HM221" s="417"/>
      <c r="HN221" s="417"/>
      <c r="HO221" s="417"/>
      <c r="HP221" s="417"/>
      <c r="HQ221" s="417"/>
      <c r="HR221" s="418"/>
      <c r="HS221" s="418"/>
      <c r="HT221" s="418"/>
    </row>
    <row r="222" spans="1:228" s="387" customFormat="1" ht="12.75" customHeight="1" x14ac:dyDescent="0.2">
      <c r="A222" s="406" t="s">
        <v>55</v>
      </c>
      <c r="B222" s="407" t="s">
        <v>42</v>
      </c>
      <c r="C222" s="406" t="s">
        <v>1000</v>
      </c>
      <c r="D222" s="407" t="s">
        <v>1006</v>
      </c>
      <c r="E222" s="407" t="s">
        <v>1000</v>
      </c>
      <c r="F222" s="407" t="s">
        <v>1006</v>
      </c>
      <c r="G222" s="406" t="s">
        <v>54</v>
      </c>
      <c r="H222" s="408" t="s">
        <v>520</v>
      </c>
      <c r="I222" s="408" t="s">
        <v>57</v>
      </c>
      <c r="J222" s="406" t="s">
        <v>1530</v>
      </c>
      <c r="K222" s="406" t="s">
        <v>736</v>
      </c>
      <c r="L222" s="406" t="s">
        <v>737</v>
      </c>
      <c r="M222" s="406" t="s">
        <v>57</v>
      </c>
      <c r="N222" s="452">
        <v>0</v>
      </c>
      <c r="O222" s="452">
        <v>0</v>
      </c>
      <c r="P222" s="452">
        <v>0</v>
      </c>
      <c r="Q222" s="452">
        <v>0</v>
      </c>
      <c r="R222" s="452">
        <v>0</v>
      </c>
      <c r="S222" s="452">
        <v>0</v>
      </c>
      <c r="T222" s="452">
        <v>0</v>
      </c>
      <c r="U222" s="409">
        <v>0</v>
      </c>
      <c r="V222" s="409">
        <v>0</v>
      </c>
      <c r="W222" s="409">
        <v>0</v>
      </c>
      <c r="X222" s="409">
        <v>0</v>
      </c>
      <c r="Y222" s="409">
        <v>0</v>
      </c>
      <c r="Z222" s="453">
        <f t="shared" si="83"/>
        <v>0</v>
      </c>
      <c r="AA222" s="452">
        <v>0</v>
      </c>
      <c r="AB222" s="452">
        <v>0</v>
      </c>
      <c r="AC222" s="452">
        <v>0</v>
      </c>
      <c r="AD222" s="452">
        <v>0</v>
      </c>
      <c r="AE222" s="452">
        <v>0</v>
      </c>
      <c r="AF222" s="452">
        <v>0</v>
      </c>
      <c r="AG222" s="452">
        <v>50</v>
      </c>
      <c r="AH222" s="409">
        <v>100</v>
      </c>
      <c r="AI222" s="409">
        <v>100</v>
      </c>
      <c r="AJ222" s="409">
        <v>100</v>
      </c>
      <c r="AK222" s="409">
        <v>100</v>
      </c>
      <c r="AL222" s="409">
        <v>150</v>
      </c>
      <c r="AM222" s="453">
        <f t="shared" si="78"/>
        <v>600</v>
      </c>
      <c r="AN222" s="452">
        <v>0</v>
      </c>
      <c r="AO222" s="452">
        <v>0</v>
      </c>
      <c r="AP222" s="452">
        <v>50</v>
      </c>
      <c r="AQ222" s="452">
        <v>100</v>
      </c>
      <c r="AR222" s="452">
        <v>200</v>
      </c>
      <c r="AS222" s="452">
        <v>100</v>
      </c>
      <c r="AT222" s="452">
        <v>100</v>
      </c>
      <c r="AU222" s="409">
        <v>200</v>
      </c>
      <c r="AV222" s="409">
        <v>100</v>
      </c>
      <c r="AW222" s="409">
        <v>100</v>
      </c>
      <c r="AX222" s="409">
        <v>100</v>
      </c>
      <c r="AY222" s="409">
        <v>150</v>
      </c>
      <c r="AZ222" s="453">
        <f t="shared" si="79"/>
        <v>1200</v>
      </c>
      <c r="BA222" s="452">
        <v>0</v>
      </c>
      <c r="BB222" s="452">
        <v>0</v>
      </c>
      <c r="BC222" s="452">
        <v>0</v>
      </c>
      <c r="BD222" s="452">
        <v>200</v>
      </c>
      <c r="BE222" s="452">
        <v>100</v>
      </c>
      <c r="BF222" s="452">
        <v>120</v>
      </c>
      <c r="BG222" s="452">
        <v>120</v>
      </c>
      <c r="BH222" s="409">
        <v>120</v>
      </c>
      <c r="BI222" s="409">
        <v>120</v>
      </c>
      <c r="BJ222" s="409">
        <v>120</v>
      </c>
      <c r="BK222" s="409">
        <v>120</v>
      </c>
      <c r="BL222" s="409">
        <v>180</v>
      </c>
      <c r="BM222" s="453">
        <f t="shared" si="80"/>
        <v>1200</v>
      </c>
      <c r="BN222" s="452">
        <v>0</v>
      </c>
      <c r="BO222" s="452">
        <v>0</v>
      </c>
      <c r="BP222" s="452">
        <v>0</v>
      </c>
      <c r="BQ222" s="452">
        <v>0</v>
      </c>
      <c r="BR222" s="452">
        <v>100</v>
      </c>
      <c r="BS222" s="452">
        <v>120</v>
      </c>
      <c r="BT222" s="452">
        <v>120</v>
      </c>
      <c r="BU222" s="409">
        <v>120</v>
      </c>
      <c r="BV222" s="409">
        <v>120</v>
      </c>
      <c r="BW222" s="409">
        <v>120</v>
      </c>
      <c r="BX222" s="409">
        <v>120</v>
      </c>
      <c r="BY222" s="409">
        <v>180</v>
      </c>
      <c r="BZ222" s="453">
        <f t="shared" si="81"/>
        <v>1000</v>
      </c>
      <c r="CA222" s="454">
        <f t="shared" si="82"/>
        <v>4000</v>
      </c>
      <c r="CB222" s="411"/>
      <c r="CC222" s="411"/>
      <c r="CD222" s="411"/>
      <c r="CE222" s="411"/>
      <c r="CF222" s="411"/>
      <c r="CG222" s="412"/>
      <c r="CH222" s="413"/>
      <c r="CI222" s="414" t="s">
        <v>1622</v>
      </c>
      <c r="CJ222" s="415">
        <v>0</v>
      </c>
      <c r="CK222" s="415">
        <v>0</v>
      </c>
      <c r="CL222" s="415">
        <v>0</v>
      </c>
      <c r="CM222" s="415">
        <v>0</v>
      </c>
      <c r="CN222" s="415">
        <v>0</v>
      </c>
      <c r="CO222" s="415">
        <v>0</v>
      </c>
      <c r="CP222" s="415">
        <v>0</v>
      </c>
      <c r="CQ222" s="415">
        <v>0</v>
      </c>
      <c r="CR222" s="415">
        <v>0</v>
      </c>
      <c r="CS222" s="415">
        <v>0</v>
      </c>
      <c r="CT222" s="415">
        <v>0</v>
      </c>
      <c r="CU222" s="415">
        <v>0</v>
      </c>
      <c r="CV222" s="410">
        <f t="shared" ref="CV222:CV264" si="92">SUM(CJ222:CU222)</f>
        <v>0</v>
      </c>
      <c r="CW222" s="415">
        <v>0</v>
      </c>
      <c r="CX222" s="415">
        <v>0</v>
      </c>
      <c r="CY222" s="415">
        <v>66.666666666666671</v>
      </c>
      <c r="CZ222" s="415">
        <v>133.33333333333334</v>
      </c>
      <c r="DA222" s="415">
        <v>133.33333333333334</v>
      </c>
      <c r="DB222" s="415">
        <v>133.33333333333334</v>
      </c>
      <c r="DC222" s="415">
        <v>133.33333333333334</v>
      </c>
      <c r="DD222" s="415">
        <v>133.33333333333334</v>
      </c>
      <c r="DE222" s="415">
        <v>133.33333333333334</v>
      </c>
      <c r="DF222" s="415">
        <v>133.33333333333334</v>
      </c>
      <c r="DG222" s="415">
        <v>133.33333333333334</v>
      </c>
      <c r="DH222" s="415">
        <v>200</v>
      </c>
      <c r="DI222" s="410">
        <f t="shared" ref="DI222:DI264" si="93">SUM(CW222:DH222)</f>
        <v>1333.3333333333335</v>
      </c>
      <c r="DJ222" s="415">
        <v>0</v>
      </c>
      <c r="DK222" s="415">
        <v>0</v>
      </c>
      <c r="DL222" s="415">
        <v>66.666666666666671</v>
      </c>
      <c r="DM222" s="415">
        <v>133.33333333333334</v>
      </c>
      <c r="DN222" s="415">
        <v>133.33333333333334</v>
      </c>
      <c r="DO222" s="415">
        <v>133.33333333333334</v>
      </c>
      <c r="DP222" s="415">
        <v>133.33333333333334</v>
      </c>
      <c r="DQ222" s="415">
        <v>133.33333333333334</v>
      </c>
      <c r="DR222" s="415">
        <v>133.33333333333334</v>
      </c>
      <c r="DS222" s="415">
        <v>133.33333333333334</v>
      </c>
      <c r="DT222" s="415">
        <v>133.33333333333334</v>
      </c>
      <c r="DU222" s="415">
        <v>200</v>
      </c>
      <c r="DV222" s="410">
        <f t="shared" ref="DV222:DV264" si="94">SUM(DJ222:DU222)</f>
        <v>1333.3333333333335</v>
      </c>
      <c r="DW222" s="415">
        <v>0</v>
      </c>
      <c r="DX222" s="415">
        <v>0</v>
      </c>
      <c r="DY222" s="415">
        <v>0</v>
      </c>
      <c r="DZ222" s="415">
        <v>0</v>
      </c>
      <c r="EA222" s="415">
        <v>133.33333333333334</v>
      </c>
      <c r="EB222" s="415">
        <v>160</v>
      </c>
      <c r="EC222" s="415">
        <v>160</v>
      </c>
      <c r="ED222" s="415">
        <v>160</v>
      </c>
      <c r="EE222" s="415">
        <v>160</v>
      </c>
      <c r="EF222" s="415">
        <v>160</v>
      </c>
      <c r="EG222" s="415">
        <v>160</v>
      </c>
      <c r="EH222" s="415">
        <v>240</v>
      </c>
      <c r="EI222" s="410">
        <f t="shared" ref="EI222:EI264" si="95">SUM(DW222:EH222)</f>
        <v>1333.3333333333335</v>
      </c>
      <c r="EJ222" s="415">
        <v>0</v>
      </c>
      <c r="EK222" s="415">
        <v>0</v>
      </c>
      <c r="EL222" s="415">
        <v>0</v>
      </c>
      <c r="EM222" s="415">
        <v>0</v>
      </c>
      <c r="EN222" s="415">
        <v>133.33333333333334</v>
      </c>
      <c r="EO222" s="415">
        <v>160</v>
      </c>
      <c r="EP222" s="415">
        <v>160</v>
      </c>
      <c r="EQ222" s="415">
        <v>160</v>
      </c>
      <c r="ER222" s="415">
        <v>160</v>
      </c>
      <c r="ES222" s="415">
        <v>160</v>
      </c>
      <c r="ET222" s="415">
        <v>160</v>
      </c>
      <c r="EU222" s="415">
        <v>240</v>
      </c>
      <c r="EV222" s="410">
        <f t="shared" ref="EV222:EV264" si="96">SUM(EJ222:EU222)</f>
        <v>1333.3333333333335</v>
      </c>
      <c r="EW222" s="416">
        <f t="shared" ref="EW222:EW264" si="97">SUM(EV222,EI222,DV222,DI222,CV222)</f>
        <v>5333.3333333333339</v>
      </c>
      <c r="EX222" s="417">
        <f>IFERROR(VLOOKUP(H222,CEI_012018!$A$1:$U$509,9,FALSE),0)</f>
        <v>0</v>
      </c>
      <c r="EY222" s="417">
        <f>IFERROR(VLOOKUP(H222,CEI_022018!$A$1:$U$509,9,FALSE),0)</f>
        <v>0</v>
      </c>
      <c r="EZ222" s="417">
        <f>IFERROR(VLOOKUP(H222,CEI_032018!$A$1:$U$509,9,FALSE),0)</f>
        <v>0</v>
      </c>
      <c r="FA222" s="417">
        <f>IFERROR(VLOOKUP(H222,CEI_042018!$A$1:$U$491,9,FALSE),0)</f>
        <v>0</v>
      </c>
      <c r="FB222" s="417">
        <f>IFERROR(VLOOKUP(H222,CEI_052018!$A$1:$U$489,9,FALSE),0)</f>
        <v>0</v>
      </c>
      <c r="FC222" s="417">
        <f>IFERROR(VLOOKUP(H222,CEI_062018!$A$1:$U$489,9,FALSE),0)</f>
        <v>0</v>
      </c>
      <c r="FD222" s="417">
        <f>IFERROR(VLOOKUP(H222,CEI_072018!$A$1:$U$489,9,FALSE),0)</f>
        <v>0</v>
      </c>
      <c r="FE222" s="417">
        <f>IFERROR(VLOOKUP(H222,CEI_082018!$A$1:$U$489,9,FALSE),0)</f>
        <v>0</v>
      </c>
      <c r="FF222" s="417">
        <f>IFERROR(VLOOKUP(H222,CEI_092018!$A$1:$U$489,9,FALSE),0)</f>
        <v>0</v>
      </c>
      <c r="FG222" s="417"/>
      <c r="FH222" s="417"/>
      <c r="FI222" s="417"/>
      <c r="FJ222" s="418">
        <f>IFERROR(VLOOKUP(H222,CEI_092018!$A$1:$U$489,12,FALSE),0)</f>
        <v>0</v>
      </c>
      <c r="FK222" s="418">
        <f t="shared" si="70"/>
        <v>0</v>
      </c>
      <c r="FL222" s="418">
        <f t="shared" si="71"/>
        <v>0</v>
      </c>
      <c r="FM222" s="417"/>
      <c r="FN222" s="417"/>
      <c r="FO222" s="417"/>
      <c r="FP222" s="417"/>
      <c r="FQ222" s="417"/>
      <c r="FR222" s="417"/>
      <c r="FS222" s="417"/>
      <c r="FT222" s="417"/>
      <c r="FU222" s="417"/>
      <c r="FV222" s="417"/>
      <c r="FW222" s="417"/>
      <c r="FX222" s="417"/>
      <c r="FY222" s="418"/>
      <c r="FZ222" s="418"/>
      <c r="GA222" s="418"/>
      <c r="GB222" s="417"/>
      <c r="GC222" s="417"/>
      <c r="GD222" s="417"/>
      <c r="GE222" s="417"/>
      <c r="GF222" s="417"/>
      <c r="GG222" s="417"/>
      <c r="GH222" s="417"/>
      <c r="GI222" s="417"/>
      <c r="GJ222" s="417"/>
      <c r="GK222" s="417"/>
      <c r="GL222" s="417"/>
      <c r="GM222" s="417"/>
      <c r="GN222" s="418"/>
      <c r="GO222" s="418"/>
      <c r="GP222" s="418"/>
      <c r="GQ222" s="417"/>
      <c r="GR222" s="417"/>
      <c r="GS222" s="417"/>
      <c r="GT222" s="417"/>
      <c r="GU222" s="417"/>
      <c r="GV222" s="417"/>
      <c r="GW222" s="417"/>
      <c r="GX222" s="417"/>
      <c r="GY222" s="417"/>
      <c r="GZ222" s="417"/>
      <c r="HA222" s="417"/>
      <c r="HB222" s="417"/>
      <c r="HC222" s="418"/>
      <c r="HD222" s="418"/>
      <c r="HE222" s="418"/>
      <c r="HF222" s="417"/>
      <c r="HG222" s="417"/>
      <c r="HH222" s="417"/>
      <c r="HI222" s="417"/>
      <c r="HJ222" s="417"/>
      <c r="HK222" s="417"/>
      <c r="HL222" s="417"/>
      <c r="HM222" s="417"/>
      <c r="HN222" s="417"/>
      <c r="HO222" s="417"/>
      <c r="HP222" s="417"/>
      <c r="HQ222" s="417"/>
      <c r="HR222" s="418"/>
      <c r="HS222" s="418"/>
      <c r="HT222" s="418"/>
    </row>
    <row r="223" spans="1:228" s="387" customFormat="1" ht="12.75" customHeight="1" x14ac:dyDescent="0.2">
      <c r="A223" s="406" t="s">
        <v>55</v>
      </c>
      <c r="B223" s="407" t="s">
        <v>42</v>
      </c>
      <c r="C223" s="406" t="s">
        <v>1000</v>
      </c>
      <c r="D223" s="407" t="s">
        <v>1004</v>
      </c>
      <c r="E223" s="407" t="s">
        <v>1000</v>
      </c>
      <c r="F223" s="407" t="s">
        <v>1004</v>
      </c>
      <c r="G223" s="406" t="s">
        <v>54</v>
      </c>
      <c r="H223" s="408" t="s">
        <v>1128</v>
      </c>
      <c r="I223" s="408" t="s">
        <v>1129</v>
      </c>
      <c r="J223" s="406" t="s">
        <v>1644</v>
      </c>
      <c r="K223" s="406" t="s">
        <v>1130</v>
      </c>
      <c r="L223" s="406" t="s">
        <v>57</v>
      </c>
      <c r="M223" s="406" t="s">
        <v>57</v>
      </c>
      <c r="N223" s="452">
        <v>0</v>
      </c>
      <c r="O223" s="452">
        <v>0</v>
      </c>
      <c r="P223" s="452">
        <v>0.70899999141693115</v>
      </c>
      <c r="Q223" s="452">
        <v>1.52587890625E-5</v>
      </c>
      <c r="R223" s="452">
        <v>0</v>
      </c>
      <c r="S223" s="452">
        <v>0</v>
      </c>
      <c r="T223" s="452">
        <v>0</v>
      </c>
      <c r="U223" s="409">
        <v>0</v>
      </c>
      <c r="V223" s="409">
        <v>0</v>
      </c>
      <c r="W223" s="409">
        <v>0</v>
      </c>
      <c r="X223" s="409">
        <v>0</v>
      </c>
      <c r="Y223" s="409">
        <v>0</v>
      </c>
      <c r="Z223" s="453">
        <f t="shared" si="83"/>
        <v>0.70901525020599365</v>
      </c>
      <c r="AA223" s="452">
        <v>0</v>
      </c>
      <c r="AB223" s="452">
        <v>0</v>
      </c>
      <c r="AC223" s="452">
        <v>0</v>
      </c>
      <c r="AD223" s="452">
        <v>0</v>
      </c>
      <c r="AE223" s="452">
        <v>0</v>
      </c>
      <c r="AF223" s="452">
        <v>0</v>
      </c>
      <c r="AG223" s="452">
        <v>0</v>
      </c>
      <c r="AH223" s="409">
        <v>0</v>
      </c>
      <c r="AI223" s="409">
        <v>0</v>
      </c>
      <c r="AJ223" s="409">
        <v>0</v>
      </c>
      <c r="AK223" s="409">
        <v>0</v>
      </c>
      <c r="AL223" s="409">
        <v>0</v>
      </c>
      <c r="AM223" s="453">
        <f t="shared" si="78"/>
        <v>0</v>
      </c>
      <c r="AN223" s="452">
        <v>0</v>
      </c>
      <c r="AO223" s="452">
        <v>0</v>
      </c>
      <c r="AP223" s="452">
        <v>0</v>
      </c>
      <c r="AQ223" s="452">
        <v>0</v>
      </c>
      <c r="AR223" s="452">
        <v>0</v>
      </c>
      <c r="AS223" s="452">
        <v>0</v>
      </c>
      <c r="AT223" s="452">
        <v>0</v>
      </c>
      <c r="AU223" s="409">
        <v>0</v>
      </c>
      <c r="AV223" s="409">
        <v>0</v>
      </c>
      <c r="AW223" s="409">
        <v>0</v>
      </c>
      <c r="AX223" s="409">
        <v>0</v>
      </c>
      <c r="AY223" s="409">
        <v>0</v>
      </c>
      <c r="AZ223" s="453">
        <f t="shared" si="79"/>
        <v>0</v>
      </c>
      <c r="BA223" s="452">
        <v>0</v>
      </c>
      <c r="BB223" s="452">
        <v>0</v>
      </c>
      <c r="BC223" s="452">
        <v>0</v>
      </c>
      <c r="BD223" s="452">
        <v>0</v>
      </c>
      <c r="BE223" s="452">
        <v>0</v>
      </c>
      <c r="BF223" s="452">
        <v>0</v>
      </c>
      <c r="BG223" s="452">
        <v>0</v>
      </c>
      <c r="BH223" s="409">
        <v>0</v>
      </c>
      <c r="BI223" s="409">
        <v>0</v>
      </c>
      <c r="BJ223" s="409">
        <v>0</v>
      </c>
      <c r="BK223" s="409">
        <v>0</v>
      </c>
      <c r="BL223" s="409">
        <v>0</v>
      </c>
      <c r="BM223" s="453">
        <f t="shared" si="80"/>
        <v>0</v>
      </c>
      <c r="BN223" s="452">
        <v>0</v>
      </c>
      <c r="BO223" s="452">
        <v>0</v>
      </c>
      <c r="BP223" s="452">
        <v>0</v>
      </c>
      <c r="BQ223" s="452">
        <v>0</v>
      </c>
      <c r="BR223" s="452">
        <v>0</v>
      </c>
      <c r="BS223" s="452">
        <v>0</v>
      </c>
      <c r="BT223" s="452">
        <v>0</v>
      </c>
      <c r="BU223" s="409">
        <v>0</v>
      </c>
      <c r="BV223" s="409">
        <v>0</v>
      </c>
      <c r="BW223" s="409">
        <v>0</v>
      </c>
      <c r="BX223" s="409">
        <v>0</v>
      </c>
      <c r="BY223" s="409">
        <v>0</v>
      </c>
      <c r="BZ223" s="453">
        <f t="shared" si="81"/>
        <v>0</v>
      </c>
      <c r="CA223" s="454">
        <f t="shared" si="82"/>
        <v>0.70901525020599365</v>
      </c>
      <c r="CB223" s="419"/>
      <c r="CC223" s="419">
        <v>1</v>
      </c>
      <c r="CD223" s="419">
        <v>1</v>
      </c>
      <c r="CE223" s="419">
        <v>1</v>
      </c>
      <c r="CF223" s="419">
        <v>1</v>
      </c>
      <c r="CG223" s="420">
        <f t="shared" ref="CG223:CG229" si="98">IFERROR((FE223/Z223%),0)</f>
        <v>100</v>
      </c>
      <c r="CH223" s="421">
        <f>IFERROR((FK223/Z223%),0)</f>
        <v>100</v>
      </c>
      <c r="CI223" s="414" t="s">
        <v>1625</v>
      </c>
      <c r="CJ223" s="415">
        <v>0</v>
      </c>
      <c r="CK223" s="415">
        <v>0</v>
      </c>
      <c r="CL223" s="415">
        <v>1</v>
      </c>
      <c r="CM223" s="415">
        <v>0</v>
      </c>
      <c r="CN223" s="415">
        <v>0</v>
      </c>
      <c r="CO223" s="415">
        <v>0</v>
      </c>
      <c r="CP223" s="415">
        <v>0</v>
      </c>
      <c r="CQ223" s="415">
        <v>0</v>
      </c>
      <c r="CR223" s="415">
        <v>0</v>
      </c>
      <c r="CS223" s="415">
        <v>0</v>
      </c>
      <c r="CT223" s="415">
        <v>0</v>
      </c>
      <c r="CU223" s="415">
        <v>0</v>
      </c>
      <c r="CV223" s="410">
        <f t="shared" si="92"/>
        <v>1</v>
      </c>
      <c r="CW223" s="415">
        <v>0</v>
      </c>
      <c r="CX223" s="415">
        <v>0</v>
      </c>
      <c r="CY223" s="415">
        <v>0</v>
      </c>
      <c r="CZ223" s="415">
        <v>0</v>
      </c>
      <c r="DA223" s="415">
        <v>0</v>
      </c>
      <c r="DB223" s="415">
        <v>0</v>
      </c>
      <c r="DC223" s="415">
        <v>0</v>
      </c>
      <c r="DD223" s="415">
        <v>0</v>
      </c>
      <c r="DE223" s="415">
        <v>0</v>
      </c>
      <c r="DF223" s="415">
        <v>0</v>
      </c>
      <c r="DG223" s="415">
        <v>0</v>
      </c>
      <c r="DH223" s="415">
        <v>0</v>
      </c>
      <c r="DI223" s="410">
        <f t="shared" si="93"/>
        <v>0</v>
      </c>
      <c r="DJ223" s="415">
        <v>0</v>
      </c>
      <c r="DK223" s="415">
        <v>0</v>
      </c>
      <c r="DL223" s="415">
        <v>0</v>
      </c>
      <c r="DM223" s="415">
        <v>0</v>
      </c>
      <c r="DN223" s="415">
        <v>0</v>
      </c>
      <c r="DO223" s="415">
        <v>0</v>
      </c>
      <c r="DP223" s="415">
        <v>0</v>
      </c>
      <c r="DQ223" s="415">
        <v>0</v>
      </c>
      <c r="DR223" s="415">
        <v>0</v>
      </c>
      <c r="DS223" s="415">
        <v>0</v>
      </c>
      <c r="DT223" s="415">
        <v>0</v>
      </c>
      <c r="DU223" s="415">
        <v>0</v>
      </c>
      <c r="DV223" s="410">
        <f t="shared" si="94"/>
        <v>0</v>
      </c>
      <c r="DW223" s="415">
        <v>0</v>
      </c>
      <c r="DX223" s="415">
        <v>0</v>
      </c>
      <c r="DY223" s="415">
        <v>0</v>
      </c>
      <c r="DZ223" s="415">
        <v>0</v>
      </c>
      <c r="EA223" s="415">
        <v>0</v>
      </c>
      <c r="EB223" s="415">
        <v>0</v>
      </c>
      <c r="EC223" s="415">
        <v>0</v>
      </c>
      <c r="ED223" s="415">
        <v>0</v>
      </c>
      <c r="EE223" s="415">
        <v>0</v>
      </c>
      <c r="EF223" s="415">
        <v>0</v>
      </c>
      <c r="EG223" s="415">
        <v>0</v>
      </c>
      <c r="EH223" s="415">
        <v>0</v>
      </c>
      <c r="EI223" s="410">
        <f t="shared" si="95"/>
        <v>0</v>
      </c>
      <c r="EJ223" s="415">
        <v>0</v>
      </c>
      <c r="EK223" s="415">
        <v>0</v>
      </c>
      <c r="EL223" s="415">
        <v>0</v>
      </c>
      <c r="EM223" s="415">
        <v>0</v>
      </c>
      <c r="EN223" s="415">
        <v>0</v>
      </c>
      <c r="EO223" s="415">
        <v>0</v>
      </c>
      <c r="EP223" s="415">
        <v>0</v>
      </c>
      <c r="EQ223" s="415">
        <v>0</v>
      </c>
      <c r="ER223" s="415">
        <v>0</v>
      </c>
      <c r="ES223" s="415">
        <v>0</v>
      </c>
      <c r="ET223" s="415">
        <v>0</v>
      </c>
      <c r="EU223" s="415">
        <v>0</v>
      </c>
      <c r="EV223" s="410">
        <f t="shared" si="96"/>
        <v>0</v>
      </c>
      <c r="EW223" s="416">
        <f t="shared" si="97"/>
        <v>1</v>
      </c>
      <c r="EX223" s="417">
        <f>IFERROR(VLOOKUP(H223,CEI_012018!$A$1:$U$509,9,FALSE),0)</f>
        <v>0</v>
      </c>
      <c r="EY223" s="417">
        <f>IFERROR(VLOOKUP(H223,CEI_022018!$A$1:$U$509,9,FALSE),0)</f>
        <v>0</v>
      </c>
      <c r="EZ223" s="417">
        <f>IFERROR(VLOOKUP(H223,CEI_032018!$A$1:$U$509,9,FALSE),0)</f>
        <v>0.70899999141693115</v>
      </c>
      <c r="FA223" s="417">
        <f>IFERROR(VLOOKUP(H223,CEI_042018!$A$1:$U$491,9,FALSE),0)</f>
        <v>0.70901525020599365</v>
      </c>
      <c r="FB223" s="417">
        <f>IFERROR(VLOOKUP(H223,CEI_052018!$A$1:$U$489,9,FALSE),0)</f>
        <v>0.70901525020599365</v>
      </c>
      <c r="FC223" s="417">
        <f>IFERROR(VLOOKUP(H223,CEI_062018!$A$1:$U$489,9,FALSE),0)</f>
        <v>0.70901525020599365</v>
      </c>
      <c r="FD223" s="417">
        <f>IFERROR(VLOOKUP(H223,CEI_072018!$A$1:$U$489,9,FALSE),0)</f>
        <v>0.70901525020599365</v>
      </c>
      <c r="FE223" s="417">
        <f>IFERROR(VLOOKUP(H223,CEI_082018!$A$1:$U$489,9,FALSE),0)</f>
        <v>0.70901525020599365</v>
      </c>
      <c r="FF223" s="417">
        <f>IFERROR(VLOOKUP(H223,CEI_092018!$A$1:$U$489,9,FALSE),0)</f>
        <v>0.70901525020599365</v>
      </c>
      <c r="FG223" s="417"/>
      <c r="FH223" s="417"/>
      <c r="FI223" s="417"/>
      <c r="FJ223" s="418">
        <f>IFERROR(VLOOKUP(H223,CEI_092018!$A$1:$U$489,12,FALSE),0)</f>
        <v>0</v>
      </c>
      <c r="FK223" s="418">
        <f t="shared" si="70"/>
        <v>0.70901525020599365</v>
      </c>
      <c r="FL223" s="418">
        <f t="shared" si="71"/>
        <v>0</v>
      </c>
      <c r="FM223" s="417"/>
      <c r="FN223" s="417"/>
      <c r="FO223" s="417"/>
      <c r="FP223" s="417"/>
      <c r="FQ223" s="417"/>
      <c r="FR223" s="417"/>
      <c r="FS223" s="417"/>
      <c r="FT223" s="417"/>
      <c r="FU223" s="417"/>
      <c r="FV223" s="417"/>
      <c r="FW223" s="417"/>
      <c r="FX223" s="417"/>
      <c r="FY223" s="418"/>
      <c r="FZ223" s="418"/>
      <c r="GA223" s="418"/>
      <c r="GB223" s="417"/>
      <c r="GC223" s="417"/>
      <c r="GD223" s="417"/>
      <c r="GE223" s="417"/>
      <c r="GF223" s="417"/>
      <c r="GG223" s="417"/>
      <c r="GH223" s="417"/>
      <c r="GI223" s="417"/>
      <c r="GJ223" s="417"/>
      <c r="GK223" s="417"/>
      <c r="GL223" s="417"/>
      <c r="GM223" s="417"/>
      <c r="GN223" s="418"/>
      <c r="GO223" s="418"/>
      <c r="GP223" s="418"/>
      <c r="GQ223" s="417"/>
      <c r="GR223" s="417"/>
      <c r="GS223" s="417"/>
      <c r="GT223" s="417"/>
      <c r="GU223" s="417"/>
      <c r="GV223" s="417"/>
      <c r="GW223" s="417"/>
      <c r="GX223" s="417"/>
      <c r="GY223" s="417"/>
      <c r="GZ223" s="417"/>
      <c r="HA223" s="417"/>
      <c r="HB223" s="417"/>
      <c r="HC223" s="418"/>
      <c r="HD223" s="418"/>
      <c r="HE223" s="418"/>
      <c r="HF223" s="417"/>
      <c r="HG223" s="417"/>
      <c r="HH223" s="417"/>
      <c r="HI223" s="417"/>
      <c r="HJ223" s="417"/>
      <c r="HK223" s="417"/>
      <c r="HL223" s="417"/>
      <c r="HM223" s="417"/>
      <c r="HN223" s="417"/>
      <c r="HO223" s="417"/>
      <c r="HP223" s="417"/>
      <c r="HQ223" s="417"/>
      <c r="HR223" s="418"/>
      <c r="HS223" s="418"/>
      <c r="HT223" s="418"/>
    </row>
    <row r="224" spans="1:228" s="387" customFormat="1" ht="12.75" customHeight="1" x14ac:dyDescent="0.2">
      <c r="A224" s="406" t="s">
        <v>55</v>
      </c>
      <c r="B224" s="407" t="s">
        <v>42</v>
      </c>
      <c r="C224" s="406" t="s">
        <v>1000</v>
      </c>
      <c r="D224" s="407" t="s">
        <v>1004</v>
      </c>
      <c r="E224" s="407" t="s">
        <v>1000</v>
      </c>
      <c r="F224" s="407" t="s">
        <v>1004</v>
      </c>
      <c r="G224" s="406" t="s">
        <v>54</v>
      </c>
      <c r="H224" s="408" t="s">
        <v>990</v>
      </c>
      <c r="I224" s="408" t="s">
        <v>1323</v>
      </c>
      <c r="J224" s="406" t="s">
        <v>1643</v>
      </c>
      <c r="K224" s="406" t="s">
        <v>1531</v>
      </c>
      <c r="L224" s="406" t="s">
        <v>1533</v>
      </c>
      <c r="M224" s="406" t="s">
        <v>1788</v>
      </c>
      <c r="N224" s="452">
        <v>0</v>
      </c>
      <c r="O224" s="452">
        <v>0</v>
      </c>
      <c r="P224" s="452">
        <v>0</v>
      </c>
      <c r="Q224" s="452">
        <v>0</v>
      </c>
      <c r="R224" s="452">
        <v>0</v>
      </c>
      <c r="S224" s="452">
        <v>0</v>
      </c>
      <c r="T224" s="452">
        <v>0</v>
      </c>
      <c r="U224" s="409">
        <v>341.49017333984375</v>
      </c>
      <c r="V224" s="409">
        <v>600</v>
      </c>
      <c r="W224" s="409">
        <v>558.50983999999994</v>
      </c>
      <c r="X224" s="409">
        <v>0</v>
      </c>
      <c r="Y224" s="409">
        <v>0</v>
      </c>
      <c r="Z224" s="453">
        <f t="shared" si="83"/>
        <v>1500.0000133398437</v>
      </c>
      <c r="AA224" s="452">
        <v>0</v>
      </c>
      <c r="AB224" s="452">
        <v>0</v>
      </c>
      <c r="AC224" s="452">
        <v>0</v>
      </c>
      <c r="AD224" s="452">
        <v>0</v>
      </c>
      <c r="AE224" s="452">
        <v>0</v>
      </c>
      <c r="AF224" s="452">
        <v>0</v>
      </c>
      <c r="AG224" s="452">
        <v>500</v>
      </c>
      <c r="AH224" s="409">
        <v>500</v>
      </c>
      <c r="AI224" s="409">
        <v>500</v>
      </c>
      <c r="AJ224" s="409">
        <v>500</v>
      </c>
      <c r="AK224" s="409">
        <v>500</v>
      </c>
      <c r="AL224" s="409">
        <v>500</v>
      </c>
      <c r="AM224" s="453">
        <f t="shared" si="78"/>
        <v>3000</v>
      </c>
      <c r="AN224" s="452">
        <v>0</v>
      </c>
      <c r="AO224" s="452">
        <v>0</v>
      </c>
      <c r="AP224" s="452">
        <v>0</v>
      </c>
      <c r="AQ224" s="452">
        <v>0</v>
      </c>
      <c r="AR224" s="452">
        <v>0</v>
      </c>
      <c r="AS224" s="452">
        <v>0</v>
      </c>
      <c r="AT224" s="452">
        <v>500</v>
      </c>
      <c r="AU224" s="409">
        <v>500</v>
      </c>
      <c r="AV224" s="409">
        <v>500</v>
      </c>
      <c r="AW224" s="409">
        <v>500</v>
      </c>
      <c r="AX224" s="409">
        <v>500</v>
      </c>
      <c r="AY224" s="409">
        <v>500</v>
      </c>
      <c r="AZ224" s="453">
        <f t="shared" si="79"/>
        <v>3000</v>
      </c>
      <c r="BA224" s="452">
        <v>0</v>
      </c>
      <c r="BB224" s="452">
        <v>0</v>
      </c>
      <c r="BC224" s="452">
        <v>0</v>
      </c>
      <c r="BD224" s="452">
        <v>0</v>
      </c>
      <c r="BE224" s="452">
        <v>0</v>
      </c>
      <c r="BF224" s="452">
        <v>500</v>
      </c>
      <c r="BG224" s="452">
        <v>500</v>
      </c>
      <c r="BH224" s="409">
        <v>500</v>
      </c>
      <c r="BI224" s="409">
        <v>500</v>
      </c>
      <c r="BJ224" s="409">
        <v>500</v>
      </c>
      <c r="BK224" s="409">
        <v>500</v>
      </c>
      <c r="BL224" s="409">
        <v>600</v>
      </c>
      <c r="BM224" s="453">
        <f t="shared" si="80"/>
        <v>3600</v>
      </c>
      <c r="BN224" s="452">
        <v>0</v>
      </c>
      <c r="BO224" s="452">
        <v>0</v>
      </c>
      <c r="BP224" s="452">
        <v>0</v>
      </c>
      <c r="BQ224" s="452">
        <v>0</v>
      </c>
      <c r="BR224" s="452">
        <v>0</v>
      </c>
      <c r="BS224" s="452">
        <v>500</v>
      </c>
      <c r="BT224" s="452">
        <v>500</v>
      </c>
      <c r="BU224" s="409">
        <v>500</v>
      </c>
      <c r="BV224" s="409">
        <v>500</v>
      </c>
      <c r="BW224" s="409">
        <v>500</v>
      </c>
      <c r="BX224" s="409">
        <v>500</v>
      </c>
      <c r="BY224" s="409">
        <v>600</v>
      </c>
      <c r="BZ224" s="453">
        <f t="shared" si="81"/>
        <v>3600</v>
      </c>
      <c r="CA224" s="454">
        <f t="shared" si="82"/>
        <v>14700.000013339844</v>
      </c>
      <c r="CB224" s="419"/>
      <c r="CC224" s="419">
        <v>1</v>
      </c>
      <c r="CD224" s="419">
        <v>1</v>
      </c>
      <c r="CE224" s="419">
        <v>1</v>
      </c>
      <c r="CF224" s="419">
        <v>1</v>
      </c>
      <c r="CG224" s="420">
        <f t="shared" si="98"/>
        <v>22.766011353526228</v>
      </c>
      <c r="CH224" s="421">
        <f>IFERROR((FK224/Z224%),0)</f>
        <v>101.93775137209005</v>
      </c>
      <c r="CI224" s="414" t="s">
        <v>1625</v>
      </c>
      <c r="CJ224" s="415">
        <v>0</v>
      </c>
      <c r="CK224" s="415">
        <v>0</v>
      </c>
      <c r="CL224" s="415">
        <v>0</v>
      </c>
      <c r="CM224" s="415">
        <v>0</v>
      </c>
      <c r="CN224" s="415">
        <v>0</v>
      </c>
      <c r="CO224" s="415">
        <v>0</v>
      </c>
      <c r="CP224" s="415">
        <v>0</v>
      </c>
      <c r="CQ224" s="415">
        <v>0</v>
      </c>
      <c r="CR224" s="415">
        <v>6250</v>
      </c>
      <c r="CS224" s="415">
        <v>6250</v>
      </c>
      <c r="CT224" s="415">
        <v>6250</v>
      </c>
      <c r="CU224" s="415">
        <v>7500</v>
      </c>
      <c r="CV224" s="410">
        <f t="shared" si="92"/>
        <v>26250</v>
      </c>
      <c r="CW224" s="415">
        <v>7500</v>
      </c>
      <c r="CX224" s="415">
        <v>0</v>
      </c>
      <c r="CY224" s="415">
        <v>0</v>
      </c>
      <c r="CZ224" s="415">
        <v>0</v>
      </c>
      <c r="DA224" s="415">
        <v>0</v>
      </c>
      <c r="DB224" s="415">
        <v>0</v>
      </c>
      <c r="DC224" s="415">
        <v>6250</v>
      </c>
      <c r="DD224" s="415">
        <v>6250</v>
      </c>
      <c r="DE224" s="415">
        <v>6250</v>
      </c>
      <c r="DF224" s="415">
        <v>6250</v>
      </c>
      <c r="DG224" s="415">
        <v>6250</v>
      </c>
      <c r="DH224" s="415">
        <v>6250</v>
      </c>
      <c r="DI224" s="410">
        <f t="shared" si="93"/>
        <v>45000</v>
      </c>
      <c r="DJ224" s="415">
        <v>0</v>
      </c>
      <c r="DK224" s="415">
        <v>0</v>
      </c>
      <c r="DL224" s="415">
        <v>0</v>
      </c>
      <c r="DM224" s="415">
        <v>0</v>
      </c>
      <c r="DN224" s="415">
        <v>0</v>
      </c>
      <c r="DO224" s="415">
        <v>0</v>
      </c>
      <c r="DP224" s="415">
        <v>6250</v>
      </c>
      <c r="DQ224" s="415">
        <v>6250</v>
      </c>
      <c r="DR224" s="415">
        <v>6250</v>
      </c>
      <c r="DS224" s="415">
        <v>6250</v>
      </c>
      <c r="DT224" s="415">
        <v>6250</v>
      </c>
      <c r="DU224" s="415">
        <v>6250</v>
      </c>
      <c r="DV224" s="410">
        <f t="shared" si="94"/>
        <v>37500</v>
      </c>
      <c r="DW224" s="415">
        <v>0</v>
      </c>
      <c r="DX224" s="415">
        <v>0</v>
      </c>
      <c r="DY224" s="415">
        <v>0</v>
      </c>
      <c r="DZ224" s="415">
        <v>0</v>
      </c>
      <c r="EA224" s="415">
        <v>0</v>
      </c>
      <c r="EB224" s="415">
        <v>0</v>
      </c>
      <c r="EC224" s="415">
        <v>6250</v>
      </c>
      <c r="ED224" s="415">
        <v>6250</v>
      </c>
      <c r="EE224" s="415">
        <v>6250</v>
      </c>
      <c r="EF224" s="415">
        <v>6250</v>
      </c>
      <c r="EG224" s="415">
        <v>6250</v>
      </c>
      <c r="EH224" s="415">
        <v>6250</v>
      </c>
      <c r="EI224" s="410">
        <f t="shared" si="95"/>
        <v>37500</v>
      </c>
      <c r="EJ224" s="415">
        <v>0</v>
      </c>
      <c r="EK224" s="415">
        <v>0</v>
      </c>
      <c r="EL224" s="415">
        <v>0</v>
      </c>
      <c r="EM224" s="415">
        <v>0</v>
      </c>
      <c r="EN224" s="415">
        <v>0</v>
      </c>
      <c r="EO224" s="415">
        <v>0</v>
      </c>
      <c r="EP224" s="415">
        <v>6250</v>
      </c>
      <c r="EQ224" s="415">
        <v>6250</v>
      </c>
      <c r="ER224" s="415">
        <v>6250</v>
      </c>
      <c r="ES224" s="415">
        <v>6250</v>
      </c>
      <c r="ET224" s="415">
        <v>6250</v>
      </c>
      <c r="EU224" s="415">
        <v>6250</v>
      </c>
      <c r="EV224" s="410">
        <f t="shared" si="96"/>
        <v>37500</v>
      </c>
      <c r="EW224" s="416">
        <f t="shared" si="97"/>
        <v>183750</v>
      </c>
      <c r="EX224" s="417">
        <f>IFERROR(VLOOKUP(H224,CEI_012018!$A$1:$U$509,9,FALSE),0)</f>
        <v>0</v>
      </c>
      <c r="EY224" s="417">
        <f>IFERROR(VLOOKUP(H224,CEI_022018!$A$1:$U$509,9,FALSE),0)</f>
        <v>0</v>
      </c>
      <c r="EZ224" s="417">
        <f>IFERROR(VLOOKUP(H224,CEI_032018!$A$1:$U$509,9,FALSE),0)</f>
        <v>0</v>
      </c>
      <c r="FA224" s="417">
        <f>IFERROR(VLOOKUP(H224,CEI_042018!$A$1:$U$491,9,FALSE),0)</f>
        <v>0</v>
      </c>
      <c r="FB224" s="417">
        <f>IFERROR(VLOOKUP(H224,CEI_052018!$A$1:$U$489,9,FALSE),0)</f>
        <v>0</v>
      </c>
      <c r="FC224" s="417">
        <f>IFERROR(VLOOKUP(H224,CEI_062018!$A$1:$U$489,9,FALSE),0)</f>
        <v>0</v>
      </c>
      <c r="FD224" s="417">
        <f>IFERROR(VLOOKUP(H224,CEI_072018!$A$1:$U$489,9,FALSE),0)</f>
        <v>0</v>
      </c>
      <c r="FE224" s="417">
        <f>IFERROR(VLOOKUP(H224,CEI_082018!$A$1:$U$489,9,FALSE),0)</f>
        <v>341.49017333984375</v>
      </c>
      <c r="FF224" s="417">
        <f>IFERROR(VLOOKUP(H224,CEI_092018!$A$1:$U$489,9,FALSE),0)</f>
        <v>997.0753173828125</v>
      </c>
      <c r="FG224" s="417"/>
      <c r="FH224" s="417"/>
      <c r="FI224" s="417"/>
      <c r="FJ224" s="418">
        <f>IFERROR(VLOOKUP(H224,CEI_092018!$A$1:$U$489,12,FALSE),0)</f>
        <v>531.990966796875</v>
      </c>
      <c r="FK224" s="418">
        <f t="shared" si="70"/>
        <v>1529.0662841796875</v>
      </c>
      <c r="FL224" s="418">
        <f t="shared" si="71"/>
        <v>-29.06627083984381</v>
      </c>
      <c r="FM224" s="417"/>
      <c r="FN224" s="417"/>
      <c r="FO224" s="417"/>
      <c r="FP224" s="417"/>
      <c r="FQ224" s="417"/>
      <c r="FR224" s="417"/>
      <c r="FS224" s="417"/>
      <c r="FT224" s="417"/>
      <c r="FU224" s="417"/>
      <c r="FV224" s="417"/>
      <c r="FW224" s="417"/>
      <c r="FX224" s="417"/>
      <c r="FY224" s="418"/>
      <c r="FZ224" s="418"/>
      <c r="GA224" s="418"/>
      <c r="GB224" s="417"/>
      <c r="GC224" s="417"/>
      <c r="GD224" s="417"/>
      <c r="GE224" s="417"/>
      <c r="GF224" s="417"/>
      <c r="GG224" s="417"/>
      <c r="GH224" s="417"/>
      <c r="GI224" s="417"/>
      <c r="GJ224" s="417"/>
      <c r="GK224" s="417"/>
      <c r="GL224" s="417"/>
      <c r="GM224" s="417"/>
      <c r="GN224" s="418"/>
      <c r="GO224" s="418"/>
      <c r="GP224" s="418"/>
      <c r="GQ224" s="417"/>
      <c r="GR224" s="417"/>
      <c r="GS224" s="417"/>
      <c r="GT224" s="417"/>
      <c r="GU224" s="417"/>
      <c r="GV224" s="417"/>
      <c r="GW224" s="417"/>
      <c r="GX224" s="417"/>
      <c r="GY224" s="417"/>
      <c r="GZ224" s="417"/>
      <c r="HA224" s="417"/>
      <c r="HB224" s="417"/>
      <c r="HC224" s="418"/>
      <c r="HD224" s="418"/>
      <c r="HE224" s="418"/>
      <c r="HF224" s="417"/>
      <c r="HG224" s="417"/>
      <c r="HH224" s="417"/>
      <c r="HI224" s="417"/>
      <c r="HJ224" s="417"/>
      <c r="HK224" s="417"/>
      <c r="HL224" s="417"/>
      <c r="HM224" s="417"/>
      <c r="HN224" s="417"/>
      <c r="HO224" s="417"/>
      <c r="HP224" s="417"/>
      <c r="HQ224" s="417"/>
      <c r="HR224" s="418"/>
      <c r="HS224" s="418"/>
      <c r="HT224" s="418"/>
    </row>
    <row r="225" spans="1:228" s="387" customFormat="1" ht="12.75" customHeight="1" x14ac:dyDescent="0.2">
      <c r="A225" s="406" t="s">
        <v>55</v>
      </c>
      <c r="B225" s="407" t="s">
        <v>42</v>
      </c>
      <c r="C225" s="406" t="s">
        <v>1000</v>
      </c>
      <c r="D225" s="407" t="s">
        <v>1004</v>
      </c>
      <c r="E225" s="407" t="s">
        <v>1000</v>
      </c>
      <c r="F225" s="407" t="s">
        <v>1004</v>
      </c>
      <c r="G225" s="406" t="s">
        <v>54</v>
      </c>
      <c r="H225" s="408" t="s">
        <v>1663</v>
      </c>
      <c r="I225" s="408" t="s">
        <v>1664</v>
      </c>
      <c r="J225" s="406" t="s">
        <v>1606</v>
      </c>
      <c r="K225" s="406" t="s">
        <v>1607</v>
      </c>
      <c r="L225" s="406" t="s">
        <v>1615</v>
      </c>
      <c r="M225" s="406" t="s">
        <v>1779</v>
      </c>
      <c r="N225" s="452">
        <v>0</v>
      </c>
      <c r="O225" s="452">
        <v>0</v>
      </c>
      <c r="P225" s="452">
        <v>0</v>
      </c>
      <c r="Q225" s="452">
        <v>0</v>
      </c>
      <c r="R225" s="452">
        <v>0</v>
      </c>
      <c r="S225" s="452">
        <v>0</v>
      </c>
      <c r="T225" s="452">
        <v>0</v>
      </c>
      <c r="U225" s="409">
        <v>0</v>
      </c>
      <c r="V225" s="409">
        <v>0</v>
      </c>
      <c r="W225" s="409">
        <v>0</v>
      </c>
      <c r="X225" s="409">
        <v>0</v>
      </c>
      <c r="Y225" s="409">
        <v>0</v>
      </c>
      <c r="Z225" s="453">
        <f t="shared" si="83"/>
        <v>0</v>
      </c>
      <c r="AA225" s="452">
        <v>23.965199999999999</v>
      </c>
      <c r="AB225" s="452">
        <v>23.965199999999999</v>
      </c>
      <c r="AC225" s="452">
        <v>23.965199999999999</v>
      </c>
      <c r="AD225" s="452">
        <v>23.965199999999999</v>
      </c>
      <c r="AE225" s="452">
        <v>23.965199999999999</v>
      </c>
      <c r="AF225" s="452">
        <v>23.965199999999999</v>
      </c>
      <c r="AG225" s="452">
        <v>23.965199999999999</v>
      </c>
      <c r="AH225" s="409">
        <v>23.965199999999999</v>
      </c>
      <c r="AI225" s="409">
        <v>23.965199999999999</v>
      </c>
      <c r="AJ225" s="409">
        <v>23.965199999999999</v>
      </c>
      <c r="AK225" s="409">
        <v>23.965199999999999</v>
      </c>
      <c r="AL225" s="409">
        <v>27.3888</v>
      </c>
      <c r="AM225" s="453">
        <f t="shared" si="78"/>
        <v>291.00600000000003</v>
      </c>
      <c r="AN225" s="452">
        <v>29.956499999999998</v>
      </c>
      <c r="AO225" s="452">
        <v>29.956499999999998</v>
      </c>
      <c r="AP225" s="452">
        <v>29.956499999999998</v>
      </c>
      <c r="AQ225" s="452">
        <v>29.956499999999998</v>
      </c>
      <c r="AR225" s="452">
        <v>29.956499999999998</v>
      </c>
      <c r="AS225" s="452">
        <v>29.956499999999998</v>
      </c>
      <c r="AT225" s="452">
        <v>0</v>
      </c>
      <c r="AU225" s="409">
        <v>0</v>
      </c>
      <c r="AV225" s="409">
        <v>0</v>
      </c>
      <c r="AW225" s="409">
        <v>0</v>
      </c>
      <c r="AX225" s="409">
        <v>0</v>
      </c>
      <c r="AY225" s="409">
        <v>0</v>
      </c>
      <c r="AZ225" s="453">
        <f t="shared" si="79"/>
        <v>179.739</v>
      </c>
      <c r="BA225" s="452">
        <v>0</v>
      </c>
      <c r="BB225" s="452">
        <v>0</v>
      </c>
      <c r="BC225" s="452">
        <v>0</v>
      </c>
      <c r="BD225" s="452">
        <v>0</v>
      </c>
      <c r="BE225" s="452">
        <v>0</v>
      </c>
      <c r="BF225" s="452">
        <v>0</v>
      </c>
      <c r="BG225" s="452">
        <v>0</v>
      </c>
      <c r="BH225" s="409">
        <v>0</v>
      </c>
      <c r="BI225" s="409">
        <v>0</v>
      </c>
      <c r="BJ225" s="409">
        <v>0</v>
      </c>
      <c r="BK225" s="409">
        <v>0</v>
      </c>
      <c r="BL225" s="409">
        <v>0</v>
      </c>
      <c r="BM225" s="453">
        <f t="shared" si="80"/>
        <v>0</v>
      </c>
      <c r="BN225" s="452">
        <v>0</v>
      </c>
      <c r="BO225" s="452">
        <v>0</v>
      </c>
      <c r="BP225" s="452">
        <v>0</v>
      </c>
      <c r="BQ225" s="452">
        <v>0</v>
      </c>
      <c r="BR225" s="452">
        <v>0</v>
      </c>
      <c r="BS225" s="452">
        <v>0</v>
      </c>
      <c r="BT225" s="452">
        <v>0</v>
      </c>
      <c r="BU225" s="409">
        <v>0</v>
      </c>
      <c r="BV225" s="409">
        <v>0</v>
      </c>
      <c r="BW225" s="409">
        <v>0</v>
      </c>
      <c r="BX225" s="409">
        <v>0</v>
      </c>
      <c r="BY225" s="409">
        <v>0</v>
      </c>
      <c r="BZ225" s="453">
        <f t="shared" si="81"/>
        <v>0</v>
      </c>
      <c r="CA225" s="454">
        <f t="shared" si="82"/>
        <v>470.745</v>
      </c>
      <c r="CB225" s="411"/>
      <c r="CC225" s="411"/>
      <c r="CD225" s="411"/>
      <c r="CE225" s="411"/>
      <c r="CF225" s="411"/>
      <c r="CG225" s="420">
        <f t="shared" si="98"/>
        <v>0</v>
      </c>
      <c r="CH225" s="413"/>
      <c r="CI225" s="414" t="s">
        <v>1622</v>
      </c>
      <c r="CJ225" s="415">
        <v>0</v>
      </c>
      <c r="CK225" s="415">
        <v>0</v>
      </c>
      <c r="CL225" s="415">
        <v>0</v>
      </c>
      <c r="CM225" s="415">
        <v>0</v>
      </c>
      <c r="CN225" s="415">
        <v>0</v>
      </c>
      <c r="CO225" s="415">
        <v>0</v>
      </c>
      <c r="CP225" s="415">
        <v>0</v>
      </c>
      <c r="CQ225" s="415">
        <v>0</v>
      </c>
      <c r="CR225" s="415">
        <v>0</v>
      </c>
      <c r="CS225" s="415">
        <v>0</v>
      </c>
      <c r="CT225" s="415">
        <v>0</v>
      </c>
      <c r="CU225" s="415">
        <v>0</v>
      </c>
      <c r="CV225" s="410">
        <f t="shared" si="92"/>
        <v>0</v>
      </c>
      <c r="CW225" s="415">
        <v>55.733023255813954</v>
      </c>
      <c r="CX225" s="415">
        <v>55.733023255813954</v>
      </c>
      <c r="CY225" s="415">
        <v>55.733023255813954</v>
      </c>
      <c r="CZ225" s="415">
        <v>55.733023255813954</v>
      </c>
      <c r="DA225" s="415">
        <v>55.733023255813954</v>
      </c>
      <c r="DB225" s="415">
        <v>55.733023255813954</v>
      </c>
      <c r="DC225" s="415">
        <v>55.733023255813954</v>
      </c>
      <c r="DD225" s="415">
        <v>55.733023255813954</v>
      </c>
      <c r="DE225" s="415">
        <v>55.733023255813954</v>
      </c>
      <c r="DF225" s="415">
        <v>55.733023255813954</v>
      </c>
      <c r="DG225" s="415">
        <v>55.733023255813954</v>
      </c>
      <c r="DH225" s="415">
        <v>63.694883720930235</v>
      </c>
      <c r="DI225" s="410">
        <f t="shared" si="93"/>
        <v>676.75813953488375</v>
      </c>
      <c r="DJ225" s="415">
        <v>69.666279069767441</v>
      </c>
      <c r="DK225" s="415">
        <v>69.666279069767441</v>
      </c>
      <c r="DL225" s="415">
        <v>69.666279069767441</v>
      </c>
      <c r="DM225" s="415">
        <v>69.666279069767441</v>
      </c>
      <c r="DN225" s="415">
        <v>69.666279069767441</v>
      </c>
      <c r="DO225" s="415">
        <v>69.666279069767441</v>
      </c>
      <c r="DP225" s="415">
        <v>0</v>
      </c>
      <c r="DQ225" s="415">
        <v>0</v>
      </c>
      <c r="DR225" s="415">
        <v>0</v>
      </c>
      <c r="DS225" s="415">
        <v>0</v>
      </c>
      <c r="DT225" s="415">
        <v>0</v>
      </c>
      <c r="DU225" s="415">
        <v>0</v>
      </c>
      <c r="DV225" s="410">
        <f t="shared" si="94"/>
        <v>417.99767441860462</v>
      </c>
      <c r="DW225" s="415">
        <v>0</v>
      </c>
      <c r="DX225" s="415">
        <v>0</v>
      </c>
      <c r="DY225" s="415">
        <v>0</v>
      </c>
      <c r="DZ225" s="415">
        <v>0</v>
      </c>
      <c r="EA225" s="415">
        <v>0</v>
      </c>
      <c r="EB225" s="415">
        <v>0</v>
      </c>
      <c r="EC225" s="415">
        <v>0</v>
      </c>
      <c r="ED225" s="415">
        <v>0</v>
      </c>
      <c r="EE225" s="415">
        <v>0</v>
      </c>
      <c r="EF225" s="415">
        <v>0</v>
      </c>
      <c r="EG225" s="415">
        <v>0</v>
      </c>
      <c r="EH225" s="415">
        <v>0</v>
      </c>
      <c r="EI225" s="410">
        <f t="shared" si="95"/>
        <v>0</v>
      </c>
      <c r="EJ225" s="415">
        <v>0</v>
      </c>
      <c r="EK225" s="415">
        <v>0</v>
      </c>
      <c r="EL225" s="415">
        <v>0</v>
      </c>
      <c r="EM225" s="415">
        <v>0</v>
      </c>
      <c r="EN225" s="415">
        <v>0</v>
      </c>
      <c r="EO225" s="415">
        <v>0</v>
      </c>
      <c r="EP225" s="415">
        <v>0</v>
      </c>
      <c r="EQ225" s="415">
        <v>0</v>
      </c>
      <c r="ER225" s="415">
        <v>0</v>
      </c>
      <c r="ES225" s="415">
        <v>0</v>
      </c>
      <c r="ET225" s="415">
        <v>0</v>
      </c>
      <c r="EU225" s="415">
        <v>0</v>
      </c>
      <c r="EV225" s="410">
        <f t="shared" si="96"/>
        <v>0</v>
      </c>
      <c r="EW225" s="416">
        <f t="shared" si="97"/>
        <v>1094.7558139534883</v>
      </c>
      <c r="EX225" s="417">
        <f>IFERROR(VLOOKUP(H225,CEI_012018!$A$1:$U$509,9,FALSE),0)</f>
        <v>0</v>
      </c>
      <c r="EY225" s="417">
        <f>IFERROR(VLOOKUP(H225,CEI_022018!$A$1:$U$509,9,FALSE),0)</f>
        <v>0</v>
      </c>
      <c r="EZ225" s="417">
        <f>IFERROR(VLOOKUP(H225,CEI_032018!$A$1:$U$509,9,FALSE),0)</f>
        <v>0</v>
      </c>
      <c r="FA225" s="417">
        <f>IFERROR(VLOOKUP(H225,CEI_042018!$A$1:$U$491,9,FALSE),0)</f>
        <v>0</v>
      </c>
      <c r="FB225" s="417">
        <f>IFERROR(VLOOKUP(H225,CEI_052018!$A$1:$U$489,9,FALSE),0)</f>
        <v>0</v>
      </c>
      <c r="FC225" s="417">
        <f>IFERROR(VLOOKUP(H225,CEI_062018!$A$1:$U$489,9,FALSE),0)</f>
        <v>0</v>
      </c>
      <c r="FD225" s="417">
        <f>IFERROR(VLOOKUP(H225,CEI_072018!$A$1:$U$489,9,FALSE),0)</f>
        <v>0</v>
      </c>
      <c r="FE225" s="417">
        <f>IFERROR(VLOOKUP(H225,CEI_082018!$A$1:$U$489,9,FALSE),0)</f>
        <v>0</v>
      </c>
      <c r="FF225" s="417">
        <f>IFERROR(VLOOKUP(H225,CEI_092018!$A$1:$U$489,9,FALSE),0)</f>
        <v>0</v>
      </c>
      <c r="FG225" s="417"/>
      <c r="FH225" s="417"/>
      <c r="FI225" s="417"/>
      <c r="FJ225" s="418">
        <f>IFERROR(VLOOKUP(H225,CEI_092018!$A$1:$U$489,12,FALSE),0)</f>
        <v>0</v>
      </c>
      <c r="FK225" s="418">
        <f t="shared" si="70"/>
        <v>0</v>
      </c>
      <c r="FL225" s="418">
        <f t="shared" si="71"/>
        <v>0</v>
      </c>
      <c r="FM225" s="417"/>
      <c r="FN225" s="417"/>
      <c r="FO225" s="417"/>
      <c r="FP225" s="417"/>
      <c r="FQ225" s="417"/>
      <c r="FR225" s="417"/>
      <c r="FS225" s="417"/>
      <c r="FT225" s="417"/>
      <c r="FU225" s="417"/>
      <c r="FV225" s="417"/>
      <c r="FW225" s="417"/>
      <c r="FX225" s="417"/>
      <c r="FY225" s="418"/>
      <c r="FZ225" s="418"/>
      <c r="GA225" s="418"/>
      <c r="GB225" s="417"/>
      <c r="GC225" s="417"/>
      <c r="GD225" s="417"/>
      <c r="GE225" s="417"/>
      <c r="GF225" s="417"/>
      <c r="GG225" s="417"/>
      <c r="GH225" s="417"/>
      <c r="GI225" s="417"/>
      <c r="GJ225" s="417"/>
      <c r="GK225" s="417"/>
      <c r="GL225" s="417"/>
      <c r="GM225" s="417"/>
      <c r="GN225" s="418"/>
      <c r="GO225" s="418"/>
      <c r="GP225" s="418"/>
      <c r="GQ225" s="417"/>
      <c r="GR225" s="417"/>
      <c r="GS225" s="417"/>
      <c r="GT225" s="417"/>
      <c r="GU225" s="417"/>
      <c r="GV225" s="417"/>
      <c r="GW225" s="417"/>
      <c r="GX225" s="417"/>
      <c r="GY225" s="417"/>
      <c r="GZ225" s="417"/>
      <c r="HA225" s="417"/>
      <c r="HB225" s="417"/>
      <c r="HC225" s="418"/>
      <c r="HD225" s="418"/>
      <c r="HE225" s="418"/>
      <c r="HF225" s="417"/>
      <c r="HG225" s="417"/>
      <c r="HH225" s="417"/>
      <c r="HI225" s="417"/>
      <c r="HJ225" s="417"/>
      <c r="HK225" s="417"/>
      <c r="HL225" s="417"/>
      <c r="HM225" s="417"/>
      <c r="HN225" s="417"/>
      <c r="HO225" s="417"/>
      <c r="HP225" s="417"/>
      <c r="HQ225" s="417"/>
      <c r="HR225" s="418"/>
      <c r="HS225" s="418"/>
      <c r="HT225" s="418"/>
    </row>
    <row r="226" spans="1:228" s="387" customFormat="1" ht="12.75" customHeight="1" x14ac:dyDescent="0.2">
      <c r="A226" s="406" t="s">
        <v>55</v>
      </c>
      <c r="B226" s="407" t="s">
        <v>42</v>
      </c>
      <c r="C226" s="406" t="s">
        <v>1000</v>
      </c>
      <c r="D226" s="407" t="s">
        <v>1004</v>
      </c>
      <c r="E226" s="407" t="s">
        <v>1000</v>
      </c>
      <c r="F226" s="407" t="s">
        <v>1004</v>
      </c>
      <c r="G226" s="406" t="s">
        <v>54</v>
      </c>
      <c r="H226" s="408" t="s">
        <v>1665</v>
      </c>
      <c r="I226" s="408" t="s">
        <v>1666</v>
      </c>
      <c r="J226" s="406" t="s">
        <v>1600</v>
      </c>
      <c r="K226" s="406" t="s">
        <v>1601</v>
      </c>
      <c r="L226" s="406" t="s">
        <v>1602</v>
      </c>
      <c r="M226" s="406" t="s">
        <v>1779</v>
      </c>
      <c r="N226" s="452">
        <v>0</v>
      </c>
      <c r="O226" s="452">
        <v>0</v>
      </c>
      <c r="P226" s="452">
        <v>0</v>
      </c>
      <c r="Q226" s="452">
        <v>0</v>
      </c>
      <c r="R226" s="452">
        <v>0</v>
      </c>
      <c r="S226" s="452">
        <v>0</v>
      </c>
      <c r="T226" s="452">
        <v>0</v>
      </c>
      <c r="U226" s="409">
        <v>0</v>
      </c>
      <c r="V226" s="409">
        <v>0</v>
      </c>
      <c r="W226" s="409">
        <v>8.56</v>
      </c>
      <c r="X226" s="409">
        <v>8.56</v>
      </c>
      <c r="Y226" s="409">
        <v>8.56</v>
      </c>
      <c r="Z226" s="453">
        <f t="shared" si="83"/>
        <v>25.68</v>
      </c>
      <c r="AA226" s="452">
        <v>8.5589999999999993</v>
      </c>
      <c r="AB226" s="452">
        <v>0</v>
      </c>
      <c r="AC226" s="452">
        <v>8.5589999999999993</v>
      </c>
      <c r="AD226" s="452">
        <v>8.5589999999999993</v>
      </c>
      <c r="AE226" s="452">
        <v>8.5589999999999993</v>
      </c>
      <c r="AF226" s="452">
        <v>0</v>
      </c>
      <c r="AG226" s="452">
        <v>8.5589999999999993</v>
      </c>
      <c r="AH226" s="409">
        <v>8.5589999999999993</v>
      </c>
      <c r="AI226" s="409">
        <v>8.5589999999999993</v>
      </c>
      <c r="AJ226" s="409">
        <v>0</v>
      </c>
      <c r="AK226" s="409">
        <v>8.5589999999999993</v>
      </c>
      <c r="AL226" s="409">
        <v>8.5589999999999993</v>
      </c>
      <c r="AM226" s="453">
        <f t="shared" si="78"/>
        <v>77.030999999999992</v>
      </c>
      <c r="AN226" s="452">
        <v>8.56</v>
      </c>
      <c r="AO226" s="452">
        <v>8.56</v>
      </c>
      <c r="AP226" s="452">
        <v>8.56</v>
      </c>
      <c r="AQ226" s="452">
        <v>8.56</v>
      </c>
      <c r="AR226" s="452">
        <v>0</v>
      </c>
      <c r="AS226" s="452">
        <v>0</v>
      </c>
      <c r="AT226" s="452">
        <v>0</v>
      </c>
      <c r="AU226" s="409">
        <v>0</v>
      </c>
      <c r="AV226" s="409">
        <v>0</v>
      </c>
      <c r="AW226" s="409">
        <v>0</v>
      </c>
      <c r="AX226" s="409">
        <v>0</v>
      </c>
      <c r="AY226" s="409">
        <v>0</v>
      </c>
      <c r="AZ226" s="453">
        <f t="shared" si="79"/>
        <v>34.24</v>
      </c>
      <c r="BA226" s="452">
        <v>0</v>
      </c>
      <c r="BB226" s="452">
        <v>0</v>
      </c>
      <c r="BC226" s="452">
        <v>0</v>
      </c>
      <c r="BD226" s="452">
        <v>0</v>
      </c>
      <c r="BE226" s="452">
        <v>0</v>
      </c>
      <c r="BF226" s="452">
        <v>0</v>
      </c>
      <c r="BG226" s="452">
        <v>0</v>
      </c>
      <c r="BH226" s="409">
        <v>0</v>
      </c>
      <c r="BI226" s="409">
        <v>0</v>
      </c>
      <c r="BJ226" s="409">
        <v>0</v>
      </c>
      <c r="BK226" s="409">
        <v>0</v>
      </c>
      <c r="BL226" s="409">
        <v>0</v>
      </c>
      <c r="BM226" s="453">
        <f t="shared" si="80"/>
        <v>0</v>
      </c>
      <c r="BN226" s="452"/>
      <c r="BO226" s="452"/>
      <c r="BP226" s="452"/>
      <c r="BQ226" s="452"/>
      <c r="BR226" s="452"/>
      <c r="BS226" s="452"/>
      <c r="BT226" s="452"/>
      <c r="BU226" s="409"/>
      <c r="BV226" s="409"/>
      <c r="BW226" s="409"/>
      <c r="BX226" s="409"/>
      <c r="BY226" s="409"/>
      <c r="BZ226" s="453">
        <f t="shared" si="81"/>
        <v>0</v>
      </c>
      <c r="CA226" s="454">
        <f t="shared" si="82"/>
        <v>136.95099999999999</v>
      </c>
      <c r="CB226" s="419"/>
      <c r="CC226" s="419">
        <v>1</v>
      </c>
      <c r="CD226" s="419">
        <v>1</v>
      </c>
      <c r="CE226" s="419">
        <v>1</v>
      </c>
      <c r="CF226" s="419">
        <v>1</v>
      </c>
      <c r="CG226" s="420">
        <f t="shared" si="98"/>
        <v>0</v>
      </c>
      <c r="CH226" s="421">
        <f>IFERROR((FK226/Z226%),0)</f>
        <v>99.988317935266238</v>
      </c>
      <c r="CI226" s="414" t="s">
        <v>1622</v>
      </c>
      <c r="CJ226" s="415">
        <v>0</v>
      </c>
      <c r="CK226" s="415">
        <v>0</v>
      </c>
      <c r="CL226" s="415">
        <v>0</v>
      </c>
      <c r="CM226" s="415">
        <v>0</v>
      </c>
      <c r="CN226" s="415">
        <v>0</v>
      </c>
      <c r="CO226" s="415">
        <v>0</v>
      </c>
      <c r="CP226" s="415">
        <v>0</v>
      </c>
      <c r="CQ226" s="415">
        <v>19.906976744186046</v>
      </c>
      <c r="CR226" s="415">
        <v>0</v>
      </c>
      <c r="CS226" s="415">
        <v>19.906976744186046</v>
      </c>
      <c r="CT226" s="415">
        <v>0</v>
      </c>
      <c r="CU226" s="415">
        <v>19.906976744186046</v>
      </c>
      <c r="CV226" s="410">
        <f t="shared" si="92"/>
        <v>59.720930232558139</v>
      </c>
      <c r="CW226" s="415">
        <v>19.904651162790696</v>
      </c>
      <c r="CX226" s="415">
        <v>0</v>
      </c>
      <c r="CY226" s="415">
        <v>19.904651162790696</v>
      </c>
      <c r="CZ226" s="415">
        <v>19.904651162790696</v>
      </c>
      <c r="DA226" s="415">
        <v>19.904651162790696</v>
      </c>
      <c r="DB226" s="415">
        <v>0</v>
      </c>
      <c r="DC226" s="415">
        <v>19.904651162790696</v>
      </c>
      <c r="DD226" s="415">
        <v>19.904651162790696</v>
      </c>
      <c r="DE226" s="415">
        <v>19.904651162790696</v>
      </c>
      <c r="DF226" s="415">
        <v>0</v>
      </c>
      <c r="DG226" s="415">
        <v>19.904651162790696</v>
      </c>
      <c r="DH226" s="415">
        <v>19.904651162790696</v>
      </c>
      <c r="DI226" s="410">
        <f t="shared" si="93"/>
        <v>179.14186046511625</v>
      </c>
      <c r="DJ226" s="415">
        <v>19.906976744186046</v>
      </c>
      <c r="DK226" s="415">
        <v>19.906976744186046</v>
      </c>
      <c r="DL226" s="415">
        <v>19.906976744186046</v>
      </c>
      <c r="DM226" s="415">
        <v>19.906976744186046</v>
      </c>
      <c r="DN226" s="415">
        <v>0</v>
      </c>
      <c r="DO226" s="415">
        <v>0</v>
      </c>
      <c r="DP226" s="415">
        <v>0</v>
      </c>
      <c r="DQ226" s="415">
        <v>0</v>
      </c>
      <c r="DR226" s="415">
        <v>0</v>
      </c>
      <c r="DS226" s="415">
        <v>0</v>
      </c>
      <c r="DT226" s="415">
        <v>0</v>
      </c>
      <c r="DU226" s="415">
        <v>0</v>
      </c>
      <c r="DV226" s="410">
        <f t="shared" si="94"/>
        <v>79.627906976744185</v>
      </c>
      <c r="DW226" s="415">
        <v>0</v>
      </c>
      <c r="DX226" s="415">
        <v>0</v>
      </c>
      <c r="DY226" s="415">
        <v>0</v>
      </c>
      <c r="DZ226" s="415">
        <v>0</v>
      </c>
      <c r="EA226" s="415">
        <v>0</v>
      </c>
      <c r="EB226" s="415">
        <v>0</v>
      </c>
      <c r="EC226" s="415">
        <v>0</v>
      </c>
      <c r="ED226" s="415">
        <v>0</v>
      </c>
      <c r="EE226" s="415">
        <v>0</v>
      </c>
      <c r="EF226" s="415">
        <v>0</v>
      </c>
      <c r="EG226" s="415">
        <v>0</v>
      </c>
      <c r="EH226" s="415">
        <v>0</v>
      </c>
      <c r="EI226" s="410">
        <f t="shared" si="95"/>
        <v>0</v>
      </c>
      <c r="EJ226" s="415">
        <v>0</v>
      </c>
      <c r="EK226" s="415">
        <v>0</v>
      </c>
      <c r="EL226" s="415">
        <v>0</v>
      </c>
      <c r="EM226" s="415">
        <v>0</v>
      </c>
      <c r="EN226" s="415">
        <v>0</v>
      </c>
      <c r="EO226" s="415">
        <v>0</v>
      </c>
      <c r="EP226" s="415">
        <v>0</v>
      </c>
      <c r="EQ226" s="415">
        <v>0</v>
      </c>
      <c r="ER226" s="415">
        <v>0</v>
      </c>
      <c r="ES226" s="415">
        <v>0</v>
      </c>
      <c r="ET226" s="415">
        <v>0</v>
      </c>
      <c r="EU226" s="415">
        <v>0</v>
      </c>
      <c r="EV226" s="410">
        <f t="shared" si="96"/>
        <v>0</v>
      </c>
      <c r="EW226" s="416">
        <f t="shared" si="97"/>
        <v>318.49069767441858</v>
      </c>
      <c r="EX226" s="417">
        <f>IFERROR(VLOOKUP(H226,CEI_012018!$A$1:$U$509,9,FALSE),0)</f>
        <v>0</v>
      </c>
      <c r="EY226" s="417">
        <f>IFERROR(VLOOKUP(H226,CEI_022018!$A$1:$U$509,9,FALSE),0)</f>
        <v>0</v>
      </c>
      <c r="EZ226" s="417">
        <f>IFERROR(VLOOKUP(H226,CEI_032018!$A$1:$U$509,9,FALSE),0)</f>
        <v>0</v>
      </c>
      <c r="FA226" s="417">
        <f>IFERROR(VLOOKUP(H226,CEI_042018!$A$1:$U$491,9,FALSE),0)</f>
        <v>0</v>
      </c>
      <c r="FB226" s="417">
        <f>IFERROR(VLOOKUP(H226,CEI_052018!$A$1:$U$489,9,FALSE),0)</f>
        <v>0</v>
      </c>
      <c r="FC226" s="417">
        <f>IFERROR(VLOOKUP(H226,CEI_062018!$A$1:$U$489,9,FALSE),0)</f>
        <v>0</v>
      </c>
      <c r="FD226" s="417">
        <f>IFERROR(VLOOKUP(H226,CEI_072018!$A$1:$U$489,9,FALSE),0)</f>
        <v>0</v>
      </c>
      <c r="FE226" s="417">
        <f>IFERROR(VLOOKUP(H226,CEI_082018!$A$1:$U$489,9,FALSE),0)</f>
        <v>0</v>
      </c>
      <c r="FF226" s="417">
        <f>IFERROR(VLOOKUP(H226,CEI_092018!$A$1:$U$489,9,FALSE),0)</f>
        <v>0</v>
      </c>
      <c r="FG226" s="417"/>
      <c r="FH226" s="417"/>
      <c r="FI226" s="417"/>
      <c r="FJ226" s="418">
        <f>IFERROR(VLOOKUP(H226,CEI_092018!$A$1:$U$489,12,FALSE),0)</f>
        <v>25.677000045776367</v>
      </c>
      <c r="FK226" s="418">
        <f t="shared" si="70"/>
        <v>25.677000045776367</v>
      </c>
      <c r="FL226" s="418">
        <f t="shared" si="71"/>
        <v>2.9999542236325283E-3</v>
      </c>
      <c r="FM226" s="417"/>
      <c r="FN226" s="417"/>
      <c r="FO226" s="417"/>
      <c r="FP226" s="417"/>
      <c r="FQ226" s="417"/>
      <c r="FR226" s="417"/>
      <c r="FS226" s="417"/>
      <c r="FT226" s="417"/>
      <c r="FU226" s="417"/>
      <c r="FV226" s="417"/>
      <c r="FW226" s="417"/>
      <c r="FX226" s="417"/>
      <c r="FY226" s="418"/>
      <c r="FZ226" s="418"/>
      <c r="GA226" s="418"/>
      <c r="GB226" s="417"/>
      <c r="GC226" s="417"/>
      <c r="GD226" s="417"/>
      <c r="GE226" s="417"/>
      <c r="GF226" s="417"/>
      <c r="GG226" s="417"/>
      <c r="GH226" s="417"/>
      <c r="GI226" s="417"/>
      <c r="GJ226" s="417"/>
      <c r="GK226" s="417"/>
      <c r="GL226" s="417"/>
      <c r="GM226" s="417"/>
      <c r="GN226" s="418"/>
      <c r="GO226" s="418"/>
      <c r="GP226" s="418"/>
      <c r="GQ226" s="417"/>
      <c r="GR226" s="417"/>
      <c r="GS226" s="417"/>
      <c r="GT226" s="417"/>
      <c r="GU226" s="417"/>
      <c r="GV226" s="417"/>
      <c r="GW226" s="417"/>
      <c r="GX226" s="417"/>
      <c r="GY226" s="417"/>
      <c r="GZ226" s="417"/>
      <c r="HA226" s="417"/>
      <c r="HB226" s="417"/>
      <c r="HC226" s="418"/>
      <c r="HD226" s="418"/>
      <c r="HE226" s="418"/>
      <c r="HF226" s="417"/>
      <c r="HG226" s="417"/>
      <c r="HH226" s="417"/>
      <c r="HI226" s="417"/>
      <c r="HJ226" s="417"/>
      <c r="HK226" s="417"/>
      <c r="HL226" s="417"/>
      <c r="HM226" s="417"/>
      <c r="HN226" s="417"/>
      <c r="HO226" s="417"/>
      <c r="HP226" s="417"/>
      <c r="HQ226" s="417"/>
      <c r="HR226" s="418"/>
      <c r="HS226" s="418"/>
      <c r="HT226" s="418"/>
    </row>
    <row r="227" spans="1:228" s="387" customFormat="1" ht="12.75" customHeight="1" x14ac:dyDescent="0.2">
      <c r="A227" s="406" t="s">
        <v>55</v>
      </c>
      <c r="B227" s="407" t="s">
        <v>42</v>
      </c>
      <c r="C227" s="406" t="s">
        <v>1000</v>
      </c>
      <c r="D227" s="407" t="s">
        <v>1004</v>
      </c>
      <c r="E227" s="407" t="s">
        <v>1000</v>
      </c>
      <c r="F227" s="407" t="s">
        <v>1004</v>
      </c>
      <c r="G227" s="406" t="s">
        <v>54</v>
      </c>
      <c r="H227" s="408" t="s">
        <v>699</v>
      </c>
      <c r="I227" s="408" t="s">
        <v>1271</v>
      </c>
      <c r="J227" s="406" t="s">
        <v>313</v>
      </c>
      <c r="K227" s="406" t="s">
        <v>314</v>
      </c>
      <c r="L227" s="406" t="s">
        <v>315</v>
      </c>
      <c r="M227" s="406" t="s">
        <v>1789</v>
      </c>
      <c r="N227" s="452">
        <v>0</v>
      </c>
      <c r="O227" s="452">
        <v>67.5806884765625</v>
      </c>
      <c r="P227" s="452">
        <v>0</v>
      </c>
      <c r="Q227" s="452">
        <v>30.3466796875</v>
      </c>
      <c r="R227" s="452">
        <v>61.502719879150391</v>
      </c>
      <c r="S227" s="452">
        <v>24.368999481201172</v>
      </c>
      <c r="T227" s="452">
        <v>20.617439270019531</v>
      </c>
      <c r="U227" s="409">
        <v>70.801338195800781</v>
      </c>
      <c r="V227" s="409">
        <v>52.07</v>
      </c>
      <c r="W227" s="409">
        <v>32.200000000000003</v>
      </c>
      <c r="X227" s="409">
        <v>53.510840000000002</v>
      </c>
      <c r="Y227" s="409">
        <v>25.198660000000004</v>
      </c>
      <c r="Z227" s="453">
        <f t="shared" si="83"/>
        <v>438.19736499023441</v>
      </c>
      <c r="AA227" s="452">
        <v>15</v>
      </c>
      <c r="AB227" s="452">
        <v>20</v>
      </c>
      <c r="AC227" s="452">
        <v>15</v>
      </c>
      <c r="AD227" s="452">
        <v>12</v>
      </c>
      <c r="AE227" s="452">
        <v>15</v>
      </c>
      <c r="AF227" s="452">
        <v>15</v>
      </c>
      <c r="AG227" s="452">
        <v>30</v>
      </c>
      <c r="AH227" s="409">
        <v>30</v>
      </c>
      <c r="AI227" s="409">
        <v>20</v>
      </c>
      <c r="AJ227" s="409">
        <v>20</v>
      </c>
      <c r="AK227" s="409">
        <v>25</v>
      </c>
      <c r="AL227" s="409">
        <v>40</v>
      </c>
      <c r="AM227" s="453">
        <f t="shared" si="78"/>
        <v>257</v>
      </c>
      <c r="AN227" s="452">
        <v>25</v>
      </c>
      <c r="AO227" s="452">
        <v>25</v>
      </c>
      <c r="AP227" s="452">
        <v>20</v>
      </c>
      <c r="AQ227" s="452">
        <v>40</v>
      </c>
      <c r="AR227" s="452">
        <v>25</v>
      </c>
      <c r="AS227" s="452">
        <v>25</v>
      </c>
      <c r="AT227" s="452">
        <v>27</v>
      </c>
      <c r="AU227" s="409">
        <v>10</v>
      </c>
      <c r="AV227" s="409">
        <v>10</v>
      </c>
      <c r="AW227" s="409">
        <v>10</v>
      </c>
      <c r="AX227" s="409">
        <v>20</v>
      </c>
      <c r="AY227" s="409">
        <v>20</v>
      </c>
      <c r="AZ227" s="453">
        <f t="shared" si="79"/>
        <v>257</v>
      </c>
      <c r="BA227" s="452">
        <v>75</v>
      </c>
      <c r="BB227" s="452">
        <v>75</v>
      </c>
      <c r="BC227" s="452">
        <v>10</v>
      </c>
      <c r="BD227" s="452">
        <v>10</v>
      </c>
      <c r="BE227" s="452">
        <v>10</v>
      </c>
      <c r="BF227" s="452">
        <v>10</v>
      </c>
      <c r="BG227" s="452">
        <v>10</v>
      </c>
      <c r="BH227" s="409">
        <v>10</v>
      </c>
      <c r="BI227" s="409">
        <v>10</v>
      </c>
      <c r="BJ227" s="409">
        <v>10</v>
      </c>
      <c r="BK227" s="409">
        <v>10</v>
      </c>
      <c r="BL227" s="409">
        <v>10</v>
      </c>
      <c r="BM227" s="453">
        <f t="shared" si="80"/>
        <v>250</v>
      </c>
      <c r="BN227" s="452">
        <v>0</v>
      </c>
      <c r="BO227" s="452">
        <v>0</v>
      </c>
      <c r="BP227" s="452">
        <v>20</v>
      </c>
      <c r="BQ227" s="452">
        <v>0</v>
      </c>
      <c r="BR227" s="452">
        <v>0</v>
      </c>
      <c r="BS227" s="452">
        <v>20</v>
      </c>
      <c r="BT227" s="452">
        <v>0</v>
      </c>
      <c r="BU227" s="409">
        <v>0</v>
      </c>
      <c r="BV227" s="409">
        <v>20</v>
      </c>
      <c r="BW227" s="409">
        <v>0</v>
      </c>
      <c r="BX227" s="409">
        <v>0</v>
      </c>
      <c r="BY227" s="409">
        <v>40</v>
      </c>
      <c r="BZ227" s="453">
        <f t="shared" si="81"/>
        <v>100</v>
      </c>
      <c r="CA227" s="454">
        <f t="shared" si="82"/>
        <v>1302.1973649902343</v>
      </c>
      <c r="CB227" s="419"/>
      <c r="CC227" s="419">
        <v>1</v>
      </c>
      <c r="CD227" s="419">
        <v>1</v>
      </c>
      <c r="CE227" s="419">
        <v>1</v>
      </c>
      <c r="CF227" s="419">
        <v>1</v>
      </c>
      <c r="CG227" s="420">
        <f t="shared" si="98"/>
        <v>62.806827922474582</v>
      </c>
      <c r="CH227" s="421">
        <f>IFERROR((FK227/Z227%),0)</f>
        <v>99.991741985630611</v>
      </c>
      <c r="CI227" s="414" t="s">
        <v>1622</v>
      </c>
      <c r="CJ227" s="415">
        <v>0</v>
      </c>
      <c r="CK227" s="415">
        <v>135.16138000000001</v>
      </c>
      <c r="CL227" s="415">
        <v>0</v>
      </c>
      <c r="CM227" s="415">
        <v>60.693359999999998</v>
      </c>
      <c r="CN227" s="415">
        <v>123.00543999999999</v>
      </c>
      <c r="CO227" s="415">
        <v>48.738</v>
      </c>
      <c r="CP227" s="415">
        <v>50</v>
      </c>
      <c r="CQ227" s="415">
        <v>40</v>
      </c>
      <c r="CR227" s="415">
        <v>104.14</v>
      </c>
      <c r="CS227" s="415">
        <v>64.400000000000006</v>
      </c>
      <c r="CT227" s="415">
        <v>98.256560000000007</v>
      </c>
      <c r="CU227" s="415">
        <v>150</v>
      </c>
      <c r="CV227" s="410">
        <f t="shared" si="92"/>
        <v>874.39474000000007</v>
      </c>
      <c r="CW227" s="415">
        <v>30</v>
      </c>
      <c r="CX227" s="415">
        <v>40</v>
      </c>
      <c r="CY227" s="415">
        <v>30</v>
      </c>
      <c r="CZ227" s="415">
        <v>24</v>
      </c>
      <c r="DA227" s="415">
        <v>30</v>
      </c>
      <c r="DB227" s="415">
        <v>30</v>
      </c>
      <c r="DC227" s="415">
        <v>60</v>
      </c>
      <c r="DD227" s="415">
        <v>60</v>
      </c>
      <c r="DE227" s="415">
        <v>40</v>
      </c>
      <c r="DF227" s="415">
        <v>40</v>
      </c>
      <c r="DG227" s="415">
        <v>50</v>
      </c>
      <c r="DH227" s="415">
        <v>80</v>
      </c>
      <c r="DI227" s="410">
        <f t="shared" si="93"/>
        <v>514</v>
      </c>
      <c r="DJ227" s="415">
        <v>0</v>
      </c>
      <c r="DK227" s="415">
        <v>50</v>
      </c>
      <c r="DL227" s="415">
        <v>40</v>
      </c>
      <c r="DM227" s="415">
        <v>80</v>
      </c>
      <c r="DN227" s="415">
        <v>50</v>
      </c>
      <c r="DO227" s="415">
        <v>50</v>
      </c>
      <c r="DP227" s="415">
        <v>20</v>
      </c>
      <c r="DQ227" s="415">
        <v>20</v>
      </c>
      <c r="DR227" s="415">
        <v>20</v>
      </c>
      <c r="DS227" s="415">
        <v>20</v>
      </c>
      <c r="DT227" s="415">
        <v>40</v>
      </c>
      <c r="DU227" s="415">
        <v>40</v>
      </c>
      <c r="DV227" s="410">
        <f t="shared" si="94"/>
        <v>430</v>
      </c>
      <c r="DW227" s="415">
        <v>150</v>
      </c>
      <c r="DX227" s="415">
        <v>150</v>
      </c>
      <c r="DY227" s="415">
        <v>20</v>
      </c>
      <c r="DZ227" s="415">
        <v>20</v>
      </c>
      <c r="EA227" s="415">
        <v>20</v>
      </c>
      <c r="EB227" s="415">
        <v>20</v>
      </c>
      <c r="EC227" s="415">
        <v>20</v>
      </c>
      <c r="ED227" s="415">
        <v>20</v>
      </c>
      <c r="EE227" s="415">
        <v>20</v>
      </c>
      <c r="EF227" s="415">
        <v>20</v>
      </c>
      <c r="EG227" s="415">
        <v>20</v>
      </c>
      <c r="EH227" s="415">
        <v>20</v>
      </c>
      <c r="EI227" s="410">
        <f t="shared" si="95"/>
        <v>500</v>
      </c>
      <c r="EJ227" s="415">
        <v>0</v>
      </c>
      <c r="EK227" s="415">
        <v>0</v>
      </c>
      <c r="EL227" s="415">
        <v>40</v>
      </c>
      <c r="EM227" s="415">
        <v>0</v>
      </c>
      <c r="EN227" s="415">
        <v>0</v>
      </c>
      <c r="EO227" s="415">
        <v>40</v>
      </c>
      <c r="EP227" s="415">
        <v>0</v>
      </c>
      <c r="EQ227" s="415">
        <v>0</v>
      </c>
      <c r="ER227" s="415">
        <v>40</v>
      </c>
      <c r="ES227" s="415">
        <v>0</v>
      </c>
      <c r="ET227" s="415">
        <v>0</v>
      </c>
      <c r="EU227" s="415">
        <v>80</v>
      </c>
      <c r="EV227" s="410">
        <f t="shared" si="96"/>
        <v>200</v>
      </c>
      <c r="EW227" s="416">
        <f t="shared" si="97"/>
        <v>2518.3947400000002</v>
      </c>
      <c r="EX227" s="417">
        <f>IFERROR(VLOOKUP(H227,CEI_012018!$A$1:$U$509,9,FALSE),0)</f>
        <v>0</v>
      </c>
      <c r="EY227" s="417">
        <f>IFERROR(VLOOKUP(H227,CEI_022018!$A$1:$U$509,9,FALSE),0)</f>
        <v>67.5806884765625</v>
      </c>
      <c r="EZ227" s="417">
        <f>IFERROR(VLOOKUP(H227,CEI_032018!$A$1:$U$509,9,FALSE),0)</f>
        <v>67.5806884765625</v>
      </c>
      <c r="FA227" s="417">
        <f>IFERROR(VLOOKUP(H227,CEI_042018!$A$1:$U$491,9,FALSE),0)</f>
        <v>97.9273681640625</v>
      </c>
      <c r="FB227" s="417">
        <f>IFERROR(VLOOKUP(H227,CEI_052018!$A$1:$U$489,9,FALSE),0)</f>
        <v>159.43008804321289</v>
      </c>
      <c r="FC227" s="417">
        <f>IFERROR(VLOOKUP(H227,CEI_062018!$A$1:$U$489,9,FALSE),0)</f>
        <v>183.79908752441406</v>
      </c>
      <c r="FD227" s="417">
        <f>IFERROR(VLOOKUP(H227,CEI_072018!$A$1:$U$489,9,FALSE),0)</f>
        <v>204.41652679443359</v>
      </c>
      <c r="FE227" s="417">
        <f>IFERROR(VLOOKUP(H227,CEI_082018!$A$1:$U$489,9,FALSE),0)</f>
        <v>275.21786499023437</v>
      </c>
      <c r="FF227" s="417">
        <f>IFERROR(VLOOKUP(H227,CEI_092018!$A$1:$U$489,9,FALSE),0)</f>
        <v>275.21786499023437</v>
      </c>
      <c r="FG227" s="417"/>
      <c r="FH227" s="417"/>
      <c r="FI227" s="417"/>
      <c r="FJ227" s="418">
        <f>IFERROR(VLOOKUP(H227,CEI_092018!$A$1:$U$489,12,FALSE),0)</f>
        <v>162.94331359863281</v>
      </c>
      <c r="FK227" s="418">
        <f t="shared" si="70"/>
        <v>438.16117858886719</v>
      </c>
      <c r="FL227" s="418">
        <f t="shared" si="71"/>
        <v>3.6186401367217513E-2</v>
      </c>
      <c r="FM227" s="417"/>
      <c r="FN227" s="417"/>
      <c r="FO227" s="417"/>
      <c r="FP227" s="417"/>
      <c r="FQ227" s="417"/>
      <c r="FR227" s="417"/>
      <c r="FS227" s="417"/>
      <c r="FT227" s="417"/>
      <c r="FU227" s="417"/>
      <c r="FV227" s="417"/>
      <c r="FW227" s="417"/>
      <c r="FX227" s="417"/>
      <c r="FY227" s="418"/>
      <c r="FZ227" s="418"/>
      <c r="GA227" s="418"/>
      <c r="GB227" s="417"/>
      <c r="GC227" s="417"/>
      <c r="GD227" s="417"/>
      <c r="GE227" s="417"/>
      <c r="GF227" s="417"/>
      <c r="GG227" s="417"/>
      <c r="GH227" s="417"/>
      <c r="GI227" s="417"/>
      <c r="GJ227" s="417"/>
      <c r="GK227" s="417"/>
      <c r="GL227" s="417"/>
      <c r="GM227" s="417"/>
      <c r="GN227" s="418"/>
      <c r="GO227" s="418"/>
      <c r="GP227" s="418"/>
      <c r="GQ227" s="417"/>
      <c r="GR227" s="417"/>
      <c r="GS227" s="417"/>
      <c r="GT227" s="417"/>
      <c r="GU227" s="417"/>
      <c r="GV227" s="417"/>
      <c r="GW227" s="417"/>
      <c r="GX227" s="417"/>
      <c r="GY227" s="417"/>
      <c r="GZ227" s="417"/>
      <c r="HA227" s="417"/>
      <c r="HB227" s="417"/>
      <c r="HC227" s="418"/>
      <c r="HD227" s="418"/>
      <c r="HE227" s="418"/>
      <c r="HF227" s="417"/>
      <c r="HG227" s="417"/>
      <c r="HH227" s="417"/>
      <c r="HI227" s="417"/>
      <c r="HJ227" s="417"/>
      <c r="HK227" s="417"/>
      <c r="HL227" s="417"/>
      <c r="HM227" s="417"/>
      <c r="HN227" s="417"/>
      <c r="HO227" s="417"/>
      <c r="HP227" s="417"/>
      <c r="HQ227" s="417"/>
      <c r="HR227" s="418"/>
      <c r="HS227" s="418"/>
      <c r="HT227" s="418"/>
    </row>
    <row r="228" spans="1:228" s="387" customFormat="1" ht="12.75" customHeight="1" x14ac:dyDescent="0.2">
      <c r="A228" s="406" t="s">
        <v>55</v>
      </c>
      <c r="B228" s="407" t="s">
        <v>42</v>
      </c>
      <c r="C228" s="406" t="s">
        <v>1000</v>
      </c>
      <c r="D228" s="407" t="s">
        <v>1004</v>
      </c>
      <c r="E228" s="407" t="s">
        <v>1000</v>
      </c>
      <c r="F228" s="407" t="s">
        <v>1004</v>
      </c>
      <c r="G228" s="406" t="s">
        <v>54</v>
      </c>
      <c r="H228" s="408" t="s">
        <v>1667</v>
      </c>
      <c r="I228" s="408" t="s">
        <v>1668</v>
      </c>
      <c r="J228" s="406" t="s">
        <v>968</v>
      </c>
      <c r="K228" s="406" t="s">
        <v>1610</v>
      </c>
      <c r="L228" s="406" t="s">
        <v>1617</v>
      </c>
      <c r="M228" s="406" t="s">
        <v>1779</v>
      </c>
      <c r="N228" s="452">
        <v>0</v>
      </c>
      <c r="O228" s="452">
        <v>0</v>
      </c>
      <c r="P228" s="452">
        <v>0</v>
      </c>
      <c r="Q228" s="452">
        <v>0</v>
      </c>
      <c r="R228" s="452">
        <v>0</v>
      </c>
      <c r="S228" s="452">
        <v>0</v>
      </c>
      <c r="T228" s="452">
        <v>0</v>
      </c>
      <c r="U228" s="409">
        <v>0</v>
      </c>
      <c r="V228" s="409">
        <v>17.117999999999999</v>
      </c>
      <c r="W228" s="409">
        <v>17.117999999999999</v>
      </c>
      <c r="X228" s="409">
        <v>17.117999999999999</v>
      </c>
      <c r="Y228" s="409">
        <v>17.117999999999999</v>
      </c>
      <c r="Z228" s="453">
        <f t="shared" si="83"/>
        <v>68.471999999999994</v>
      </c>
      <c r="AA228" s="452">
        <v>17.117999999999999</v>
      </c>
      <c r="AB228" s="452">
        <v>17.117999999999999</v>
      </c>
      <c r="AC228" s="452">
        <v>17.117999999999999</v>
      </c>
      <c r="AD228" s="452">
        <v>4.2794999999999996</v>
      </c>
      <c r="AE228" s="452">
        <v>4.2794999999999996</v>
      </c>
      <c r="AF228" s="452">
        <v>4.2794999999999996</v>
      </c>
      <c r="AG228" s="452">
        <v>4.2794999999999996</v>
      </c>
      <c r="AH228" s="409">
        <v>4.2794999999999996</v>
      </c>
      <c r="AI228" s="409">
        <v>4.2794999999999996</v>
      </c>
      <c r="AJ228" s="409">
        <v>4.2794999999999996</v>
      </c>
      <c r="AK228" s="409">
        <v>4.2794999999999996</v>
      </c>
      <c r="AL228" s="409">
        <v>4.2794999999999996</v>
      </c>
      <c r="AM228" s="453">
        <f t="shared" si="78"/>
        <v>89.869499999999988</v>
      </c>
      <c r="AN228" s="452">
        <v>4.2794999999999996</v>
      </c>
      <c r="AO228" s="452">
        <v>4.2794999999999996</v>
      </c>
      <c r="AP228" s="452">
        <v>4.2794999999999996</v>
      </c>
      <c r="AQ228" s="452">
        <v>0</v>
      </c>
      <c r="AR228" s="452">
        <v>0</v>
      </c>
      <c r="AS228" s="452">
        <v>0</v>
      </c>
      <c r="AT228" s="452">
        <v>0</v>
      </c>
      <c r="AU228" s="409">
        <v>0</v>
      </c>
      <c r="AV228" s="409">
        <v>0</v>
      </c>
      <c r="AW228" s="409">
        <v>0</v>
      </c>
      <c r="AX228" s="409">
        <v>0</v>
      </c>
      <c r="AY228" s="409">
        <v>0</v>
      </c>
      <c r="AZ228" s="453">
        <f t="shared" si="79"/>
        <v>12.8385</v>
      </c>
      <c r="BA228" s="452">
        <v>0</v>
      </c>
      <c r="BB228" s="452">
        <v>0</v>
      </c>
      <c r="BC228" s="452">
        <v>0</v>
      </c>
      <c r="BD228" s="452">
        <v>0</v>
      </c>
      <c r="BE228" s="452">
        <v>0</v>
      </c>
      <c r="BF228" s="452">
        <v>0</v>
      </c>
      <c r="BG228" s="452">
        <v>0</v>
      </c>
      <c r="BH228" s="409">
        <v>0</v>
      </c>
      <c r="BI228" s="409">
        <v>0</v>
      </c>
      <c r="BJ228" s="409">
        <v>0</v>
      </c>
      <c r="BK228" s="409">
        <v>0</v>
      </c>
      <c r="BL228" s="409">
        <v>0</v>
      </c>
      <c r="BM228" s="453">
        <f t="shared" si="80"/>
        <v>0</v>
      </c>
      <c r="BN228" s="452">
        <v>0</v>
      </c>
      <c r="BO228" s="452">
        <v>0</v>
      </c>
      <c r="BP228" s="452">
        <v>0</v>
      </c>
      <c r="BQ228" s="452">
        <v>0</v>
      </c>
      <c r="BR228" s="452">
        <v>0</v>
      </c>
      <c r="BS228" s="452">
        <v>0</v>
      </c>
      <c r="BT228" s="452">
        <v>0</v>
      </c>
      <c r="BU228" s="409">
        <v>0</v>
      </c>
      <c r="BV228" s="409">
        <v>0</v>
      </c>
      <c r="BW228" s="409">
        <v>0</v>
      </c>
      <c r="BX228" s="409">
        <v>0</v>
      </c>
      <c r="BY228" s="409">
        <v>0</v>
      </c>
      <c r="BZ228" s="453">
        <f t="shared" si="81"/>
        <v>0</v>
      </c>
      <c r="CA228" s="454">
        <f t="shared" si="82"/>
        <v>171.17999999999998</v>
      </c>
      <c r="CB228" s="419"/>
      <c r="CC228" s="419">
        <v>1</v>
      </c>
      <c r="CD228" s="419">
        <v>1</v>
      </c>
      <c r="CE228" s="419">
        <v>1</v>
      </c>
      <c r="CF228" s="419">
        <v>1</v>
      </c>
      <c r="CG228" s="420">
        <f t="shared" si="98"/>
        <v>0</v>
      </c>
      <c r="CH228" s="421">
        <f>IFERROR((FK228/Z228%),0)</f>
        <v>100.00000017827772</v>
      </c>
      <c r="CI228" s="414" t="s">
        <v>1622</v>
      </c>
      <c r="CJ228" s="415">
        <v>0</v>
      </c>
      <c r="CK228" s="415">
        <v>0</v>
      </c>
      <c r="CL228" s="415">
        <v>0</v>
      </c>
      <c r="CM228" s="415">
        <v>0</v>
      </c>
      <c r="CN228" s="415">
        <v>0</v>
      </c>
      <c r="CO228" s="415">
        <v>0</v>
      </c>
      <c r="CP228" s="415">
        <v>0</v>
      </c>
      <c r="CQ228" s="415">
        <v>0</v>
      </c>
      <c r="CR228" s="415">
        <v>39.809302325581392</v>
      </c>
      <c r="CS228" s="415">
        <v>39.809302325581392</v>
      </c>
      <c r="CT228" s="415">
        <v>39.809302325581392</v>
      </c>
      <c r="CU228" s="415">
        <v>39.809302325581392</v>
      </c>
      <c r="CV228" s="410">
        <f t="shared" si="92"/>
        <v>159.23720930232557</v>
      </c>
      <c r="CW228" s="415">
        <v>39.809302325581392</v>
      </c>
      <c r="CX228" s="415">
        <v>39.809302325581392</v>
      </c>
      <c r="CY228" s="415">
        <v>39.809302325581392</v>
      </c>
      <c r="CZ228" s="415">
        <v>9.952325581395348</v>
      </c>
      <c r="DA228" s="415">
        <v>9.952325581395348</v>
      </c>
      <c r="DB228" s="415">
        <v>9.952325581395348</v>
      </c>
      <c r="DC228" s="415">
        <v>9.952325581395348</v>
      </c>
      <c r="DD228" s="415">
        <v>9.952325581395348</v>
      </c>
      <c r="DE228" s="415">
        <v>9.952325581395348</v>
      </c>
      <c r="DF228" s="415">
        <v>9.952325581395348</v>
      </c>
      <c r="DG228" s="415">
        <v>9.952325581395348</v>
      </c>
      <c r="DH228" s="415">
        <v>9.952325581395348</v>
      </c>
      <c r="DI228" s="410">
        <f t="shared" si="93"/>
        <v>208.99883720930225</v>
      </c>
      <c r="DJ228" s="415">
        <v>9.952325581395348</v>
      </c>
      <c r="DK228" s="415">
        <v>9.952325581395348</v>
      </c>
      <c r="DL228" s="415">
        <v>9.952325581395348</v>
      </c>
      <c r="DM228" s="415">
        <v>0</v>
      </c>
      <c r="DN228" s="415">
        <v>0</v>
      </c>
      <c r="DO228" s="415">
        <v>0</v>
      </c>
      <c r="DP228" s="415">
        <v>0</v>
      </c>
      <c r="DQ228" s="415">
        <v>0</v>
      </c>
      <c r="DR228" s="415">
        <v>0</v>
      </c>
      <c r="DS228" s="415">
        <v>0</v>
      </c>
      <c r="DT228" s="415">
        <v>0</v>
      </c>
      <c r="DU228" s="415">
        <v>0</v>
      </c>
      <c r="DV228" s="410">
        <f t="shared" si="94"/>
        <v>29.856976744186042</v>
      </c>
      <c r="DW228" s="415">
        <v>0</v>
      </c>
      <c r="DX228" s="415">
        <v>0</v>
      </c>
      <c r="DY228" s="415">
        <v>0</v>
      </c>
      <c r="DZ228" s="415">
        <v>0</v>
      </c>
      <c r="EA228" s="415">
        <v>0</v>
      </c>
      <c r="EB228" s="415">
        <v>0</v>
      </c>
      <c r="EC228" s="415">
        <v>0</v>
      </c>
      <c r="ED228" s="415">
        <v>0</v>
      </c>
      <c r="EE228" s="415">
        <v>0</v>
      </c>
      <c r="EF228" s="415">
        <v>0</v>
      </c>
      <c r="EG228" s="415">
        <v>0</v>
      </c>
      <c r="EH228" s="415">
        <v>0</v>
      </c>
      <c r="EI228" s="410">
        <f t="shared" si="95"/>
        <v>0</v>
      </c>
      <c r="EJ228" s="415">
        <v>0</v>
      </c>
      <c r="EK228" s="415">
        <v>0</v>
      </c>
      <c r="EL228" s="415">
        <v>0</v>
      </c>
      <c r="EM228" s="415">
        <v>0</v>
      </c>
      <c r="EN228" s="415">
        <v>0</v>
      </c>
      <c r="EO228" s="415">
        <v>0</v>
      </c>
      <c r="EP228" s="415">
        <v>0</v>
      </c>
      <c r="EQ228" s="415">
        <v>0</v>
      </c>
      <c r="ER228" s="415">
        <v>0</v>
      </c>
      <c r="ES228" s="415">
        <v>0</v>
      </c>
      <c r="ET228" s="415">
        <v>0</v>
      </c>
      <c r="EU228" s="415">
        <v>0</v>
      </c>
      <c r="EV228" s="410">
        <f t="shared" si="96"/>
        <v>0</v>
      </c>
      <c r="EW228" s="416">
        <f t="shared" si="97"/>
        <v>398.09302325581382</v>
      </c>
      <c r="EX228" s="417">
        <f>IFERROR(VLOOKUP(H228,CEI_012018!$A$1:$U$509,9,FALSE),0)</f>
        <v>0</v>
      </c>
      <c r="EY228" s="417">
        <f>IFERROR(VLOOKUP(H228,CEI_022018!$A$1:$U$509,9,FALSE),0)</f>
        <v>0</v>
      </c>
      <c r="EZ228" s="417">
        <f>IFERROR(VLOOKUP(H228,CEI_032018!$A$1:$U$509,9,FALSE),0)</f>
        <v>0</v>
      </c>
      <c r="FA228" s="417">
        <f>IFERROR(VLOOKUP(H228,CEI_042018!$A$1:$U$491,9,FALSE),0)</f>
        <v>0</v>
      </c>
      <c r="FB228" s="417">
        <f>IFERROR(VLOOKUP(H228,CEI_052018!$A$1:$U$489,9,FALSE),0)</f>
        <v>0</v>
      </c>
      <c r="FC228" s="417">
        <f>IFERROR(VLOOKUP(H228,CEI_062018!$A$1:$U$489,9,FALSE),0)</f>
        <v>0</v>
      </c>
      <c r="FD228" s="417">
        <f>IFERROR(VLOOKUP(H228,CEI_072018!$A$1:$U$489,9,FALSE),0)</f>
        <v>0</v>
      </c>
      <c r="FE228" s="417">
        <f>IFERROR(VLOOKUP(H228,CEI_082018!$A$1:$U$489,9,FALSE),0)</f>
        <v>0</v>
      </c>
      <c r="FF228" s="417">
        <f>IFERROR(VLOOKUP(H228,CEI_092018!$A$1:$U$489,9,FALSE),0)</f>
        <v>0</v>
      </c>
      <c r="FG228" s="417"/>
      <c r="FH228" s="417"/>
      <c r="FI228" s="417"/>
      <c r="FJ228" s="418">
        <f>IFERROR(VLOOKUP(H228,CEI_092018!$A$1:$U$489,12,FALSE),0)</f>
        <v>68.472000122070313</v>
      </c>
      <c r="FK228" s="418">
        <f t="shared" si="70"/>
        <v>68.472000122070313</v>
      </c>
      <c r="FL228" s="418">
        <f t="shared" si="71"/>
        <v>-1.2207031829802872E-7</v>
      </c>
      <c r="FM228" s="417"/>
      <c r="FN228" s="417"/>
      <c r="FO228" s="417"/>
      <c r="FP228" s="417"/>
      <c r="FQ228" s="417"/>
      <c r="FR228" s="417"/>
      <c r="FS228" s="417"/>
      <c r="FT228" s="417"/>
      <c r="FU228" s="417"/>
      <c r="FV228" s="417"/>
      <c r="FW228" s="417"/>
      <c r="FX228" s="417"/>
      <c r="FY228" s="418"/>
      <c r="FZ228" s="418"/>
      <c r="GA228" s="418"/>
      <c r="GB228" s="417"/>
      <c r="GC228" s="417"/>
      <c r="GD228" s="417"/>
      <c r="GE228" s="417"/>
      <c r="GF228" s="417"/>
      <c r="GG228" s="417"/>
      <c r="GH228" s="417"/>
      <c r="GI228" s="417"/>
      <c r="GJ228" s="417"/>
      <c r="GK228" s="417"/>
      <c r="GL228" s="417"/>
      <c r="GM228" s="417"/>
      <c r="GN228" s="418"/>
      <c r="GO228" s="418"/>
      <c r="GP228" s="418"/>
      <c r="GQ228" s="417"/>
      <c r="GR228" s="417"/>
      <c r="GS228" s="417"/>
      <c r="GT228" s="417"/>
      <c r="GU228" s="417"/>
      <c r="GV228" s="417"/>
      <c r="GW228" s="417"/>
      <c r="GX228" s="417"/>
      <c r="GY228" s="417"/>
      <c r="GZ228" s="417"/>
      <c r="HA228" s="417"/>
      <c r="HB228" s="417"/>
      <c r="HC228" s="418"/>
      <c r="HD228" s="418"/>
      <c r="HE228" s="418"/>
      <c r="HF228" s="417"/>
      <c r="HG228" s="417"/>
      <c r="HH228" s="417"/>
      <c r="HI228" s="417"/>
      <c r="HJ228" s="417"/>
      <c r="HK228" s="417"/>
      <c r="HL228" s="417"/>
      <c r="HM228" s="417"/>
      <c r="HN228" s="417"/>
      <c r="HO228" s="417"/>
      <c r="HP228" s="417"/>
      <c r="HQ228" s="417"/>
      <c r="HR228" s="418"/>
      <c r="HS228" s="418"/>
      <c r="HT228" s="418"/>
    </row>
    <row r="229" spans="1:228" s="387" customFormat="1" ht="12.75" customHeight="1" x14ac:dyDescent="0.2">
      <c r="A229" s="406" t="s">
        <v>55</v>
      </c>
      <c r="B229" s="407" t="s">
        <v>42</v>
      </c>
      <c r="C229" s="406" t="s">
        <v>1000</v>
      </c>
      <c r="D229" s="407" t="s">
        <v>1006</v>
      </c>
      <c r="E229" s="407" t="s">
        <v>1000</v>
      </c>
      <c r="F229" s="407" t="s">
        <v>1006</v>
      </c>
      <c r="G229" s="406" t="s">
        <v>54</v>
      </c>
      <c r="H229" s="408" t="s">
        <v>1462</v>
      </c>
      <c r="I229" s="408" t="s">
        <v>1464</v>
      </c>
      <c r="J229" s="406" t="s">
        <v>1529</v>
      </c>
      <c r="K229" s="406" t="s">
        <v>305</v>
      </c>
      <c r="L229" s="406" t="s">
        <v>306</v>
      </c>
      <c r="M229" s="406" t="s">
        <v>57</v>
      </c>
      <c r="N229" s="452">
        <v>0</v>
      </c>
      <c r="O229" s="452">
        <v>0</v>
      </c>
      <c r="P229" s="452">
        <v>0</v>
      </c>
      <c r="Q229" s="452">
        <v>16.69773006439209</v>
      </c>
      <c r="R229" s="452">
        <v>0</v>
      </c>
      <c r="S229" s="452">
        <v>30.116769790649414</v>
      </c>
      <c r="T229" s="452">
        <v>0</v>
      </c>
      <c r="U229" s="409">
        <v>0</v>
      </c>
      <c r="V229" s="409">
        <v>0</v>
      </c>
      <c r="W229" s="409">
        <v>0</v>
      </c>
      <c r="X229" s="409">
        <v>0</v>
      </c>
      <c r="Y229" s="409">
        <v>5.0538199999999982</v>
      </c>
      <c r="Z229" s="453">
        <f t="shared" si="83"/>
        <v>51.868319855041506</v>
      </c>
      <c r="AA229" s="452">
        <v>0</v>
      </c>
      <c r="AB229" s="452">
        <v>0</v>
      </c>
      <c r="AC229" s="452">
        <v>0</v>
      </c>
      <c r="AD229" s="452">
        <v>0</v>
      </c>
      <c r="AE229" s="452">
        <v>0</v>
      </c>
      <c r="AF229" s="452">
        <v>0</v>
      </c>
      <c r="AG229" s="452">
        <v>0</v>
      </c>
      <c r="AH229" s="409">
        <v>0</v>
      </c>
      <c r="AI229" s="409">
        <v>0</v>
      </c>
      <c r="AJ229" s="409">
        <v>0</v>
      </c>
      <c r="AK229" s="409">
        <v>0</v>
      </c>
      <c r="AL229" s="409">
        <v>0</v>
      </c>
      <c r="AM229" s="453">
        <f t="shared" si="78"/>
        <v>0</v>
      </c>
      <c r="AN229" s="452">
        <v>0</v>
      </c>
      <c r="AO229" s="452">
        <v>0</v>
      </c>
      <c r="AP229" s="452">
        <v>0</v>
      </c>
      <c r="AQ229" s="452">
        <v>0</v>
      </c>
      <c r="AR229" s="452">
        <v>0</v>
      </c>
      <c r="AS229" s="452">
        <v>0</v>
      </c>
      <c r="AT229" s="452">
        <v>0</v>
      </c>
      <c r="AU229" s="409">
        <v>0</v>
      </c>
      <c r="AV229" s="409">
        <v>0</v>
      </c>
      <c r="AW229" s="409">
        <v>0</v>
      </c>
      <c r="AX229" s="409">
        <v>0</v>
      </c>
      <c r="AY229" s="409">
        <v>0</v>
      </c>
      <c r="AZ229" s="453">
        <f t="shared" si="79"/>
        <v>0</v>
      </c>
      <c r="BA229" s="452">
        <v>0</v>
      </c>
      <c r="BB229" s="452">
        <v>0</v>
      </c>
      <c r="BC229" s="452">
        <v>0</v>
      </c>
      <c r="BD229" s="452">
        <v>0</v>
      </c>
      <c r="BE229" s="452">
        <v>0</v>
      </c>
      <c r="BF229" s="452">
        <v>0</v>
      </c>
      <c r="BG229" s="452">
        <v>0</v>
      </c>
      <c r="BH229" s="409">
        <v>0</v>
      </c>
      <c r="BI229" s="409">
        <v>0</v>
      </c>
      <c r="BJ229" s="409">
        <v>0</v>
      </c>
      <c r="BK229" s="409">
        <v>0</v>
      </c>
      <c r="BL229" s="409">
        <v>0</v>
      </c>
      <c r="BM229" s="453">
        <f t="shared" si="80"/>
        <v>0</v>
      </c>
      <c r="BN229" s="452"/>
      <c r="BO229" s="452"/>
      <c r="BP229" s="452"/>
      <c r="BQ229" s="452"/>
      <c r="BR229" s="452"/>
      <c r="BS229" s="452"/>
      <c r="BT229" s="452"/>
      <c r="BU229" s="409"/>
      <c r="BV229" s="409"/>
      <c r="BW229" s="409"/>
      <c r="BX229" s="409"/>
      <c r="BY229" s="409"/>
      <c r="BZ229" s="453">
        <f t="shared" si="81"/>
        <v>0</v>
      </c>
      <c r="CA229" s="454">
        <f t="shared" si="82"/>
        <v>51.868319855041506</v>
      </c>
      <c r="CB229" s="419"/>
      <c r="CC229" s="419">
        <v>1</v>
      </c>
      <c r="CD229" s="419">
        <v>1</v>
      </c>
      <c r="CE229" s="419">
        <v>1</v>
      </c>
      <c r="CF229" s="419">
        <v>1</v>
      </c>
      <c r="CG229" s="420">
        <f t="shared" si="98"/>
        <v>90.256441669743467</v>
      </c>
      <c r="CH229" s="421">
        <f>IFERROR((FK229/Z229%),0)</f>
        <v>100.00000025682195</v>
      </c>
      <c r="CI229" s="414" t="s">
        <v>1621</v>
      </c>
      <c r="CJ229" s="415">
        <v>0</v>
      </c>
      <c r="CK229" s="415">
        <v>0</v>
      </c>
      <c r="CL229" s="415">
        <v>0</v>
      </c>
      <c r="CM229" s="415">
        <v>0</v>
      </c>
      <c r="CN229" s="415">
        <v>0</v>
      </c>
      <c r="CO229" s="415">
        <v>0</v>
      </c>
      <c r="CP229" s="415">
        <v>0</v>
      </c>
      <c r="CQ229" s="415">
        <v>0</v>
      </c>
      <c r="CR229" s="415">
        <v>0</v>
      </c>
      <c r="CS229" s="415">
        <v>0</v>
      </c>
      <c r="CT229" s="415">
        <v>0</v>
      </c>
      <c r="CU229" s="415">
        <v>1</v>
      </c>
      <c r="CV229" s="410">
        <f t="shared" si="92"/>
        <v>1</v>
      </c>
      <c r="CW229" s="415">
        <v>0</v>
      </c>
      <c r="CX229" s="415">
        <v>0</v>
      </c>
      <c r="CY229" s="415">
        <v>0</v>
      </c>
      <c r="CZ229" s="415">
        <v>0</v>
      </c>
      <c r="DA229" s="415">
        <v>0</v>
      </c>
      <c r="DB229" s="415">
        <v>0</v>
      </c>
      <c r="DC229" s="415">
        <v>0</v>
      </c>
      <c r="DD229" s="415">
        <v>0</v>
      </c>
      <c r="DE229" s="415">
        <v>0</v>
      </c>
      <c r="DF229" s="415">
        <v>0</v>
      </c>
      <c r="DG229" s="415">
        <v>0</v>
      </c>
      <c r="DH229" s="415">
        <v>0</v>
      </c>
      <c r="DI229" s="410">
        <f t="shared" si="93"/>
        <v>0</v>
      </c>
      <c r="DJ229" s="415">
        <v>0</v>
      </c>
      <c r="DK229" s="415">
        <v>0</v>
      </c>
      <c r="DL229" s="415">
        <v>0</v>
      </c>
      <c r="DM229" s="415">
        <v>0</v>
      </c>
      <c r="DN229" s="415">
        <v>0</v>
      </c>
      <c r="DO229" s="415">
        <v>0</v>
      </c>
      <c r="DP229" s="415">
        <v>0</v>
      </c>
      <c r="DQ229" s="415">
        <v>0</v>
      </c>
      <c r="DR229" s="415">
        <v>0</v>
      </c>
      <c r="DS229" s="415">
        <v>0</v>
      </c>
      <c r="DT229" s="415">
        <v>0</v>
      </c>
      <c r="DU229" s="415">
        <v>0</v>
      </c>
      <c r="DV229" s="410">
        <f t="shared" si="94"/>
        <v>0</v>
      </c>
      <c r="DW229" s="415">
        <v>0</v>
      </c>
      <c r="DX229" s="415">
        <v>0</v>
      </c>
      <c r="DY229" s="415">
        <v>0</v>
      </c>
      <c r="DZ229" s="415">
        <v>0</v>
      </c>
      <c r="EA229" s="415">
        <v>0</v>
      </c>
      <c r="EB229" s="415">
        <v>0</v>
      </c>
      <c r="EC229" s="415">
        <v>0</v>
      </c>
      <c r="ED229" s="415">
        <v>0</v>
      </c>
      <c r="EE229" s="415">
        <v>0</v>
      </c>
      <c r="EF229" s="415">
        <v>0</v>
      </c>
      <c r="EG229" s="415">
        <v>0</v>
      </c>
      <c r="EH229" s="415">
        <v>0</v>
      </c>
      <c r="EI229" s="410">
        <f t="shared" si="95"/>
        <v>0</v>
      </c>
      <c r="EJ229" s="415">
        <v>0</v>
      </c>
      <c r="EK229" s="415">
        <v>0</v>
      </c>
      <c r="EL229" s="415">
        <v>0</v>
      </c>
      <c r="EM229" s="415">
        <v>0</v>
      </c>
      <c r="EN229" s="415">
        <v>0</v>
      </c>
      <c r="EO229" s="415">
        <v>0</v>
      </c>
      <c r="EP229" s="415">
        <v>0</v>
      </c>
      <c r="EQ229" s="415">
        <v>0</v>
      </c>
      <c r="ER229" s="415">
        <v>0</v>
      </c>
      <c r="ES229" s="415">
        <v>0</v>
      </c>
      <c r="ET229" s="415">
        <v>0</v>
      </c>
      <c r="EU229" s="415">
        <v>0</v>
      </c>
      <c r="EV229" s="410">
        <f t="shared" si="96"/>
        <v>0</v>
      </c>
      <c r="EW229" s="416">
        <f t="shared" si="97"/>
        <v>1</v>
      </c>
      <c r="EX229" s="417">
        <f>IFERROR(VLOOKUP(H229,CEI_012018!$A$1:$U$509,9,FALSE),0)</f>
        <v>0</v>
      </c>
      <c r="EY229" s="417">
        <f>IFERROR(VLOOKUP(H229,CEI_022018!$A$1:$U$509,9,FALSE),0)</f>
        <v>0</v>
      </c>
      <c r="EZ229" s="417">
        <f>IFERROR(VLOOKUP(H229,CEI_032018!$A$1:$U$509,9,FALSE),0)</f>
        <v>0</v>
      </c>
      <c r="FA229" s="417">
        <f>IFERROR(VLOOKUP(H229,CEI_042018!$A$1:$U$491,9,FALSE),0)</f>
        <v>16.69773006439209</v>
      </c>
      <c r="FB229" s="417">
        <f>IFERROR(VLOOKUP(H229,CEI_052018!$A$1:$U$489,9,FALSE),0)</f>
        <v>16.69773006439209</v>
      </c>
      <c r="FC229" s="417">
        <f>IFERROR(VLOOKUP(H229,CEI_062018!$A$1:$U$489,9,FALSE),0)</f>
        <v>46.814499855041504</v>
      </c>
      <c r="FD229" s="417">
        <f>IFERROR(VLOOKUP(H229,CEI_072018!$A$1:$U$489,9,FALSE),0)</f>
        <v>46.814499855041504</v>
      </c>
      <c r="FE229" s="417">
        <f>IFERROR(VLOOKUP(H229,CEI_082018!$A$1:$U$489,9,FALSE),0)</f>
        <v>46.814499855041504</v>
      </c>
      <c r="FF229" s="417">
        <f>IFERROR(VLOOKUP(H229,CEI_092018!$A$1:$U$489,9,FALSE),0)</f>
        <v>46.814499855041504</v>
      </c>
      <c r="FG229" s="417"/>
      <c r="FH229" s="417"/>
      <c r="FI229" s="417"/>
      <c r="FJ229" s="418">
        <f>IFERROR(VLOOKUP(H229,CEI_092018!$A$1:$U$489,12,FALSE),0)</f>
        <v>5.0538201332092285</v>
      </c>
      <c r="FK229" s="418">
        <f t="shared" si="70"/>
        <v>51.868319988250732</v>
      </c>
      <c r="FL229" s="418">
        <f t="shared" si="71"/>
        <v>-1.3320922676030023E-7</v>
      </c>
      <c r="FM229" s="417"/>
      <c r="FN229" s="417"/>
      <c r="FO229" s="417"/>
      <c r="FP229" s="417"/>
      <c r="FQ229" s="417"/>
      <c r="FR229" s="417"/>
      <c r="FS229" s="417"/>
      <c r="FT229" s="417"/>
      <c r="FU229" s="417"/>
      <c r="FV229" s="417"/>
      <c r="FW229" s="417"/>
      <c r="FX229" s="417"/>
      <c r="FY229" s="418"/>
      <c r="FZ229" s="418"/>
      <c r="GA229" s="418"/>
      <c r="GB229" s="417"/>
      <c r="GC229" s="417"/>
      <c r="GD229" s="417"/>
      <c r="GE229" s="417"/>
      <c r="GF229" s="417"/>
      <c r="GG229" s="417"/>
      <c r="GH229" s="417"/>
      <c r="GI229" s="417"/>
      <c r="GJ229" s="417"/>
      <c r="GK229" s="417"/>
      <c r="GL229" s="417"/>
      <c r="GM229" s="417"/>
      <c r="GN229" s="418"/>
      <c r="GO229" s="418"/>
      <c r="GP229" s="418"/>
      <c r="GQ229" s="417"/>
      <c r="GR229" s="417"/>
      <c r="GS229" s="417"/>
      <c r="GT229" s="417"/>
      <c r="GU229" s="417"/>
      <c r="GV229" s="417"/>
      <c r="GW229" s="417"/>
      <c r="GX229" s="417"/>
      <c r="GY229" s="417"/>
      <c r="GZ229" s="417"/>
      <c r="HA229" s="417"/>
      <c r="HB229" s="417"/>
      <c r="HC229" s="418"/>
      <c r="HD229" s="418"/>
      <c r="HE229" s="418"/>
      <c r="HF229" s="417"/>
      <c r="HG229" s="417"/>
      <c r="HH229" s="417"/>
      <c r="HI229" s="417"/>
      <c r="HJ229" s="417"/>
      <c r="HK229" s="417"/>
      <c r="HL229" s="417"/>
      <c r="HM229" s="417"/>
      <c r="HN229" s="417"/>
      <c r="HO229" s="417"/>
      <c r="HP229" s="417"/>
      <c r="HQ229" s="417"/>
      <c r="HR229" s="418"/>
      <c r="HS229" s="418"/>
      <c r="HT229" s="418"/>
    </row>
    <row r="230" spans="1:228" s="387" customFormat="1" ht="12.75" customHeight="1" x14ac:dyDescent="0.2">
      <c r="A230" s="406" t="s">
        <v>55</v>
      </c>
      <c r="B230" s="407" t="s">
        <v>42</v>
      </c>
      <c r="C230" s="406" t="s">
        <v>1000</v>
      </c>
      <c r="D230" s="407" t="s">
        <v>1004</v>
      </c>
      <c r="E230" s="407" t="s">
        <v>1586</v>
      </c>
      <c r="F230" s="407" t="s">
        <v>466</v>
      </c>
      <c r="G230" s="406" t="s">
        <v>60</v>
      </c>
      <c r="H230" s="408" t="s">
        <v>520</v>
      </c>
      <c r="I230" s="408" t="s">
        <v>57</v>
      </c>
      <c r="J230" s="406" t="s">
        <v>503</v>
      </c>
      <c r="K230" s="406" t="s">
        <v>504</v>
      </c>
      <c r="L230" s="406" t="s">
        <v>505</v>
      </c>
      <c r="M230" s="406" t="s">
        <v>57</v>
      </c>
      <c r="N230" s="452">
        <v>0</v>
      </c>
      <c r="O230" s="452">
        <v>0</v>
      </c>
      <c r="P230" s="452">
        <v>0</v>
      </c>
      <c r="Q230" s="452">
        <v>0</v>
      </c>
      <c r="R230" s="452">
        <v>0</v>
      </c>
      <c r="S230" s="452">
        <v>0</v>
      </c>
      <c r="T230" s="452">
        <v>0</v>
      </c>
      <c r="U230" s="409">
        <v>0</v>
      </c>
      <c r="V230" s="409">
        <v>0</v>
      </c>
      <c r="W230" s="409">
        <v>0</v>
      </c>
      <c r="X230" s="409">
        <v>0</v>
      </c>
      <c r="Y230" s="409">
        <v>0</v>
      </c>
      <c r="Z230" s="453">
        <f t="shared" si="83"/>
        <v>0</v>
      </c>
      <c r="AA230" s="452">
        <v>0</v>
      </c>
      <c r="AB230" s="452">
        <v>0</v>
      </c>
      <c r="AC230" s="452">
        <v>0</v>
      </c>
      <c r="AD230" s="452">
        <v>0</v>
      </c>
      <c r="AE230" s="452">
        <v>0</v>
      </c>
      <c r="AF230" s="452">
        <v>0</v>
      </c>
      <c r="AG230" s="452">
        <v>0</v>
      </c>
      <c r="AH230" s="409">
        <v>0</v>
      </c>
      <c r="AI230" s="409">
        <v>0</v>
      </c>
      <c r="AJ230" s="409">
        <v>0</v>
      </c>
      <c r="AK230" s="409">
        <v>0</v>
      </c>
      <c r="AL230" s="409">
        <v>0</v>
      </c>
      <c r="AM230" s="453">
        <f t="shared" si="78"/>
        <v>0</v>
      </c>
      <c r="AN230" s="452">
        <v>0</v>
      </c>
      <c r="AO230" s="452">
        <v>0</v>
      </c>
      <c r="AP230" s="452">
        <v>0</v>
      </c>
      <c r="AQ230" s="452">
        <v>0</v>
      </c>
      <c r="AR230" s="452">
        <v>0</v>
      </c>
      <c r="AS230" s="452">
        <v>0</v>
      </c>
      <c r="AT230" s="452">
        <v>0</v>
      </c>
      <c r="AU230" s="409">
        <v>0</v>
      </c>
      <c r="AV230" s="409">
        <v>0</v>
      </c>
      <c r="AW230" s="409">
        <v>0</v>
      </c>
      <c r="AX230" s="409">
        <v>0</v>
      </c>
      <c r="AY230" s="409">
        <v>0</v>
      </c>
      <c r="AZ230" s="453">
        <f t="shared" si="79"/>
        <v>0</v>
      </c>
      <c r="BA230" s="452">
        <v>0</v>
      </c>
      <c r="BB230" s="452">
        <v>0</v>
      </c>
      <c r="BC230" s="452">
        <v>0</v>
      </c>
      <c r="BD230" s="452">
        <v>50</v>
      </c>
      <c r="BE230" s="452">
        <v>0</v>
      </c>
      <c r="BF230" s="452">
        <v>100</v>
      </c>
      <c r="BG230" s="452">
        <v>0</v>
      </c>
      <c r="BH230" s="409">
        <v>0</v>
      </c>
      <c r="BI230" s="409">
        <v>100</v>
      </c>
      <c r="BJ230" s="409">
        <v>0</v>
      </c>
      <c r="BK230" s="409">
        <v>0</v>
      </c>
      <c r="BL230" s="409">
        <v>200</v>
      </c>
      <c r="BM230" s="453">
        <f t="shared" si="80"/>
        <v>450</v>
      </c>
      <c r="BN230" s="452">
        <v>50</v>
      </c>
      <c r="BO230" s="452">
        <v>50</v>
      </c>
      <c r="BP230" s="452">
        <v>50</v>
      </c>
      <c r="BQ230" s="452">
        <v>100</v>
      </c>
      <c r="BR230" s="452">
        <v>100</v>
      </c>
      <c r="BS230" s="452">
        <v>100</v>
      </c>
      <c r="BT230" s="452">
        <v>0</v>
      </c>
      <c r="BU230" s="409">
        <v>0</v>
      </c>
      <c r="BV230" s="409">
        <v>0</v>
      </c>
      <c r="BW230" s="409">
        <v>0</v>
      </c>
      <c r="BX230" s="409">
        <v>0</v>
      </c>
      <c r="BY230" s="409">
        <v>0</v>
      </c>
      <c r="BZ230" s="453">
        <f t="shared" si="81"/>
        <v>450</v>
      </c>
      <c r="CA230" s="454">
        <f t="shared" si="82"/>
        <v>900</v>
      </c>
      <c r="CB230" s="411"/>
      <c r="CC230" s="411"/>
      <c r="CD230" s="411"/>
      <c r="CE230" s="411"/>
      <c r="CF230" s="411"/>
      <c r="CG230" s="412"/>
      <c r="CH230" s="413"/>
      <c r="CI230" s="414" t="s">
        <v>1621</v>
      </c>
      <c r="CJ230" s="415">
        <v>0</v>
      </c>
      <c r="CK230" s="415">
        <v>0</v>
      </c>
      <c r="CL230" s="415">
        <v>0</v>
      </c>
      <c r="CM230" s="415">
        <v>0</v>
      </c>
      <c r="CN230" s="415">
        <v>0</v>
      </c>
      <c r="CO230" s="415">
        <v>0</v>
      </c>
      <c r="CP230" s="415">
        <v>0</v>
      </c>
      <c r="CQ230" s="415">
        <v>0</v>
      </c>
      <c r="CR230" s="415">
        <v>0</v>
      </c>
      <c r="CS230" s="415">
        <v>0</v>
      </c>
      <c r="CT230" s="415">
        <v>0</v>
      </c>
      <c r="CU230" s="415">
        <v>0</v>
      </c>
      <c r="CV230" s="410">
        <f t="shared" si="92"/>
        <v>0</v>
      </c>
      <c r="CW230" s="415">
        <v>0</v>
      </c>
      <c r="CX230" s="415">
        <v>0</v>
      </c>
      <c r="CY230" s="415">
        <v>0</v>
      </c>
      <c r="CZ230" s="415">
        <v>0</v>
      </c>
      <c r="DA230" s="415">
        <v>0</v>
      </c>
      <c r="DB230" s="415">
        <v>0</v>
      </c>
      <c r="DC230" s="415">
        <v>0</v>
      </c>
      <c r="DD230" s="415">
        <v>0</v>
      </c>
      <c r="DE230" s="415">
        <v>0</v>
      </c>
      <c r="DF230" s="415">
        <v>0</v>
      </c>
      <c r="DG230" s="415">
        <v>0</v>
      </c>
      <c r="DH230" s="415">
        <v>0</v>
      </c>
      <c r="DI230" s="410">
        <f t="shared" si="93"/>
        <v>0</v>
      </c>
      <c r="DJ230" s="415">
        <v>0</v>
      </c>
      <c r="DK230" s="415">
        <v>0</v>
      </c>
      <c r="DL230" s="415">
        <v>0</v>
      </c>
      <c r="DM230" s="415">
        <v>0</v>
      </c>
      <c r="DN230" s="415">
        <v>0</v>
      </c>
      <c r="DO230" s="415">
        <v>0</v>
      </c>
      <c r="DP230" s="415">
        <v>0</v>
      </c>
      <c r="DQ230" s="415">
        <v>0</v>
      </c>
      <c r="DR230" s="415">
        <v>0</v>
      </c>
      <c r="DS230" s="415">
        <v>0</v>
      </c>
      <c r="DT230" s="415">
        <v>0</v>
      </c>
      <c r="DU230" s="415">
        <v>0</v>
      </c>
      <c r="DV230" s="410">
        <f t="shared" si="94"/>
        <v>0</v>
      </c>
      <c r="DW230" s="415">
        <v>0</v>
      </c>
      <c r="DX230" s="415">
        <v>0</v>
      </c>
      <c r="DY230" s="415">
        <v>0</v>
      </c>
      <c r="DZ230" s="415">
        <v>0</v>
      </c>
      <c r="EA230" s="415">
        <v>0</v>
      </c>
      <c r="EB230" s="415">
        <v>0</v>
      </c>
      <c r="EC230" s="415">
        <v>0</v>
      </c>
      <c r="ED230" s="415">
        <v>0</v>
      </c>
      <c r="EE230" s="415">
        <v>0</v>
      </c>
      <c r="EF230" s="415">
        <v>0</v>
      </c>
      <c r="EG230" s="415">
        <v>0</v>
      </c>
      <c r="EH230" s="415">
        <v>1</v>
      </c>
      <c r="EI230" s="410">
        <f t="shared" si="95"/>
        <v>1</v>
      </c>
      <c r="EJ230" s="415">
        <v>0</v>
      </c>
      <c r="EK230" s="415">
        <v>0</v>
      </c>
      <c r="EL230" s="415">
        <v>0</v>
      </c>
      <c r="EM230" s="415">
        <v>0</v>
      </c>
      <c r="EN230" s="415">
        <v>0</v>
      </c>
      <c r="EO230" s="415">
        <v>1</v>
      </c>
      <c r="EP230" s="415">
        <v>0</v>
      </c>
      <c r="EQ230" s="415">
        <v>0</v>
      </c>
      <c r="ER230" s="415">
        <v>0</v>
      </c>
      <c r="ES230" s="415">
        <v>0</v>
      </c>
      <c r="ET230" s="415">
        <v>0</v>
      </c>
      <c r="EU230" s="415">
        <v>0</v>
      </c>
      <c r="EV230" s="410">
        <f t="shared" si="96"/>
        <v>1</v>
      </c>
      <c r="EW230" s="416">
        <f t="shared" si="97"/>
        <v>2</v>
      </c>
      <c r="EX230" s="417">
        <f>IFERROR(VLOOKUP(H230,CEI_012018!$A$1:$U$509,9,FALSE),0)</f>
        <v>0</v>
      </c>
      <c r="EY230" s="417">
        <f>IFERROR(VLOOKUP(H230,CEI_022018!$A$1:$U$509,9,FALSE),0)</f>
        <v>0</v>
      </c>
      <c r="EZ230" s="417">
        <f>IFERROR(VLOOKUP(H230,CEI_032018!$A$1:$U$509,9,FALSE),0)</f>
        <v>0</v>
      </c>
      <c r="FA230" s="417">
        <f>IFERROR(VLOOKUP(H230,CEI_042018!$A$1:$U$491,9,FALSE),0)</f>
        <v>0</v>
      </c>
      <c r="FB230" s="417">
        <f>IFERROR(VLOOKUP(H230,CEI_052018!$A$1:$U$489,9,FALSE),0)</f>
        <v>0</v>
      </c>
      <c r="FC230" s="417">
        <f>IFERROR(VLOOKUP(H230,CEI_062018!$A$1:$U$489,9,FALSE),0)</f>
        <v>0</v>
      </c>
      <c r="FD230" s="417">
        <f>IFERROR(VLOOKUP(H230,CEI_072018!$A$1:$U$489,9,FALSE),0)</f>
        <v>0</v>
      </c>
      <c r="FE230" s="417">
        <f>IFERROR(VLOOKUP(H230,CEI_082018!$A$1:$U$489,9,FALSE),0)</f>
        <v>0</v>
      </c>
      <c r="FF230" s="417">
        <f>IFERROR(VLOOKUP(H230,CEI_092018!$A$1:$U$489,9,FALSE),0)</f>
        <v>0</v>
      </c>
      <c r="FG230" s="417"/>
      <c r="FH230" s="417"/>
      <c r="FI230" s="417"/>
      <c r="FJ230" s="418">
        <f>IFERROR(VLOOKUP(H230,CEI_092018!$A$1:$U$489,12,FALSE),0)</f>
        <v>0</v>
      </c>
      <c r="FK230" s="418">
        <f t="shared" si="70"/>
        <v>0</v>
      </c>
      <c r="FL230" s="418">
        <f t="shared" si="71"/>
        <v>0</v>
      </c>
      <c r="FM230" s="417"/>
      <c r="FN230" s="417"/>
      <c r="FO230" s="417"/>
      <c r="FP230" s="417"/>
      <c r="FQ230" s="417"/>
      <c r="FR230" s="417"/>
      <c r="FS230" s="417"/>
      <c r="FT230" s="417"/>
      <c r="FU230" s="417"/>
      <c r="FV230" s="417"/>
      <c r="FW230" s="417"/>
      <c r="FX230" s="417"/>
      <c r="FY230" s="418"/>
      <c r="FZ230" s="418"/>
      <c r="GA230" s="418"/>
      <c r="GB230" s="417"/>
      <c r="GC230" s="417"/>
      <c r="GD230" s="417"/>
      <c r="GE230" s="417"/>
      <c r="GF230" s="417"/>
      <c r="GG230" s="417"/>
      <c r="GH230" s="417"/>
      <c r="GI230" s="417"/>
      <c r="GJ230" s="417"/>
      <c r="GK230" s="417"/>
      <c r="GL230" s="417"/>
      <c r="GM230" s="417"/>
      <c r="GN230" s="418"/>
      <c r="GO230" s="418"/>
      <c r="GP230" s="418"/>
      <c r="GQ230" s="417"/>
      <c r="GR230" s="417"/>
      <c r="GS230" s="417"/>
      <c r="GT230" s="417"/>
      <c r="GU230" s="417"/>
      <c r="GV230" s="417"/>
      <c r="GW230" s="417"/>
      <c r="GX230" s="417"/>
      <c r="GY230" s="417"/>
      <c r="GZ230" s="417"/>
      <c r="HA230" s="417"/>
      <c r="HB230" s="417"/>
      <c r="HC230" s="418"/>
      <c r="HD230" s="418"/>
      <c r="HE230" s="418"/>
      <c r="HF230" s="417"/>
      <c r="HG230" s="417"/>
      <c r="HH230" s="417"/>
      <c r="HI230" s="417"/>
      <c r="HJ230" s="417"/>
      <c r="HK230" s="417"/>
      <c r="HL230" s="417"/>
      <c r="HM230" s="417"/>
      <c r="HN230" s="417"/>
      <c r="HO230" s="417"/>
      <c r="HP230" s="417"/>
      <c r="HQ230" s="417"/>
      <c r="HR230" s="418"/>
      <c r="HS230" s="418"/>
      <c r="HT230" s="418"/>
    </row>
    <row r="231" spans="1:228" s="387" customFormat="1" ht="12.75" customHeight="1" x14ac:dyDescent="0.2">
      <c r="A231" s="406" t="s">
        <v>55</v>
      </c>
      <c r="B231" s="407" t="s">
        <v>42</v>
      </c>
      <c r="C231" s="406" t="s">
        <v>1000</v>
      </c>
      <c r="D231" s="407" t="s">
        <v>1004</v>
      </c>
      <c r="E231" s="407" t="s">
        <v>1586</v>
      </c>
      <c r="F231" s="407" t="s">
        <v>466</v>
      </c>
      <c r="G231" s="406" t="s">
        <v>60</v>
      </c>
      <c r="H231" s="408" t="s">
        <v>520</v>
      </c>
      <c r="I231" s="408" t="s">
        <v>57</v>
      </c>
      <c r="J231" s="406" t="s">
        <v>506</v>
      </c>
      <c r="K231" s="406" t="s">
        <v>507</v>
      </c>
      <c r="L231" s="406" t="s">
        <v>508</v>
      </c>
      <c r="M231" s="406" t="s">
        <v>1770</v>
      </c>
      <c r="N231" s="452">
        <v>0</v>
      </c>
      <c r="O231" s="452">
        <v>0</v>
      </c>
      <c r="P231" s="452">
        <v>0</v>
      </c>
      <c r="Q231" s="452">
        <v>0</v>
      </c>
      <c r="R231" s="452">
        <v>0</v>
      </c>
      <c r="S231" s="452">
        <v>0</v>
      </c>
      <c r="T231" s="452">
        <v>0</v>
      </c>
      <c r="U231" s="409">
        <v>0</v>
      </c>
      <c r="V231" s="409">
        <v>0</v>
      </c>
      <c r="W231" s="409">
        <v>0</v>
      </c>
      <c r="X231" s="409">
        <v>0</v>
      </c>
      <c r="Y231" s="409">
        <v>0</v>
      </c>
      <c r="Z231" s="453">
        <f t="shared" si="83"/>
        <v>0</v>
      </c>
      <c r="AA231" s="452">
        <v>0</v>
      </c>
      <c r="AB231" s="452">
        <v>0</v>
      </c>
      <c r="AC231" s="452">
        <v>0</v>
      </c>
      <c r="AD231" s="452">
        <v>190</v>
      </c>
      <c r="AE231" s="452">
        <v>0</v>
      </c>
      <c r="AF231" s="452">
        <v>190</v>
      </c>
      <c r="AG231" s="452">
        <v>0</v>
      </c>
      <c r="AH231" s="409">
        <v>0</v>
      </c>
      <c r="AI231" s="409">
        <v>0</v>
      </c>
      <c r="AJ231" s="409">
        <v>0</v>
      </c>
      <c r="AK231" s="409">
        <v>0</v>
      </c>
      <c r="AL231" s="409">
        <v>0</v>
      </c>
      <c r="AM231" s="453">
        <f t="shared" si="78"/>
        <v>380</v>
      </c>
      <c r="AN231" s="452">
        <v>0</v>
      </c>
      <c r="AO231" s="452">
        <v>0</v>
      </c>
      <c r="AP231" s="452">
        <v>0</v>
      </c>
      <c r="AQ231" s="452">
        <v>0</v>
      </c>
      <c r="AR231" s="452">
        <v>0</v>
      </c>
      <c r="AS231" s="452">
        <v>0</v>
      </c>
      <c r="AT231" s="452">
        <v>0</v>
      </c>
      <c r="AU231" s="409">
        <v>0</v>
      </c>
      <c r="AV231" s="409">
        <v>0</v>
      </c>
      <c r="AW231" s="409">
        <v>0</v>
      </c>
      <c r="AX231" s="409">
        <v>0</v>
      </c>
      <c r="AY231" s="409">
        <v>0</v>
      </c>
      <c r="AZ231" s="453">
        <f t="shared" si="79"/>
        <v>0</v>
      </c>
      <c r="BA231" s="452">
        <v>0</v>
      </c>
      <c r="BB231" s="452">
        <v>0</v>
      </c>
      <c r="BC231" s="452">
        <v>0</v>
      </c>
      <c r="BD231" s="452">
        <v>0</v>
      </c>
      <c r="BE231" s="452">
        <v>0</v>
      </c>
      <c r="BF231" s="452">
        <v>0</v>
      </c>
      <c r="BG231" s="452">
        <v>0</v>
      </c>
      <c r="BH231" s="409">
        <v>0</v>
      </c>
      <c r="BI231" s="409">
        <v>0</v>
      </c>
      <c r="BJ231" s="409">
        <v>0</v>
      </c>
      <c r="BK231" s="409">
        <v>0</v>
      </c>
      <c r="BL231" s="409">
        <v>0</v>
      </c>
      <c r="BM231" s="453">
        <f t="shared" si="80"/>
        <v>0</v>
      </c>
      <c r="BN231" s="452">
        <v>0</v>
      </c>
      <c r="BO231" s="452">
        <v>0</v>
      </c>
      <c r="BP231" s="452">
        <v>0</v>
      </c>
      <c r="BQ231" s="452">
        <v>0</v>
      </c>
      <c r="BR231" s="452">
        <v>0</v>
      </c>
      <c r="BS231" s="452">
        <v>0</v>
      </c>
      <c r="BT231" s="452">
        <v>0</v>
      </c>
      <c r="BU231" s="409">
        <v>0</v>
      </c>
      <c r="BV231" s="409">
        <v>0</v>
      </c>
      <c r="BW231" s="409">
        <v>0</v>
      </c>
      <c r="BX231" s="409">
        <v>0</v>
      </c>
      <c r="BY231" s="409">
        <v>0</v>
      </c>
      <c r="BZ231" s="453">
        <f t="shared" si="81"/>
        <v>0</v>
      </c>
      <c r="CA231" s="454">
        <f t="shared" si="82"/>
        <v>380</v>
      </c>
      <c r="CB231" s="411"/>
      <c r="CC231" s="411"/>
      <c r="CD231" s="411"/>
      <c r="CE231" s="411"/>
      <c r="CF231" s="411"/>
      <c r="CG231" s="412"/>
      <c r="CH231" s="413"/>
      <c r="CI231" s="414" t="s">
        <v>1621</v>
      </c>
      <c r="CJ231" s="415">
        <v>0</v>
      </c>
      <c r="CK231" s="415">
        <v>0</v>
      </c>
      <c r="CL231" s="415">
        <v>0</v>
      </c>
      <c r="CM231" s="415">
        <v>0</v>
      </c>
      <c r="CN231" s="415">
        <v>0</v>
      </c>
      <c r="CO231" s="415">
        <v>0</v>
      </c>
      <c r="CP231" s="415">
        <v>0</v>
      </c>
      <c r="CQ231" s="415">
        <v>0</v>
      </c>
      <c r="CR231" s="415">
        <v>0</v>
      </c>
      <c r="CS231" s="415">
        <v>0</v>
      </c>
      <c r="CT231" s="415">
        <v>0</v>
      </c>
      <c r="CU231" s="415">
        <v>0</v>
      </c>
      <c r="CV231" s="410">
        <f t="shared" si="92"/>
        <v>0</v>
      </c>
      <c r="CW231" s="415">
        <v>0</v>
      </c>
      <c r="CX231" s="415">
        <v>0</v>
      </c>
      <c r="CY231" s="415">
        <v>0</v>
      </c>
      <c r="CZ231" s="415">
        <v>0</v>
      </c>
      <c r="DA231" s="415">
        <v>0</v>
      </c>
      <c r="DB231" s="415">
        <v>1</v>
      </c>
      <c r="DC231" s="415">
        <v>0</v>
      </c>
      <c r="DD231" s="415">
        <v>0</v>
      </c>
      <c r="DE231" s="415">
        <v>0</v>
      </c>
      <c r="DF231" s="415">
        <v>0</v>
      </c>
      <c r="DG231" s="415">
        <v>0</v>
      </c>
      <c r="DH231" s="415">
        <v>0</v>
      </c>
      <c r="DI231" s="410">
        <f t="shared" si="93"/>
        <v>1</v>
      </c>
      <c r="DJ231" s="415">
        <v>0</v>
      </c>
      <c r="DK231" s="415">
        <v>0</v>
      </c>
      <c r="DL231" s="415">
        <v>0</v>
      </c>
      <c r="DM231" s="415">
        <v>0</v>
      </c>
      <c r="DN231" s="415">
        <v>0</v>
      </c>
      <c r="DO231" s="415">
        <v>0</v>
      </c>
      <c r="DP231" s="415">
        <v>0</v>
      </c>
      <c r="DQ231" s="415">
        <v>0</v>
      </c>
      <c r="DR231" s="415">
        <v>0</v>
      </c>
      <c r="DS231" s="415">
        <v>0</v>
      </c>
      <c r="DT231" s="415">
        <v>0</v>
      </c>
      <c r="DU231" s="415">
        <v>0</v>
      </c>
      <c r="DV231" s="410">
        <f t="shared" si="94"/>
        <v>0</v>
      </c>
      <c r="DW231" s="415">
        <v>0</v>
      </c>
      <c r="DX231" s="415">
        <v>0</v>
      </c>
      <c r="DY231" s="415">
        <v>0</v>
      </c>
      <c r="DZ231" s="415">
        <v>0</v>
      </c>
      <c r="EA231" s="415">
        <v>0</v>
      </c>
      <c r="EB231" s="415">
        <v>0</v>
      </c>
      <c r="EC231" s="415">
        <v>0</v>
      </c>
      <c r="ED231" s="415">
        <v>0</v>
      </c>
      <c r="EE231" s="415">
        <v>0</v>
      </c>
      <c r="EF231" s="415">
        <v>0</v>
      </c>
      <c r="EG231" s="415">
        <v>0</v>
      </c>
      <c r="EH231" s="415">
        <v>0</v>
      </c>
      <c r="EI231" s="410">
        <f t="shared" si="95"/>
        <v>0</v>
      </c>
      <c r="EJ231" s="415">
        <v>0</v>
      </c>
      <c r="EK231" s="415">
        <v>0</v>
      </c>
      <c r="EL231" s="415">
        <v>0</v>
      </c>
      <c r="EM231" s="415">
        <v>0</v>
      </c>
      <c r="EN231" s="415">
        <v>0</v>
      </c>
      <c r="EO231" s="415">
        <v>0</v>
      </c>
      <c r="EP231" s="415">
        <v>0</v>
      </c>
      <c r="EQ231" s="415">
        <v>0</v>
      </c>
      <c r="ER231" s="415">
        <v>0</v>
      </c>
      <c r="ES231" s="415">
        <v>0</v>
      </c>
      <c r="ET231" s="415">
        <v>0</v>
      </c>
      <c r="EU231" s="415">
        <v>0</v>
      </c>
      <c r="EV231" s="410">
        <f t="shared" si="96"/>
        <v>0</v>
      </c>
      <c r="EW231" s="416">
        <f t="shared" si="97"/>
        <v>1</v>
      </c>
      <c r="EX231" s="417">
        <f>IFERROR(VLOOKUP(H231,CEI_012018!$A$1:$U$509,9,FALSE),0)</f>
        <v>0</v>
      </c>
      <c r="EY231" s="417">
        <f>IFERROR(VLOOKUP(H231,CEI_022018!$A$1:$U$509,9,FALSE),0)</f>
        <v>0</v>
      </c>
      <c r="EZ231" s="417">
        <f>IFERROR(VLOOKUP(H231,CEI_032018!$A$1:$U$509,9,FALSE),0)</f>
        <v>0</v>
      </c>
      <c r="FA231" s="417">
        <f>IFERROR(VLOOKUP(H231,CEI_042018!$A$1:$U$491,9,FALSE),0)</f>
        <v>0</v>
      </c>
      <c r="FB231" s="417">
        <f>IFERROR(VLOOKUP(H231,CEI_052018!$A$1:$U$489,9,FALSE),0)</f>
        <v>0</v>
      </c>
      <c r="FC231" s="417">
        <f>IFERROR(VLOOKUP(H231,CEI_062018!$A$1:$U$489,9,FALSE),0)</f>
        <v>0</v>
      </c>
      <c r="FD231" s="417">
        <f>IFERROR(VLOOKUP(H231,CEI_072018!$A$1:$U$489,9,FALSE),0)</f>
        <v>0</v>
      </c>
      <c r="FE231" s="417">
        <f>IFERROR(VLOOKUP(H231,CEI_082018!$A$1:$U$489,9,FALSE),0)</f>
        <v>0</v>
      </c>
      <c r="FF231" s="417">
        <f>IFERROR(VLOOKUP(H231,CEI_092018!$A$1:$U$489,9,FALSE),0)</f>
        <v>0</v>
      </c>
      <c r="FG231" s="417"/>
      <c r="FH231" s="417"/>
      <c r="FI231" s="417"/>
      <c r="FJ231" s="418">
        <f>IFERROR(VLOOKUP(H231,CEI_092018!$A$1:$U$489,12,FALSE),0)</f>
        <v>0</v>
      </c>
      <c r="FK231" s="418">
        <f t="shared" si="70"/>
        <v>0</v>
      </c>
      <c r="FL231" s="418">
        <f t="shared" si="71"/>
        <v>0</v>
      </c>
      <c r="FM231" s="417"/>
      <c r="FN231" s="417"/>
      <c r="FO231" s="417"/>
      <c r="FP231" s="417"/>
      <c r="FQ231" s="417"/>
      <c r="FR231" s="417"/>
      <c r="FS231" s="417"/>
      <c r="FT231" s="417"/>
      <c r="FU231" s="417"/>
      <c r="FV231" s="417"/>
      <c r="FW231" s="417"/>
      <c r="FX231" s="417"/>
      <c r="FY231" s="418"/>
      <c r="FZ231" s="418"/>
      <c r="GA231" s="418"/>
      <c r="GB231" s="417"/>
      <c r="GC231" s="417"/>
      <c r="GD231" s="417"/>
      <c r="GE231" s="417"/>
      <c r="GF231" s="417"/>
      <c r="GG231" s="417"/>
      <c r="GH231" s="417"/>
      <c r="GI231" s="417"/>
      <c r="GJ231" s="417"/>
      <c r="GK231" s="417"/>
      <c r="GL231" s="417"/>
      <c r="GM231" s="417"/>
      <c r="GN231" s="418"/>
      <c r="GO231" s="418"/>
      <c r="GP231" s="418"/>
      <c r="GQ231" s="417"/>
      <c r="GR231" s="417"/>
      <c r="GS231" s="417"/>
      <c r="GT231" s="417"/>
      <c r="GU231" s="417"/>
      <c r="GV231" s="417"/>
      <c r="GW231" s="417"/>
      <c r="GX231" s="417"/>
      <c r="GY231" s="417"/>
      <c r="GZ231" s="417"/>
      <c r="HA231" s="417"/>
      <c r="HB231" s="417"/>
      <c r="HC231" s="418"/>
      <c r="HD231" s="418"/>
      <c r="HE231" s="418"/>
      <c r="HF231" s="417"/>
      <c r="HG231" s="417"/>
      <c r="HH231" s="417"/>
      <c r="HI231" s="417"/>
      <c r="HJ231" s="417"/>
      <c r="HK231" s="417"/>
      <c r="HL231" s="417"/>
      <c r="HM231" s="417"/>
      <c r="HN231" s="417"/>
      <c r="HO231" s="417"/>
      <c r="HP231" s="417"/>
      <c r="HQ231" s="417"/>
      <c r="HR231" s="418"/>
      <c r="HS231" s="418"/>
      <c r="HT231" s="418"/>
    </row>
    <row r="232" spans="1:228" s="387" customFormat="1" ht="12.75" customHeight="1" x14ac:dyDescent="0.2">
      <c r="A232" s="406" t="s">
        <v>55</v>
      </c>
      <c r="B232" s="407" t="s">
        <v>42</v>
      </c>
      <c r="C232" s="406" t="s">
        <v>1000</v>
      </c>
      <c r="D232" s="407" t="s">
        <v>1004</v>
      </c>
      <c r="E232" s="407" t="s">
        <v>1586</v>
      </c>
      <c r="F232" s="444" t="s">
        <v>1761</v>
      </c>
      <c r="G232" s="406" t="s">
        <v>54</v>
      </c>
      <c r="H232" s="408" t="s">
        <v>520</v>
      </c>
      <c r="I232" s="408"/>
      <c r="J232" s="406" t="s">
        <v>1882</v>
      </c>
      <c r="K232" s="406"/>
      <c r="L232" s="406"/>
      <c r="M232" s="406"/>
      <c r="N232" s="452">
        <v>0</v>
      </c>
      <c r="O232" s="452">
        <v>0</v>
      </c>
      <c r="P232" s="452">
        <v>0</v>
      </c>
      <c r="Q232" s="452">
        <v>0</v>
      </c>
      <c r="R232" s="452">
        <v>0</v>
      </c>
      <c r="S232" s="452">
        <v>0</v>
      </c>
      <c r="T232" s="452">
        <v>0</v>
      </c>
      <c r="U232" s="409">
        <v>0</v>
      </c>
      <c r="V232" s="409">
        <v>0</v>
      </c>
      <c r="W232" s="409">
        <v>0</v>
      </c>
      <c r="X232" s="409">
        <v>0</v>
      </c>
      <c r="Y232" s="409">
        <v>120</v>
      </c>
      <c r="Z232" s="453">
        <f t="shared" si="83"/>
        <v>120</v>
      </c>
      <c r="AA232" s="452">
        <v>0</v>
      </c>
      <c r="AB232" s="452">
        <v>0</v>
      </c>
      <c r="AC232" s="452">
        <v>0</v>
      </c>
      <c r="AD232" s="452">
        <v>0</v>
      </c>
      <c r="AE232" s="452">
        <v>0</v>
      </c>
      <c r="AF232" s="452">
        <v>0</v>
      </c>
      <c r="AG232" s="452">
        <v>0</v>
      </c>
      <c r="AH232" s="409">
        <v>0</v>
      </c>
      <c r="AI232" s="409">
        <v>0</v>
      </c>
      <c r="AJ232" s="409">
        <v>0</v>
      </c>
      <c r="AK232" s="409">
        <v>0</v>
      </c>
      <c r="AL232" s="409">
        <v>0</v>
      </c>
      <c r="AM232" s="453">
        <f t="shared" si="78"/>
        <v>0</v>
      </c>
      <c r="AN232" s="452">
        <v>0</v>
      </c>
      <c r="AO232" s="452">
        <v>0</v>
      </c>
      <c r="AP232" s="452">
        <v>0</v>
      </c>
      <c r="AQ232" s="452">
        <v>0</v>
      </c>
      <c r="AR232" s="452">
        <v>0</v>
      </c>
      <c r="AS232" s="452">
        <v>0</v>
      </c>
      <c r="AT232" s="452">
        <v>0</v>
      </c>
      <c r="AU232" s="409">
        <v>0</v>
      </c>
      <c r="AV232" s="409">
        <v>0</v>
      </c>
      <c r="AW232" s="409">
        <v>0</v>
      </c>
      <c r="AX232" s="409">
        <v>0</v>
      </c>
      <c r="AY232" s="409">
        <v>0</v>
      </c>
      <c r="AZ232" s="453">
        <f t="shared" si="79"/>
        <v>0</v>
      </c>
      <c r="BA232" s="452"/>
      <c r="BB232" s="452"/>
      <c r="BC232" s="452"/>
      <c r="BD232" s="452"/>
      <c r="BE232" s="452"/>
      <c r="BF232" s="452"/>
      <c r="BG232" s="452"/>
      <c r="BH232" s="409"/>
      <c r="BI232" s="409"/>
      <c r="BJ232" s="409"/>
      <c r="BK232" s="409"/>
      <c r="BL232" s="409"/>
      <c r="BM232" s="453">
        <f t="shared" si="80"/>
        <v>0</v>
      </c>
      <c r="BN232" s="452"/>
      <c r="BO232" s="452"/>
      <c r="BP232" s="452"/>
      <c r="BQ232" s="452"/>
      <c r="BR232" s="452"/>
      <c r="BS232" s="452"/>
      <c r="BT232" s="452"/>
      <c r="BU232" s="409"/>
      <c r="BV232" s="409"/>
      <c r="BW232" s="409"/>
      <c r="BX232" s="409"/>
      <c r="BY232" s="409"/>
      <c r="BZ232" s="453">
        <f t="shared" si="81"/>
        <v>0</v>
      </c>
      <c r="CA232" s="454">
        <f t="shared" si="82"/>
        <v>120</v>
      </c>
      <c r="CB232" s="427"/>
      <c r="CC232" s="427">
        <v>-1</v>
      </c>
      <c r="CD232" s="427">
        <v>-1</v>
      </c>
      <c r="CE232" s="427">
        <v>-1</v>
      </c>
      <c r="CF232" s="427">
        <v>-1</v>
      </c>
      <c r="CG232" s="420">
        <f>IFERROR((FE232/Z232%),0)</f>
        <v>0</v>
      </c>
      <c r="CH232" s="421">
        <f>IFERROR((FK232/Z232%),0)</f>
        <v>0</v>
      </c>
      <c r="CI232" s="414"/>
      <c r="CJ232" s="415"/>
      <c r="CK232" s="415"/>
      <c r="CL232" s="415"/>
      <c r="CM232" s="415"/>
      <c r="CN232" s="415"/>
      <c r="CO232" s="415"/>
      <c r="CP232" s="415"/>
      <c r="CQ232" s="415"/>
      <c r="CR232" s="415"/>
      <c r="CS232" s="415"/>
      <c r="CT232" s="415"/>
      <c r="CU232" s="415"/>
      <c r="CV232" s="410">
        <f t="shared" si="92"/>
        <v>0</v>
      </c>
      <c r="CW232" s="415"/>
      <c r="CX232" s="415"/>
      <c r="CY232" s="415"/>
      <c r="CZ232" s="415"/>
      <c r="DA232" s="415"/>
      <c r="DB232" s="415"/>
      <c r="DC232" s="415"/>
      <c r="DD232" s="415"/>
      <c r="DE232" s="415"/>
      <c r="DF232" s="415"/>
      <c r="DG232" s="415"/>
      <c r="DH232" s="415"/>
      <c r="DI232" s="410">
        <f t="shared" si="93"/>
        <v>0</v>
      </c>
      <c r="DJ232" s="415"/>
      <c r="DK232" s="415"/>
      <c r="DL232" s="415"/>
      <c r="DM232" s="415"/>
      <c r="DN232" s="415"/>
      <c r="DO232" s="415"/>
      <c r="DP232" s="415"/>
      <c r="DQ232" s="415"/>
      <c r="DR232" s="415"/>
      <c r="DS232" s="415"/>
      <c r="DT232" s="415"/>
      <c r="DU232" s="415"/>
      <c r="DV232" s="410">
        <f t="shared" si="94"/>
        <v>0</v>
      </c>
      <c r="DW232" s="415"/>
      <c r="DX232" s="415"/>
      <c r="DY232" s="415"/>
      <c r="DZ232" s="415"/>
      <c r="EA232" s="415"/>
      <c r="EB232" s="415"/>
      <c r="EC232" s="415"/>
      <c r="ED232" s="415"/>
      <c r="EE232" s="415"/>
      <c r="EF232" s="415"/>
      <c r="EG232" s="415"/>
      <c r="EH232" s="415"/>
      <c r="EI232" s="410">
        <f t="shared" si="95"/>
        <v>0</v>
      </c>
      <c r="EJ232" s="415"/>
      <c r="EK232" s="415"/>
      <c r="EL232" s="415"/>
      <c r="EM232" s="415"/>
      <c r="EN232" s="415"/>
      <c r="EO232" s="415"/>
      <c r="EP232" s="415"/>
      <c r="EQ232" s="415"/>
      <c r="ER232" s="415"/>
      <c r="ES232" s="415"/>
      <c r="ET232" s="415"/>
      <c r="EU232" s="415"/>
      <c r="EV232" s="410">
        <f t="shared" si="96"/>
        <v>0</v>
      </c>
      <c r="EW232" s="416">
        <f t="shared" si="97"/>
        <v>0</v>
      </c>
      <c r="EX232" s="417">
        <f>IFERROR(VLOOKUP(H232,CEI_012018!$A$1:$U$509,9,FALSE),0)</f>
        <v>0</v>
      </c>
      <c r="EY232" s="417">
        <f>IFERROR(VLOOKUP(H232,CEI_022018!$A$1:$U$509,9,FALSE),0)</f>
        <v>0</v>
      </c>
      <c r="EZ232" s="417">
        <f>IFERROR(VLOOKUP(H232,CEI_032018!$A$1:$U$509,9,FALSE),0)</f>
        <v>0</v>
      </c>
      <c r="FA232" s="417">
        <f>IFERROR(VLOOKUP(H232,CEI_042018!$A$1:$U$491,9,FALSE),0)</f>
        <v>0</v>
      </c>
      <c r="FB232" s="417">
        <f>IFERROR(VLOOKUP(H232,CEI_052018!$A$1:$U$489,9,FALSE),0)</f>
        <v>0</v>
      </c>
      <c r="FC232" s="417">
        <f>IFERROR(VLOOKUP(H232,CEI_062018!$A$1:$U$489,9,FALSE),0)</f>
        <v>0</v>
      </c>
      <c r="FD232" s="417">
        <f>IFERROR(VLOOKUP(H232,CEI_072018!$A$1:$U$489,9,FALSE),0)</f>
        <v>0</v>
      </c>
      <c r="FE232" s="417">
        <f>IFERROR(VLOOKUP(H232,CEI_082018!$A$1:$U$489,9,FALSE),0)</f>
        <v>0</v>
      </c>
      <c r="FF232" s="417">
        <f>IFERROR(VLOOKUP(H232,CEI_092018!$A$1:$U$489,9,FALSE),0)</f>
        <v>0</v>
      </c>
      <c r="FG232" s="417"/>
      <c r="FH232" s="417"/>
      <c r="FI232" s="417"/>
      <c r="FJ232" s="418">
        <f>IFERROR(VLOOKUP(H232,CEI_092018!$A$1:$U$489,12,FALSE),0)</f>
        <v>0</v>
      </c>
      <c r="FK232" s="418">
        <f t="shared" si="70"/>
        <v>0</v>
      </c>
      <c r="FL232" s="418">
        <f t="shared" si="71"/>
        <v>120</v>
      </c>
      <c r="FM232" s="417"/>
      <c r="FN232" s="417"/>
      <c r="FO232" s="417"/>
      <c r="FP232" s="417"/>
      <c r="FQ232" s="417"/>
      <c r="FR232" s="417"/>
      <c r="FS232" s="417"/>
      <c r="FT232" s="417"/>
      <c r="FU232" s="417"/>
      <c r="FV232" s="417"/>
      <c r="FW232" s="417"/>
      <c r="FX232" s="417"/>
      <c r="FY232" s="418"/>
      <c r="FZ232" s="418"/>
      <c r="GA232" s="418"/>
      <c r="GB232" s="417"/>
      <c r="GC232" s="417"/>
      <c r="GD232" s="417"/>
      <c r="GE232" s="417"/>
      <c r="GF232" s="417"/>
      <c r="GG232" s="417"/>
      <c r="GH232" s="417"/>
      <c r="GI232" s="417"/>
      <c r="GJ232" s="417"/>
      <c r="GK232" s="417"/>
      <c r="GL232" s="417"/>
      <c r="GM232" s="417"/>
      <c r="GN232" s="418"/>
      <c r="GO232" s="418"/>
      <c r="GP232" s="418"/>
      <c r="GQ232" s="417"/>
      <c r="GR232" s="417"/>
      <c r="GS232" s="417"/>
      <c r="GT232" s="417"/>
      <c r="GU232" s="417"/>
      <c r="GV232" s="417"/>
      <c r="GW232" s="417"/>
      <c r="GX232" s="417"/>
      <c r="GY232" s="417"/>
      <c r="GZ232" s="417"/>
      <c r="HA232" s="417"/>
      <c r="HB232" s="417"/>
      <c r="HC232" s="418"/>
      <c r="HD232" s="418"/>
      <c r="HE232" s="418"/>
      <c r="HF232" s="417"/>
      <c r="HG232" s="417"/>
      <c r="HH232" s="417"/>
      <c r="HI232" s="417"/>
      <c r="HJ232" s="417"/>
      <c r="HK232" s="417"/>
      <c r="HL232" s="417"/>
      <c r="HM232" s="417"/>
      <c r="HN232" s="417"/>
      <c r="HO232" s="417"/>
      <c r="HP232" s="417"/>
      <c r="HQ232" s="417"/>
      <c r="HR232" s="418"/>
      <c r="HS232" s="418"/>
      <c r="HT232" s="418"/>
    </row>
    <row r="233" spans="1:228" s="387" customFormat="1" ht="12.75" customHeight="1" x14ac:dyDescent="0.2">
      <c r="A233" s="406" t="s">
        <v>55</v>
      </c>
      <c r="B233" s="407" t="s">
        <v>42</v>
      </c>
      <c r="C233" s="406" t="s">
        <v>1000</v>
      </c>
      <c r="D233" s="407" t="s">
        <v>1004</v>
      </c>
      <c r="E233" s="407" t="s">
        <v>1000</v>
      </c>
      <c r="F233" s="407" t="s">
        <v>1004</v>
      </c>
      <c r="G233" s="406" t="s">
        <v>54</v>
      </c>
      <c r="H233" s="408" t="s">
        <v>1524</v>
      </c>
      <c r="I233" s="408" t="s">
        <v>1526</v>
      </c>
      <c r="J233" s="406" t="s">
        <v>363</v>
      </c>
      <c r="K233" s="406" t="s">
        <v>364</v>
      </c>
      <c r="L233" s="406" t="s">
        <v>365</v>
      </c>
      <c r="M233" s="406" t="s">
        <v>1775</v>
      </c>
      <c r="N233" s="452">
        <v>0</v>
      </c>
      <c r="O233" s="452">
        <v>0</v>
      </c>
      <c r="P233" s="452">
        <v>0</v>
      </c>
      <c r="Q233" s="452">
        <v>0</v>
      </c>
      <c r="R233" s="452">
        <v>0</v>
      </c>
      <c r="S233" s="452">
        <v>0</v>
      </c>
      <c r="T233" s="452">
        <v>0</v>
      </c>
      <c r="U233" s="409">
        <v>0</v>
      </c>
      <c r="V233" s="409">
        <v>420.45</v>
      </c>
      <c r="W233" s="409">
        <v>0</v>
      </c>
      <c r="X233" s="409">
        <v>0</v>
      </c>
      <c r="Y233" s="409">
        <v>0</v>
      </c>
      <c r="Z233" s="453">
        <f t="shared" si="83"/>
        <v>420.45</v>
      </c>
      <c r="AA233" s="452">
        <v>0</v>
      </c>
      <c r="AB233" s="452">
        <v>0</v>
      </c>
      <c r="AC233" s="452">
        <v>0</v>
      </c>
      <c r="AD233" s="452">
        <v>0</v>
      </c>
      <c r="AE233" s="452">
        <v>0</v>
      </c>
      <c r="AF233" s="452">
        <v>0</v>
      </c>
      <c r="AG233" s="452">
        <v>0</v>
      </c>
      <c r="AH233" s="409">
        <v>0</v>
      </c>
      <c r="AI233" s="409">
        <v>0</v>
      </c>
      <c r="AJ233" s="409">
        <v>0</v>
      </c>
      <c r="AK233" s="409">
        <v>0</v>
      </c>
      <c r="AL233" s="409">
        <v>0</v>
      </c>
      <c r="AM233" s="453">
        <f t="shared" si="78"/>
        <v>0</v>
      </c>
      <c r="AN233" s="452">
        <v>0</v>
      </c>
      <c r="AO233" s="452">
        <v>0</v>
      </c>
      <c r="AP233" s="452">
        <v>0</v>
      </c>
      <c r="AQ233" s="452">
        <v>0</v>
      </c>
      <c r="AR233" s="452">
        <v>0</v>
      </c>
      <c r="AS233" s="452">
        <v>0</v>
      </c>
      <c r="AT233" s="452">
        <v>0</v>
      </c>
      <c r="AU233" s="409">
        <v>0</v>
      </c>
      <c r="AV233" s="409">
        <v>0</v>
      </c>
      <c r="AW233" s="409">
        <v>517</v>
      </c>
      <c r="AX233" s="409">
        <v>0</v>
      </c>
      <c r="AY233" s="409">
        <v>0</v>
      </c>
      <c r="AZ233" s="453">
        <f t="shared" si="79"/>
        <v>517</v>
      </c>
      <c r="BA233" s="452">
        <v>0</v>
      </c>
      <c r="BB233" s="452">
        <v>0</v>
      </c>
      <c r="BC233" s="452">
        <v>0</v>
      </c>
      <c r="BD233" s="452">
        <v>0</v>
      </c>
      <c r="BE233" s="452">
        <v>0</v>
      </c>
      <c r="BF233" s="452">
        <v>0</v>
      </c>
      <c r="BG233" s="452">
        <v>0</v>
      </c>
      <c r="BH233" s="409">
        <v>0</v>
      </c>
      <c r="BI233" s="409">
        <v>0</v>
      </c>
      <c r="BJ233" s="409">
        <v>0</v>
      </c>
      <c r="BK233" s="409">
        <v>0</v>
      </c>
      <c r="BL233" s="409">
        <v>0</v>
      </c>
      <c r="BM233" s="453">
        <f t="shared" si="80"/>
        <v>0</v>
      </c>
      <c r="BN233" s="452">
        <v>0</v>
      </c>
      <c r="BO233" s="452">
        <v>0</v>
      </c>
      <c r="BP233" s="452">
        <v>0</v>
      </c>
      <c r="BQ233" s="452">
        <v>0</v>
      </c>
      <c r="BR233" s="452">
        <v>0</v>
      </c>
      <c r="BS233" s="452">
        <v>0</v>
      </c>
      <c r="BT233" s="452">
        <v>0</v>
      </c>
      <c r="BU233" s="409">
        <v>0</v>
      </c>
      <c r="BV233" s="409">
        <v>0</v>
      </c>
      <c r="BW233" s="409">
        <v>0</v>
      </c>
      <c r="BX233" s="409">
        <v>500</v>
      </c>
      <c r="BY233" s="409">
        <v>0</v>
      </c>
      <c r="BZ233" s="453">
        <f t="shared" si="81"/>
        <v>500</v>
      </c>
      <c r="CA233" s="454">
        <f t="shared" si="82"/>
        <v>1437.45</v>
      </c>
      <c r="CB233" s="419"/>
      <c r="CC233" s="419">
        <v>1</v>
      </c>
      <c r="CD233" s="419">
        <v>1</v>
      </c>
      <c r="CE233" s="419">
        <v>1</v>
      </c>
      <c r="CF233" s="419">
        <v>1</v>
      </c>
      <c r="CG233" s="420">
        <f>IFERROR((FE233/Z233%),0)</f>
        <v>0</v>
      </c>
      <c r="CH233" s="421">
        <f>IFERROR((FK233/Z233%),0)</f>
        <v>99.99961821272224</v>
      </c>
      <c r="CI233" s="414" t="s">
        <v>1623</v>
      </c>
      <c r="CJ233" s="415">
        <v>0</v>
      </c>
      <c r="CK233" s="415">
        <v>0</v>
      </c>
      <c r="CL233" s="415">
        <v>0</v>
      </c>
      <c r="CM233" s="415">
        <v>0</v>
      </c>
      <c r="CN233" s="415">
        <v>0</v>
      </c>
      <c r="CO233" s="415">
        <v>0</v>
      </c>
      <c r="CP233" s="415">
        <v>0</v>
      </c>
      <c r="CQ233" s="415">
        <v>0</v>
      </c>
      <c r="CR233" s="415">
        <v>0</v>
      </c>
      <c r="CS233" s="415">
        <v>1</v>
      </c>
      <c r="CT233" s="415">
        <v>0</v>
      </c>
      <c r="CU233" s="415">
        <v>0</v>
      </c>
      <c r="CV233" s="410">
        <f t="shared" si="92"/>
        <v>1</v>
      </c>
      <c r="CW233" s="415">
        <v>0</v>
      </c>
      <c r="CX233" s="415">
        <v>0</v>
      </c>
      <c r="CY233" s="415">
        <v>0</v>
      </c>
      <c r="CZ233" s="415">
        <v>0</v>
      </c>
      <c r="DA233" s="415">
        <v>0</v>
      </c>
      <c r="DB233" s="415">
        <v>0</v>
      </c>
      <c r="DC233" s="415">
        <v>0</v>
      </c>
      <c r="DD233" s="415">
        <v>0</v>
      </c>
      <c r="DE233" s="415">
        <v>0</v>
      </c>
      <c r="DF233" s="415">
        <v>0</v>
      </c>
      <c r="DG233" s="415">
        <v>0</v>
      </c>
      <c r="DH233" s="415">
        <v>0</v>
      </c>
      <c r="DI233" s="410">
        <f t="shared" si="93"/>
        <v>0</v>
      </c>
      <c r="DJ233" s="415">
        <v>0</v>
      </c>
      <c r="DK233" s="415">
        <v>0</v>
      </c>
      <c r="DL233" s="415">
        <v>0</v>
      </c>
      <c r="DM233" s="415">
        <v>0</v>
      </c>
      <c r="DN233" s="415">
        <v>0</v>
      </c>
      <c r="DO233" s="415">
        <v>0</v>
      </c>
      <c r="DP233" s="415">
        <v>0</v>
      </c>
      <c r="DQ233" s="415">
        <v>0</v>
      </c>
      <c r="DR233" s="415">
        <v>0</v>
      </c>
      <c r="DS233" s="415">
        <v>1</v>
      </c>
      <c r="DT233" s="415">
        <v>0</v>
      </c>
      <c r="DU233" s="415">
        <v>0</v>
      </c>
      <c r="DV233" s="410">
        <f t="shared" si="94"/>
        <v>1</v>
      </c>
      <c r="DW233" s="415">
        <v>0</v>
      </c>
      <c r="DX233" s="415">
        <v>0</v>
      </c>
      <c r="DY233" s="415">
        <v>0</v>
      </c>
      <c r="DZ233" s="415">
        <v>0</v>
      </c>
      <c r="EA233" s="415">
        <v>0</v>
      </c>
      <c r="EB233" s="415">
        <v>0</v>
      </c>
      <c r="EC233" s="415">
        <v>0</v>
      </c>
      <c r="ED233" s="415">
        <v>0</v>
      </c>
      <c r="EE233" s="415">
        <v>0</v>
      </c>
      <c r="EF233" s="415">
        <v>0</v>
      </c>
      <c r="EG233" s="415">
        <v>0</v>
      </c>
      <c r="EH233" s="415">
        <v>0</v>
      </c>
      <c r="EI233" s="410">
        <f t="shared" si="95"/>
        <v>0</v>
      </c>
      <c r="EJ233" s="415">
        <v>0</v>
      </c>
      <c r="EK233" s="415">
        <v>0</v>
      </c>
      <c r="EL233" s="415">
        <v>0</v>
      </c>
      <c r="EM233" s="415">
        <v>0</v>
      </c>
      <c r="EN233" s="415">
        <v>0</v>
      </c>
      <c r="EO233" s="415">
        <v>0</v>
      </c>
      <c r="EP233" s="415">
        <v>0</v>
      </c>
      <c r="EQ233" s="415">
        <v>0</v>
      </c>
      <c r="ER233" s="415">
        <v>0</v>
      </c>
      <c r="ES233" s="415">
        <v>1</v>
      </c>
      <c r="ET233" s="415">
        <v>0</v>
      </c>
      <c r="EU233" s="415">
        <v>0</v>
      </c>
      <c r="EV233" s="410">
        <f t="shared" si="96"/>
        <v>1</v>
      </c>
      <c r="EW233" s="416">
        <f t="shared" si="97"/>
        <v>3</v>
      </c>
      <c r="EX233" s="417">
        <f>IFERROR(VLOOKUP(H233,CEI_012018!$A$1:$U$509,9,FALSE),0)</f>
        <v>0</v>
      </c>
      <c r="EY233" s="417">
        <f>IFERROR(VLOOKUP(H233,CEI_022018!$A$1:$U$509,9,FALSE),0)</f>
        <v>0</v>
      </c>
      <c r="EZ233" s="417">
        <f>IFERROR(VLOOKUP(H233,CEI_032018!$A$1:$U$509,9,FALSE),0)</f>
        <v>0</v>
      </c>
      <c r="FA233" s="417">
        <f>IFERROR(VLOOKUP(H233,CEI_042018!$A$1:$U$491,9,FALSE),0)</f>
        <v>0</v>
      </c>
      <c r="FB233" s="417">
        <f>IFERROR(VLOOKUP(H233,CEI_052018!$A$1:$U$489,9,FALSE),0)</f>
        <v>0</v>
      </c>
      <c r="FC233" s="417">
        <f>IFERROR(VLOOKUP(H233,CEI_062018!$A$1:$U$489,9,FALSE),0)</f>
        <v>0</v>
      </c>
      <c r="FD233" s="417">
        <f>IFERROR(VLOOKUP(H233,CEI_072018!$A$1:$U$489,9,FALSE),0)</f>
        <v>0</v>
      </c>
      <c r="FE233" s="417">
        <f>IFERROR(VLOOKUP(H233,CEI_082018!$A$1:$U$489,9,FALSE),0)</f>
        <v>0</v>
      </c>
      <c r="FF233" s="417">
        <f>IFERROR(VLOOKUP(H233,CEI_092018!$A$1:$U$489,9,FALSE),0)</f>
        <v>420.44839477539062</v>
      </c>
      <c r="FG233" s="417"/>
      <c r="FH233" s="417"/>
      <c r="FI233" s="417"/>
      <c r="FJ233" s="418">
        <f>IFERROR(VLOOKUP(H233,CEI_092018!$A$1:$U$489,12,FALSE),0)</f>
        <v>0</v>
      </c>
      <c r="FK233" s="418">
        <f t="shared" ref="FK233:FK296" si="99">FF233+FJ233</f>
        <v>420.44839477539062</v>
      </c>
      <c r="FL233" s="418">
        <f t="shared" ref="FL233:FL296" si="100">SUM(Z233-FK233)</f>
        <v>1.6052246093636313E-3</v>
      </c>
      <c r="FM233" s="417"/>
      <c r="FN233" s="417"/>
      <c r="FO233" s="417"/>
      <c r="FP233" s="417"/>
      <c r="FQ233" s="417"/>
      <c r="FR233" s="417"/>
      <c r="FS233" s="417"/>
      <c r="FT233" s="417"/>
      <c r="FU233" s="417"/>
      <c r="FV233" s="417"/>
      <c r="FW233" s="417"/>
      <c r="FX233" s="417"/>
      <c r="FY233" s="418"/>
      <c r="FZ233" s="418"/>
      <c r="GA233" s="418"/>
      <c r="GB233" s="417"/>
      <c r="GC233" s="417"/>
      <c r="GD233" s="417"/>
      <c r="GE233" s="417"/>
      <c r="GF233" s="417"/>
      <c r="GG233" s="417"/>
      <c r="GH233" s="417"/>
      <c r="GI233" s="417"/>
      <c r="GJ233" s="417"/>
      <c r="GK233" s="417"/>
      <c r="GL233" s="417"/>
      <c r="GM233" s="417"/>
      <c r="GN233" s="418"/>
      <c r="GO233" s="418"/>
      <c r="GP233" s="418"/>
      <c r="GQ233" s="417"/>
      <c r="GR233" s="417"/>
      <c r="GS233" s="417"/>
      <c r="GT233" s="417"/>
      <c r="GU233" s="417"/>
      <c r="GV233" s="417"/>
      <c r="GW233" s="417"/>
      <c r="GX233" s="417"/>
      <c r="GY233" s="417"/>
      <c r="GZ233" s="417"/>
      <c r="HA233" s="417"/>
      <c r="HB233" s="417"/>
      <c r="HC233" s="418"/>
      <c r="HD233" s="418"/>
      <c r="HE233" s="418"/>
      <c r="HF233" s="417"/>
      <c r="HG233" s="417"/>
      <c r="HH233" s="417"/>
      <c r="HI233" s="417"/>
      <c r="HJ233" s="417"/>
      <c r="HK233" s="417"/>
      <c r="HL233" s="417"/>
      <c r="HM233" s="417"/>
      <c r="HN233" s="417"/>
      <c r="HO233" s="417"/>
      <c r="HP233" s="417"/>
      <c r="HQ233" s="417"/>
      <c r="HR233" s="418"/>
      <c r="HS233" s="418"/>
      <c r="HT233" s="418"/>
    </row>
    <row r="234" spans="1:228" s="387" customFormat="1" ht="12.75" customHeight="1" x14ac:dyDescent="0.2">
      <c r="A234" s="406" t="s">
        <v>55</v>
      </c>
      <c r="B234" s="407" t="s">
        <v>42</v>
      </c>
      <c r="C234" s="406" t="s">
        <v>1000</v>
      </c>
      <c r="D234" s="407" t="s">
        <v>1004</v>
      </c>
      <c r="E234" s="407" t="s">
        <v>1000</v>
      </c>
      <c r="F234" s="407" t="s">
        <v>1004</v>
      </c>
      <c r="G234" s="406" t="s">
        <v>54</v>
      </c>
      <c r="H234" s="408" t="s">
        <v>1077</v>
      </c>
      <c r="I234" s="408" t="s">
        <v>1263</v>
      </c>
      <c r="J234" s="406" t="s">
        <v>1637</v>
      </c>
      <c r="K234" s="406" t="s">
        <v>358</v>
      </c>
      <c r="L234" s="406" t="s">
        <v>359</v>
      </c>
      <c r="M234" s="406" t="s">
        <v>1775</v>
      </c>
      <c r="N234" s="452">
        <v>0</v>
      </c>
      <c r="O234" s="452">
        <v>0</v>
      </c>
      <c r="P234" s="452">
        <v>479.32675170898437</v>
      </c>
      <c r="Q234" s="452">
        <v>0</v>
      </c>
      <c r="R234" s="452">
        <v>0</v>
      </c>
      <c r="S234" s="452">
        <v>0</v>
      </c>
      <c r="T234" s="452">
        <v>0</v>
      </c>
      <c r="U234" s="409">
        <v>0</v>
      </c>
      <c r="V234" s="409">
        <v>0</v>
      </c>
      <c r="W234" s="409">
        <v>0</v>
      </c>
      <c r="X234" s="409">
        <v>0</v>
      </c>
      <c r="Y234" s="409">
        <v>0</v>
      </c>
      <c r="Z234" s="453">
        <f t="shared" si="83"/>
        <v>479.32675170898437</v>
      </c>
      <c r="AA234" s="452">
        <v>0</v>
      </c>
      <c r="AB234" s="452">
        <v>603</v>
      </c>
      <c r="AC234" s="452">
        <v>0</v>
      </c>
      <c r="AD234" s="452">
        <v>0</v>
      </c>
      <c r="AE234" s="452">
        <v>0</v>
      </c>
      <c r="AF234" s="452">
        <v>0</v>
      </c>
      <c r="AG234" s="452">
        <v>0</v>
      </c>
      <c r="AH234" s="409">
        <v>0</v>
      </c>
      <c r="AI234" s="409">
        <v>0</v>
      </c>
      <c r="AJ234" s="409">
        <v>0</v>
      </c>
      <c r="AK234" s="409">
        <v>0</v>
      </c>
      <c r="AL234" s="409">
        <v>0</v>
      </c>
      <c r="AM234" s="453">
        <f t="shared" si="78"/>
        <v>603</v>
      </c>
      <c r="AN234" s="452">
        <v>0</v>
      </c>
      <c r="AO234" s="452">
        <v>779</v>
      </c>
      <c r="AP234" s="452">
        <v>0</v>
      </c>
      <c r="AQ234" s="452">
        <v>0</v>
      </c>
      <c r="AR234" s="452">
        <v>0</v>
      </c>
      <c r="AS234" s="452">
        <v>0</v>
      </c>
      <c r="AT234" s="452">
        <v>0</v>
      </c>
      <c r="AU234" s="409">
        <v>0</v>
      </c>
      <c r="AV234" s="409">
        <v>0</v>
      </c>
      <c r="AW234" s="409">
        <v>0</v>
      </c>
      <c r="AX234" s="409">
        <v>0</v>
      </c>
      <c r="AY234" s="409">
        <v>0</v>
      </c>
      <c r="AZ234" s="453">
        <f t="shared" si="79"/>
        <v>779</v>
      </c>
      <c r="BA234" s="452">
        <v>0</v>
      </c>
      <c r="BB234" s="452">
        <v>800</v>
      </c>
      <c r="BC234" s="452">
        <v>0</v>
      </c>
      <c r="BD234" s="452">
        <v>0</v>
      </c>
      <c r="BE234" s="452">
        <v>0</v>
      </c>
      <c r="BF234" s="452">
        <v>0</v>
      </c>
      <c r="BG234" s="452">
        <v>0</v>
      </c>
      <c r="BH234" s="409">
        <v>0</v>
      </c>
      <c r="BI234" s="409">
        <v>0</v>
      </c>
      <c r="BJ234" s="409">
        <v>0</v>
      </c>
      <c r="BK234" s="409">
        <v>0</v>
      </c>
      <c r="BL234" s="409">
        <v>0</v>
      </c>
      <c r="BM234" s="453">
        <f t="shared" si="80"/>
        <v>800</v>
      </c>
      <c r="BN234" s="452">
        <v>0</v>
      </c>
      <c r="BO234" s="452">
        <v>800</v>
      </c>
      <c r="BP234" s="452">
        <v>0</v>
      </c>
      <c r="BQ234" s="452">
        <v>0</v>
      </c>
      <c r="BR234" s="452">
        <v>0</v>
      </c>
      <c r="BS234" s="452">
        <v>0</v>
      </c>
      <c r="BT234" s="452">
        <v>0</v>
      </c>
      <c r="BU234" s="409">
        <v>0</v>
      </c>
      <c r="BV234" s="409">
        <v>0</v>
      </c>
      <c r="BW234" s="409">
        <v>0</v>
      </c>
      <c r="BX234" s="409">
        <v>0</v>
      </c>
      <c r="BY234" s="409">
        <v>0</v>
      </c>
      <c r="BZ234" s="453">
        <f t="shared" si="81"/>
        <v>800</v>
      </c>
      <c r="CA234" s="454">
        <f t="shared" si="82"/>
        <v>3461.3267517089844</v>
      </c>
      <c r="CB234" s="419"/>
      <c r="CC234" s="419">
        <v>1</v>
      </c>
      <c r="CD234" s="419">
        <v>1</v>
      </c>
      <c r="CE234" s="419">
        <v>1</v>
      </c>
      <c r="CF234" s="419">
        <v>1</v>
      </c>
      <c r="CG234" s="420">
        <f>IFERROR((FE234/Z234%),0)</f>
        <v>100</v>
      </c>
      <c r="CH234" s="421">
        <f>IFERROR((FK234/Z234%),0)</f>
        <v>100</v>
      </c>
      <c r="CI234" s="414" t="s">
        <v>1623</v>
      </c>
      <c r="CJ234" s="415">
        <v>0</v>
      </c>
      <c r="CK234" s="415">
        <v>0</v>
      </c>
      <c r="CL234" s="415">
        <v>1</v>
      </c>
      <c r="CM234" s="415">
        <v>0</v>
      </c>
      <c r="CN234" s="415">
        <v>0</v>
      </c>
      <c r="CO234" s="415">
        <v>0</v>
      </c>
      <c r="CP234" s="415">
        <v>0</v>
      </c>
      <c r="CQ234" s="415">
        <v>0</v>
      </c>
      <c r="CR234" s="415">
        <v>0</v>
      </c>
      <c r="CS234" s="415">
        <v>0</v>
      </c>
      <c r="CT234" s="415">
        <v>0</v>
      </c>
      <c r="CU234" s="415">
        <v>0</v>
      </c>
      <c r="CV234" s="410">
        <f t="shared" si="92"/>
        <v>1</v>
      </c>
      <c r="CW234" s="415">
        <v>0</v>
      </c>
      <c r="CX234" s="415">
        <v>1</v>
      </c>
      <c r="CY234" s="415">
        <v>0</v>
      </c>
      <c r="CZ234" s="415">
        <v>0</v>
      </c>
      <c r="DA234" s="415">
        <v>0</v>
      </c>
      <c r="DB234" s="415">
        <v>0</v>
      </c>
      <c r="DC234" s="415">
        <v>0</v>
      </c>
      <c r="DD234" s="415">
        <v>0</v>
      </c>
      <c r="DE234" s="415">
        <v>0</v>
      </c>
      <c r="DF234" s="415">
        <v>0</v>
      </c>
      <c r="DG234" s="415">
        <v>0</v>
      </c>
      <c r="DH234" s="415">
        <v>0</v>
      </c>
      <c r="DI234" s="410">
        <f t="shared" si="93"/>
        <v>1</v>
      </c>
      <c r="DJ234" s="415">
        <v>0</v>
      </c>
      <c r="DK234" s="415">
        <v>1</v>
      </c>
      <c r="DL234" s="415">
        <v>0</v>
      </c>
      <c r="DM234" s="415">
        <v>0</v>
      </c>
      <c r="DN234" s="415">
        <v>0</v>
      </c>
      <c r="DO234" s="415">
        <v>0</v>
      </c>
      <c r="DP234" s="415">
        <v>0</v>
      </c>
      <c r="DQ234" s="415">
        <v>0</v>
      </c>
      <c r="DR234" s="415">
        <v>0</v>
      </c>
      <c r="DS234" s="415">
        <v>0</v>
      </c>
      <c r="DT234" s="415">
        <v>0</v>
      </c>
      <c r="DU234" s="415">
        <v>0</v>
      </c>
      <c r="DV234" s="410">
        <f t="shared" si="94"/>
        <v>1</v>
      </c>
      <c r="DW234" s="415">
        <v>0</v>
      </c>
      <c r="DX234" s="415">
        <v>1</v>
      </c>
      <c r="DY234" s="415">
        <v>0</v>
      </c>
      <c r="DZ234" s="415">
        <v>0</v>
      </c>
      <c r="EA234" s="415">
        <v>0</v>
      </c>
      <c r="EB234" s="415">
        <v>0</v>
      </c>
      <c r="EC234" s="415">
        <v>0</v>
      </c>
      <c r="ED234" s="415">
        <v>0</v>
      </c>
      <c r="EE234" s="415">
        <v>0</v>
      </c>
      <c r="EF234" s="415">
        <v>0</v>
      </c>
      <c r="EG234" s="415">
        <v>0</v>
      </c>
      <c r="EH234" s="415">
        <v>0</v>
      </c>
      <c r="EI234" s="410">
        <f t="shared" si="95"/>
        <v>1</v>
      </c>
      <c r="EJ234" s="415">
        <v>0</v>
      </c>
      <c r="EK234" s="415">
        <v>1</v>
      </c>
      <c r="EL234" s="415">
        <v>0</v>
      </c>
      <c r="EM234" s="415">
        <v>0</v>
      </c>
      <c r="EN234" s="415">
        <v>0</v>
      </c>
      <c r="EO234" s="415">
        <v>0</v>
      </c>
      <c r="EP234" s="415">
        <v>0</v>
      </c>
      <c r="EQ234" s="415">
        <v>0</v>
      </c>
      <c r="ER234" s="415">
        <v>0</v>
      </c>
      <c r="ES234" s="415">
        <v>0</v>
      </c>
      <c r="ET234" s="415">
        <v>0</v>
      </c>
      <c r="EU234" s="415">
        <v>0</v>
      </c>
      <c r="EV234" s="410">
        <f t="shared" si="96"/>
        <v>1</v>
      </c>
      <c r="EW234" s="416">
        <f t="shared" si="97"/>
        <v>5</v>
      </c>
      <c r="EX234" s="417">
        <f>IFERROR(VLOOKUP(H234,CEI_012018!$A$1:$U$509,9,FALSE),0)</f>
        <v>0</v>
      </c>
      <c r="EY234" s="417">
        <f>IFERROR(VLOOKUP(H234,CEI_022018!$A$1:$U$509,9,FALSE),0)</f>
        <v>0</v>
      </c>
      <c r="EZ234" s="417">
        <f>IFERROR(VLOOKUP(H234,CEI_032018!$A$1:$U$509,9,FALSE),0)</f>
        <v>479.32675170898437</v>
      </c>
      <c r="FA234" s="417">
        <f>IFERROR(VLOOKUP(H234,CEI_042018!$A$1:$U$491,9,FALSE),0)</f>
        <v>479.32675170898437</v>
      </c>
      <c r="FB234" s="417">
        <f>IFERROR(VLOOKUP(H234,CEI_052018!$A$1:$U$489,9,FALSE),0)</f>
        <v>479.32675170898437</v>
      </c>
      <c r="FC234" s="417">
        <f>IFERROR(VLOOKUP(H234,CEI_062018!$A$1:$U$489,9,FALSE),0)</f>
        <v>479.32675170898437</v>
      </c>
      <c r="FD234" s="417">
        <f>IFERROR(VLOOKUP(H234,CEI_072018!$A$1:$U$489,9,FALSE),0)</f>
        <v>479.32675170898437</v>
      </c>
      <c r="FE234" s="417">
        <f>IFERROR(VLOOKUP(H234,CEI_082018!$A$1:$U$489,9,FALSE),0)</f>
        <v>479.32675170898437</v>
      </c>
      <c r="FF234" s="417">
        <f>IFERROR(VLOOKUP(H234,CEI_092018!$A$1:$U$489,9,FALSE),0)</f>
        <v>479.32675170898437</v>
      </c>
      <c r="FG234" s="417"/>
      <c r="FH234" s="417"/>
      <c r="FI234" s="417"/>
      <c r="FJ234" s="418">
        <f>IFERROR(VLOOKUP(H234,CEI_092018!$A$1:$U$489,12,FALSE),0)</f>
        <v>0</v>
      </c>
      <c r="FK234" s="418">
        <f t="shared" si="99"/>
        <v>479.32675170898437</v>
      </c>
      <c r="FL234" s="418">
        <f t="shared" si="100"/>
        <v>0</v>
      </c>
      <c r="FM234" s="417"/>
      <c r="FN234" s="417"/>
      <c r="FO234" s="417"/>
      <c r="FP234" s="417"/>
      <c r="FQ234" s="417"/>
      <c r="FR234" s="417"/>
      <c r="FS234" s="417"/>
      <c r="FT234" s="417"/>
      <c r="FU234" s="417"/>
      <c r="FV234" s="417"/>
      <c r="FW234" s="417"/>
      <c r="FX234" s="417"/>
      <c r="FY234" s="418"/>
      <c r="FZ234" s="418"/>
      <c r="GA234" s="418"/>
      <c r="GB234" s="417"/>
      <c r="GC234" s="417"/>
      <c r="GD234" s="417"/>
      <c r="GE234" s="417"/>
      <c r="GF234" s="417"/>
      <c r="GG234" s="417"/>
      <c r="GH234" s="417"/>
      <c r="GI234" s="417"/>
      <c r="GJ234" s="417"/>
      <c r="GK234" s="417"/>
      <c r="GL234" s="417"/>
      <c r="GM234" s="417"/>
      <c r="GN234" s="418"/>
      <c r="GO234" s="418"/>
      <c r="GP234" s="418"/>
      <c r="GQ234" s="417"/>
      <c r="GR234" s="417"/>
      <c r="GS234" s="417"/>
      <c r="GT234" s="417"/>
      <c r="GU234" s="417"/>
      <c r="GV234" s="417"/>
      <c r="GW234" s="417"/>
      <c r="GX234" s="417"/>
      <c r="GY234" s="417"/>
      <c r="GZ234" s="417"/>
      <c r="HA234" s="417"/>
      <c r="HB234" s="417"/>
      <c r="HC234" s="418"/>
      <c r="HD234" s="418"/>
      <c r="HE234" s="418"/>
      <c r="HF234" s="417"/>
      <c r="HG234" s="417"/>
      <c r="HH234" s="417"/>
      <c r="HI234" s="417"/>
      <c r="HJ234" s="417"/>
      <c r="HK234" s="417"/>
      <c r="HL234" s="417"/>
      <c r="HM234" s="417"/>
      <c r="HN234" s="417"/>
      <c r="HO234" s="417"/>
      <c r="HP234" s="417"/>
      <c r="HQ234" s="417"/>
      <c r="HR234" s="418"/>
      <c r="HS234" s="418"/>
      <c r="HT234" s="418"/>
    </row>
    <row r="235" spans="1:228" s="387" customFormat="1" ht="12.75" customHeight="1" x14ac:dyDescent="0.2">
      <c r="A235" s="406" t="s">
        <v>55</v>
      </c>
      <c r="B235" s="407" t="s">
        <v>42</v>
      </c>
      <c r="C235" s="406" t="s">
        <v>1000</v>
      </c>
      <c r="D235" s="407" t="s">
        <v>1004</v>
      </c>
      <c r="E235" s="407" t="s">
        <v>1000</v>
      </c>
      <c r="F235" s="407" t="s">
        <v>1004</v>
      </c>
      <c r="G235" s="406" t="s">
        <v>54</v>
      </c>
      <c r="H235" s="408" t="s">
        <v>520</v>
      </c>
      <c r="I235" s="408" t="s">
        <v>57</v>
      </c>
      <c r="J235" s="406" t="s">
        <v>851</v>
      </c>
      <c r="K235" s="406" t="s">
        <v>360</v>
      </c>
      <c r="L235" s="406" t="s">
        <v>361</v>
      </c>
      <c r="M235" s="406" t="s">
        <v>1780</v>
      </c>
      <c r="N235" s="452">
        <v>0</v>
      </c>
      <c r="O235" s="452">
        <v>0</v>
      </c>
      <c r="P235" s="452">
        <v>0</v>
      </c>
      <c r="Q235" s="452">
        <v>0</v>
      </c>
      <c r="R235" s="452">
        <v>0</v>
      </c>
      <c r="S235" s="452">
        <v>0</v>
      </c>
      <c r="T235" s="452">
        <v>0</v>
      </c>
      <c r="U235" s="409">
        <v>0</v>
      </c>
      <c r="V235" s="409">
        <v>0</v>
      </c>
      <c r="W235" s="409">
        <v>0</v>
      </c>
      <c r="X235" s="409">
        <v>0</v>
      </c>
      <c r="Y235" s="409">
        <v>0</v>
      </c>
      <c r="Z235" s="453">
        <f t="shared" si="83"/>
        <v>0</v>
      </c>
      <c r="AA235" s="452">
        <v>0</v>
      </c>
      <c r="AB235" s="452">
        <v>0</v>
      </c>
      <c r="AC235" s="452">
        <v>0</v>
      </c>
      <c r="AD235" s="452">
        <v>0</v>
      </c>
      <c r="AE235" s="452">
        <v>0</v>
      </c>
      <c r="AF235" s="452">
        <v>0</v>
      </c>
      <c r="AG235" s="452">
        <v>0</v>
      </c>
      <c r="AH235" s="409">
        <v>0</v>
      </c>
      <c r="AI235" s="409">
        <v>0</v>
      </c>
      <c r="AJ235" s="409">
        <v>0</v>
      </c>
      <c r="AK235" s="409">
        <v>0</v>
      </c>
      <c r="AL235" s="409">
        <v>0</v>
      </c>
      <c r="AM235" s="453">
        <f t="shared" si="78"/>
        <v>0</v>
      </c>
      <c r="AN235" s="452">
        <v>0</v>
      </c>
      <c r="AO235" s="452">
        <v>2200</v>
      </c>
      <c r="AP235" s="452">
        <v>0</v>
      </c>
      <c r="AQ235" s="452">
        <v>0</v>
      </c>
      <c r="AR235" s="452">
        <v>0</v>
      </c>
      <c r="AS235" s="452">
        <v>0</v>
      </c>
      <c r="AT235" s="452">
        <v>0</v>
      </c>
      <c r="AU235" s="409">
        <v>0</v>
      </c>
      <c r="AV235" s="409">
        <v>0</v>
      </c>
      <c r="AW235" s="409">
        <v>0</v>
      </c>
      <c r="AX235" s="409">
        <v>0</v>
      </c>
      <c r="AY235" s="409">
        <v>0</v>
      </c>
      <c r="AZ235" s="453">
        <f t="shared" si="79"/>
        <v>2200</v>
      </c>
      <c r="BA235" s="452">
        <v>0</v>
      </c>
      <c r="BB235" s="452">
        <v>0</v>
      </c>
      <c r="BC235" s="452">
        <v>0</v>
      </c>
      <c r="BD235" s="452">
        <v>0</v>
      </c>
      <c r="BE235" s="452">
        <v>0</v>
      </c>
      <c r="BF235" s="452">
        <v>0</v>
      </c>
      <c r="BG235" s="452">
        <v>0</v>
      </c>
      <c r="BH235" s="409">
        <v>0</v>
      </c>
      <c r="BI235" s="409">
        <v>0</v>
      </c>
      <c r="BJ235" s="409">
        <v>0</v>
      </c>
      <c r="BK235" s="409">
        <v>0</v>
      </c>
      <c r="BL235" s="409">
        <v>0</v>
      </c>
      <c r="BM235" s="453">
        <f t="shared" si="80"/>
        <v>0</v>
      </c>
      <c r="BN235" s="452">
        <v>0</v>
      </c>
      <c r="BO235" s="452">
        <v>0</v>
      </c>
      <c r="BP235" s="452">
        <v>0</v>
      </c>
      <c r="BQ235" s="452">
        <v>0</v>
      </c>
      <c r="BR235" s="452">
        <v>0</v>
      </c>
      <c r="BS235" s="452">
        <v>0</v>
      </c>
      <c r="BT235" s="452">
        <v>0</v>
      </c>
      <c r="BU235" s="409">
        <v>0</v>
      </c>
      <c r="BV235" s="409">
        <v>0</v>
      </c>
      <c r="BW235" s="409">
        <v>0</v>
      </c>
      <c r="BX235" s="409">
        <v>0</v>
      </c>
      <c r="BY235" s="409">
        <v>0</v>
      </c>
      <c r="BZ235" s="453">
        <f t="shared" si="81"/>
        <v>0</v>
      </c>
      <c r="CA235" s="454">
        <f t="shared" si="82"/>
        <v>2200</v>
      </c>
      <c r="CB235" s="411"/>
      <c r="CC235" s="411"/>
      <c r="CD235" s="411"/>
      <c r="CE235" s="411"/>
      <c r="CF235" s="411"/>
      <c r="CG235" s="412"/>
      <c r="CH235" s="413"/>
      <c r="CI235" s="414" t="s">
        <v>1623</v>
      </c>
      <c r="CJ235" s="415">
        <v>0</v>
      </c>
      <c r="CK235" s="415">
        <v>0</v>
      </c>
      <c r="CL235" s="415">
        <v>0</v>
      </c>
      <c r="CM235" s="415">
        <v>0</v>
      </c>
      <c r="CN235" s="415">
        <v>0</v>
      </c>
      <c r="CO235" s="415">
        <v>0</v>
      </c>
      <c r="CP235" s="415">
        <v>0</v>
      </c>
      <c r="CQ235" s="415">
        <v>0</v>
      </c>
      <c r="CR235" s="415">
        <v>0</v>
      </c>
      <c r="CS235" s="415">
        <v>0</v>
      </c>
      <c r="CT235" s="415">
        <v>0</v>
      </c>
      <c r="CU235" s="415">
        <v>0</v>
      </c>
      <c r="CV235" s="410">
        <f t="shared" si="92"/>
        <v>0</v>
      </c>
      <c r="CW235" s="415">
        <v>0</v>
      </c>
      <c r="CX235" s="415">
        <v>0</v>
      </c>
      <c r="CY235" s="415">
        <v>0</v>
      </c>
      <c r="CZ235" s="415">
        <v>0</v>
      </c>
      <c r="DA235" s="415">
        <v>0</v>
      </c>
      <c r="DB235" s="415">
        <v>0</v>
      </c>
      <c r="DC235" s="415">
        <v>0</v>
      </c>
      <c r="DD235" s="415">
        <v>0</v>
      </c>
      <c r="DE235" s="415">
        <v>0</v>
      </c>
      <c r="DF235" s="415">
        <v>0</v>
      </c>
      <c r="DG235" s="415">
        <v>0</v>
      </c>
      <c r="DH235" s="415">
        <v>0</v>
      </c>
      <c r="DI235" s="410">
        <f t="shared" si="93"/>
        <v>0</v>
      </c>
      <c r="DJ235" s="415">
        <v>0</v>
      </c>
      <c r="DK235" s="415">
        <v>1</v>
      </c>
      <c r="DL235" s="415">
        <v>0</v>
      </c>
      <c r="DM235" s="415">
        <v>0</v>
      </c>
      <c r="DN235" s="415">
        <v>0</v>
      </c>
      <c r="DO235" s="415">
        <v>0</v>
      </c>
      <c r="DP235" s="415">
        <v>0</v>
      </c>
      <c r="DQ235" s="415">
        <v>0</v>
      </c>
      <c r="DR235" s="415">
        <v>0</v>
      </c>
      <c r="DS235" s="415">
        <v>0</v>
      </c>
      <c r="DT235" s="415">
        <v>0</v>
      </c>
      <c r="DU235" s="415">
        <v>0</v>
      </c>
      <c r="DV235" s="410">
        <f t="shared" si="94"/>
        <v>1</v>
      </c>
      <c r="DW235" s="415">
        <v>0</v>
      </c>
      <c r="DX235" s="415">
        <v>0</v>
      </c>
      <c r="DY235" s="415">
        <v>0</v>
      </c>
      <c r="DZ235" s="415">
        <v>0</v>
      </c>
      <c r="EA235" s="415">
        <v>0</v>
      </c>
      <c r="EB235" s="415">
        <v>0</v>
      </c>
      <c r="EC235" s="415">
        <v>0</v>
      </c>
      <c r="ED235" s="415">
        <v>0</v>
      </c>
      <c r="EE235" s="415">
        <v>0</v>
      </c>
      <c r="EF235" s="415">
        <v>0</v>
      </c>
      <c r="EG235" s="415">
        <v>0</v>
      </c>
      <c r="EH235" s="415">
        <v>0</v>
      </c>
      <c r="EI235" s="410">
        <f t="shared" si="95"/>
        <v>0</v>
      </c>
      <c r="EJ235" s="415">
        <v>0</v>
      </c>
      <c r="EK235" s="415">
        <v>0</v>
      </c>
      <c r="EL235" s="415">
        <v>0</v>
      </c>
      <c r="EM235" s="415">
        <v>0</v>
      </c>
      <c r="EN235" s="415">
        <v>0</v>
      </c>
      <c r="EO235" s="415">
        <v>0</v>
      </c>
      <c r="EP235" s="415">
        <v>0</v>
      </c>
      <c r="EQ235" s="415">
        <v>0</v>
      </c>
      <c r="ER235" s="415">
        <v>0</v>
      </c>
      <c r="ES235" s="415">
        <v>0</v>
      </c>
      <c r="ET235" s="415">
        <v>0</v>
      </c>
      <c r="EU235" s="415">
        <v>0</v>
      </c>
      <c r="EV235" s="410">
        <f t="shared" si="96"/>
        <v>0</v>
      </c>
      <c r="EW235" s="416">
        <f t="shared" si="97"/>
        <v>1</v>
      </c>
      <c r="EX235" s="417">
        <f>IFERROR(VLOOKUP(H235,CEI_012018!$A$1:$U$509,9,FALSE),0)</f>
        <v>0</v>
      </c>
      <c r="EY235" s="417">
        <f>IFERROR(VLOOKUP(H235,CEI_022018!$A$1:$U$509,9,FALSE),0)</f>
        <v>0</v>
      </c>
      <c r="EZ235" s="417">
        <f>IFERROR(VLOOKUP(H235,CEI_032018!$A$1:$U$509,9,FALSE),0)</f>
        <v>0</v>
      </c>
      <c r="FA235" s="417">
        <f>IFERROR(VLOOKUP(H235,CEI_042018!$A$1:$U$491,9,FALSE),0)</f>
        <v>0</v>
      </c>
      <c r="FB235" s="417">
        <f>IFERROR(VLOOKUP(H235,CEI_052018!$A$1:$U$489,9,FALSE),0)</f>
        <v>0</v>
      </c>
      <c r="FC235" s="417">
        <f>IFERROR(VLOOKUP(H235,CEI_062018!$A$1:$U$489,9,FALSE),0)</f>
        <v>0</v>
      </c>
      <c r="FD235" s="417">
        <f>IFERROR(VLOOKUP(H235,CEI_072018!$A$1:$U$489,9,FALSE),0)</f>
        <v>0</v>
      </c>
      <c r="FE235" s="417">
        <f>IFERROR(VLOOKUP(H235,CEI_082018!$A$1:$U$489,9,FALSE),0)</f>
        <v>0</v>
      </c>
      <c r="FF235" s="417">
        <f>IFERROR(VLOOKUP(H235,CEI_092018!$A$1:$U$489,9,FALSE),0)</f>
        <v>0</v>
      </c>
      <c r="FG235" s="417"/>
      <c r="FH235" s="417"/>
      <c r="FI235" s="417"/>
      <c r="FJ235" s="418">
        <f>IFERROR(VLOOKUP(H235,CEI_092018!$A$1:$U$489,12,FALSE),0)</f>
        <v>0</v>
      </c>
      <c r="FK235" s="418">
        <f t="shared" si="99"/>
        <v>0</v>
      </c>
      <c r="FL235" s="418">
        <f t="shared" si="100"/>
        <v>0</v>
      </c>
      <c r="FM235" s="417"/>
      <c r="FN235" s="417"/>
      <c r="FO235" s="417"/>
      <c r="FP235" s="417"/>
      <c r="FQ235" s="417"/>
      <c r="FR235" s="417"/>
      <c r="FS235" s="417"/>
      <c r="FT235" s="417"/>
      <c r="FU235" s="417"/>
      <c r="FV235" s="417"/>
      <c r="FW235" s="417"/>
      <c r="FX235" s="417"/>
      <c r="FY235" s="418"/>
      <c r="FZ235" s="418"/>
      <c r="GA235" s="418"/>
      <c r="GB235" s="417"/>
      <c r="GC235" s="417"/>
      <c r="GD235" s="417"/>
      <c r="GE235" s="417"/>
      <c r="GF235" s="417"/>
      <c r="GG235" s="417"/>
      <c r="GH235" s="417"/>
      <c r="GI235" s="417"/>
      <c r="GJ235" s="417"/>
      <c r="GK235" s="417"/>
      <c r="GL235" s="417"/>
      <c r="GM235" s="417"/>
      <c r="GN235" s="418"/>
      <c r="GO235" s="418"/>
      <c r="GP235" s="418"/>
      <c r="GQ235" s="417"/>
      <c r="GR235" s="417"/>
      <c r="GS235" s="417"/>
      <c r="GT235" s="417"/>
      <c r="GU235" s="417"/>
      <c r="GV235" s="417"/>
      <c r="GW235" s="417"/>
      <c r="GX235" s="417"/>
      <c r="GY235" s="417"/>
      <c r="GZ235" s="417"/>
      <c r="HA235" s="417"/>
      <c r="HB235" s="417"/>
      <c r="HC235" s="418"/>
      <c r="HD235" s="418"/>
      <c r="HE235" s="418"/>
      <c r="HF235" s="417"/>
      <c r="HG235" s="417"/>
      <c r="HH235" s="417"/>
      <c r="HI235" s="417"/>
      <c r="HJ235" s="417"/>
      <c r="HK235" s="417"/>
      <c r="HL235" s="417"/>
      <c r="HM235" s="417"/>
      <c r="HN235" s="417"/>
      <c r="HO235" s="417"/>
      <c r="HP235" s="417"/>
      <c r="HQ235" s="417"/>
      <c r="HR235" s="418"/>
      <c r="HS235" s="418"/>
      <c r="HT235" s="418"/>
    </row>
    <row r="236" spans="1:228" s="387" customFormat="1" ht="12.75" customHeight="1" x14ac:dyDescent="0.2">
      <c r="A236" s="406" t="s">
        <v>55</v>
      </c>
      <c r="B236" s="407" t="s">
        <v>42</v>
      </c>
      <c r="C236" s="406" t="s">
        <v>1000</v>
      </c>
      <c r="D236" s="407" t="s">
        <v>1004</v>
      </c>
      <c r="E236" s="407" t="s">
        <v>1000</v>
      </c>
      <c r="F236" s="407" t="s">
        <v>1004</v>
      </c>
      <c r="G236" s="406" t="s">
        <v>54</v>
      </c>
      <c r="H236" s="408" t="s">
        <v>1110</v>
      </c>
      <c r="I236" s="408" t="s">
        <v>1111</v>
      </c>
      <c r="J236" s="406" t="s">
        <v>708</v>
      </c>
      <c r="K236" s="406" t="s">
        <v>709</v>
      </c>
      <c r="L236" s="406" t="s">
        <v>710</v>
      </c>
      <c r="M236" s="406" t="s">
        <v>1775</v>
      </c>
      <c r="N236" s="452">
        <v>0</v>
      </c>
      <c r="O236" s="452">
        <v>0</v>
      </c>
      <c r="P236" s="452">
        <v>0</v>
      </c>
      <c r="Q236" s="452">
        <v>0</v>
      </c>
      <c r="R236" s="452">
        <v>693.4403076171875</v>
      </c>
      <c r="S236" s="452">
        <v>0</v>
      </c>
      <c r="T236" s="452">
        <v>0</v>
      </c>
      <c r="U236" s="409">
        <v>0</v>
      </c>
      <c r="V236" s="409">
        <v>0</v>
      </c>
      <c r="W236" s="409">
        <v>0</v>
      </c>
      <c r="X236" s="409">
        <v>0</v>
      </c>
      <c r="Y236" s="409">
        <v>0</v>
      </c>
      <c r="Z236" s="453">
        <f t="shared" si="83"/>
        <v>693.4403076171875</v>
      </c>
      <c r="AA236" s="452">
        <v>0</v>
      </c>
      <c r="AB236" s="452">
        <v>0</v>
      </c>
      <c r="AC236" s="452">
        <v>0</v>
      </c>
      <c r="AD236" s="452">
        <v>0</v>
      </c>
      <c r="AE236" s="452">
        <v>0</v>
      </c>
      <c r="AF236" s="452">
        <v>0</v>
      </c>
      <c r="AG236" s="452">
        <v>0</v>
      </c>
      <c r="AH236" s="409">
        <v>0</v>
      </c>
      <c r="AI236" s="409">
        <v>0</v>
      </c>
      <c r="AJ236" s="409">
        <v>0</v>
      </c>
      <c r="AK236" s="409">
        <v>0</v>
      </c>
      <c r="AL236" s="409">
        <v>0</v>
      </c>
      <c r="AM236" s="453">
        <f t="shared" si="78"/>
        <v>0</v>
      </c>
      <c r="AN236" s="452">
        <v>0</v>
      </c>
      <c r="AO236" s="452">
        <v>0</v>
      </c>
      <c r="AP236" s="452">
        <v>0</v>
      </c>
      <c r="AQ236" s="452">
        <v>0</v>
      </c>
      <c r="AR236" s="452">
        <v>750</v>
      </c>
      <c r="AS236" s="452">
        <v>0</v>
      </c>
      <c r="AT236" s="452">
        <v>0</v>
      </c>
      <c r="AU236" s="409">
        <v>0</v>
      </c>
      <c r="AV236" s="409">
        <v>0</v>
      </c>
      <c r="AW236" s="409">
        <v>0</v>
      </c>
      <c r="AX236" s="409">
        <v>0</v>
      </c>
      <c r="AY236" s="409">
        <v>0</v>
      </c>
      <c r="AZ236" s="453">
        <f t="shared" si="79"/>
        <v>750</v>
      </c>
      <c r="BA236" s="452">
        <v>0</v>
      </c>
      <c r="BB236" s="452">
        <v>0</v>
      </c>
      <c r="BC236" s="452">
        <v>0</v>
      </c>
      <c r="BD236" s="452">
        <v>0</v>
      </c>
      <c r="BE236" s="452">
        <v>750</v>
      </c>
      <c r="BF236" s="452">
        <v>0</v>
      </c>
      <c r="BG236" s="452">
        <v>0</v>
      </c>
      <c r="BH236" s="409">
        <v>0</v>
      </c>
      <c r="BI236" s="409">
        <v>0</v>
      </c>
      <c r="BJ236" s="409">
        <v>0</v>
      </c>
      <c r="BK236" s="409">
        <v>0</v>
      </c>
      <c r="BL236" s="409">
        <v>0</v>
      </c>
      <c r="BM236" s="453">
        <f t="shared" si="80"/>
        <v>750</v>
      </c>
      <c r="BN236" s="452">
        <v>0</v>
      </c>
      <c r="BO236" s="452">
        <v>0</v>
      </c>
      <c r="BP236" s="452">
        <v>0</v>
      </c>
      <c r="BQ236" s="452">
        <v>0</v>
      </c>
      <c r="BR236" s="452">
        <v>0</v>
      </c>
      <c r="BS236" s="452">
        <v>0</v>
      </c>
      <c r="BT236" s="452">
        <v>0</v>
      </c>
      <c r="BU236" s="409">
        <v>0</v>
      </c>
      <c r="BV236" s="409">
        <v>1500</v>
      </c>
      <c r="BW236" s="409">
        <v>0</v>
      </c>
      <c r="BX236" s="409">
        <v>0</v>
      </c>
      <c r="BY236" s="409">
        <v>0</v>
      </c>
      <c r="BZ236" s="453">
        <f t="shared" si="81"/>
        <v>1500</v>
      </c>
      <c r="CA236" s="454">
        <f t="shared" si="82"/>
        <v>3693.4403076171875</v>
      </c>
      <c r="CB236" s="419"/>
      <c r="CC236" s="419">
        <v>1</v>
      </c>
      <c r="CD236" s="419">
        <v>1</v>
      </c>
      <c r="CE236" s="419">
        <v>1</v>
      </c>
      <c r="CF236" s="419">
        <v>1</v>
      </c>
      <c r="CG236" s="420">
        <f>IFERROR((FE236/Z236%),0)</f>
        <v>100</v>
      </c>
      <c r="CH236" s="421">
        <f>IFERROR((FK236/Z236%),0)</f>
        <v>100</v>
      </c>
      <c r="CI236" s="414" t="s">
        <v>1623</v>
      </c>
      <c r="CJ236" s="415">
        <v>0</v>
      </c>
      <c r="CK236" s="415">
        <v>0</v>
      </c>
      <c r="CL236" s="415">
        <v>0</v>
      </c>
      <c r="CM236" s="415">
        <v>0</v>
      </c>
      <c r="CN236" s="415">
        <v>1</v>
      </c>
      <c r="CO236" s="415">
        <v>0</v>
      </c>
      <c r="CP236" s="415">
        <v>0</v>
      </c>
      <c r="CQ236" s="415">
        <v>0</v>
      </c>
      <c r="CR236" s="415">
        <v>0</v>
      </c>
      <c r="CS236" s="415">
        <v>0</v>
      </c>
      <c r="CT236" s="415">
        <v>0</v>
      </c>
      <c r="CU236" s="415">
        <v>0</v>
      </c>
      <c r="CV236" s="410">
        <f t="shared" si="92"/>
        <v>1</v>
      </c>
      <c r="CW236" s="415">
        <v>0</v>
      </c>
      <c r="CX236" s="415">
        <v>0</v>
      </c>
      <c r="CY236" s="415">
        <v>0</v>
      </c>
      <c r="CZ236" s="415">
        <v>0</v>
      </c>
      <c r="DA236" s="415">
        <v>0</v>
      </c>
      <c r="DB236" s="415">
        <v>0</v>
      </c>
      <c r="DC236" s="415">
        <v>0</v>
      </c>
      <c r="DD236" s="415">
        <v>0</v>
      </c>
      <c r="DE236" s="415">
        <v>0</v>
      </c>
      <c r="DF236" s="415">
        <v>0</v>
      </c>
      <c r="DG236" s="415">
        <v>0</v>
      </c>
      <c r="DH236" s="415">
        <v>0</v>
      </c>
      <c r="DI236" s="410">
        <f t="shared" si="93"/>
        <v>0</v>
      </c>
      <c r="DJ236" s="415">
        <v>0</v>
      </c>
      <c r="DK236" s="415">
        <v>0</v>
      </c>
      <c r="DL236" s="415">
        <v>1</v>
      </c>
      <c r="DM236" s="415">
        <v>0</v>
      </c>
      <c r="DN236" s="415">
        <v>0</v>
      </c>
      <c r="DO236" s="415">
        <v>0</v>
      </c>
      <c r="DP236" s="415">
        <v>0</v>
      </c>
      <c r="DQ236" s="415">
        <v>0</v>
      </c>
      <c r="DR236" s="415">
        <v>0</v>
      </c>
      <c r="DS236" s="415">
        <v>0</v>
      </c>
      <c r="DT236" s="415">
        <v>0</v>
      </c>
      <c r="DU236" s="415">
        <v>0</v>
      </c>
      <c r="DV236" s="410">
        <f t="shared" si="94"/>
        <v>1</v>
      </c>
      <c r="DW236" s="415">
        <v>0</v>
      </c>
      <c r="DX236" s="415">
        <v>0</v>
      </c>
      <c r="DY236" s="415">
        <v>0</v>
      </c>
      <c r="DZ236" s="415">
        <v>0</v>
      </c>
      <c r="EA236" s="415">
        <v>1</v>
      </c>
      <c r="EB236" s="415">
        <v>0</v>
      </c>
      <c r="EC236" s="415">
        <v>0</v>
      </c>
      <c r="ED236" s="415">
        <v>0</v>
      </c>
      <c r="EE236" s="415">
        <v>0</v>
      </c>
      <c r="EF236" s="415">
        <v>0</v>
      </c>
      <c r="EG236" s="415">
        <v>0</v>
      </c>
      <c r="EH236" s="415">
        <v>0</v>
      </c>
      <c r="EI236" s="410">
        <f t="shared" si="95"/>
        <v>1</v>
      </c>
      <c r="EJ236" s="415">
        <v>0</v>
      </c>
      <c r="EK236" s="415">
        <v>0</v>
      </c>
      <c r="EL236" s="415">
        <v>0</v>
      </c>
      <c r="EM236" s="415">
        <v>0</v>
      </c>
      <c r="EN236" s="415">
        <v>0</v>
      </c>
      <c r="EO236" s="415">
        <v>0</v>
      </c>
      <c r="EP236" s="415">
        <v>0</v>
      </c>
      <c r="EQ236" s="415">
        <v>0</v>
      </c>
      <c r="ER236" s="415">
        <v>1</v>
      </c>
      <c r="ES236" s="415">
        <v>0</v>
      </c>
      <c r="ET236" s="415">
        <v>0</v>
      </c>
      <c r="EU236" s="415">
        <v>0</v>
      </c>
      <c r="EV236" s="410">
        <f t="shared" si="96"/>
        <v>1</v>
      </c>
      <c r="EW236" s="416">
        <f t="shared" si="97"/>
        <v>4</v>
      </c>
      <c r="EX236" s="417">
        <f>IFERROR(VLOOKUP(H236,CEI_012018!$A$1:$U$509,9,FALSE),0)</f>
        <v>0</v>
      </c>
      <c r="EY236" s="417">
        <f>IFERROR(VLOOKUP(H236,CEI_022018!$A$1:$U$509,9,FALSE),0)</f>
        <v>0</v>
      </c>
      <c r="EZ236" s="417">
        <f>IFERROR(VLOOKUP(H236,CEI_032018!$A$1:$U$509,9,FALSE),0)</f>
        <v>0</v>
      </c>
      <c r="FA236" s="417">
        <f>IFERROR(VLOOKUP(H236,CEI_042018!$A$1:$U$491,9,FALSE),0)</f>
        <v>0</v>
      </c>
      <c r="FB236" s="417">
        <f>IFERROR(VLOOKUP(H236,CEI_052018!$A$1:$U$489,9,FALSE),0)</f>
        <v>693.4403076171875</v>
      </c>
      <c r="FC236" s="417">
        <f>IFERROR(VLOOKUP(H236,CEI_062018!$A$1:$U$489,9,FALSE),0)</f>
        <v>693.4403076171875</v>
      </c>
      <c r="FD236" s="417">
        <f>IFERROR(VLOOKUP(H236,CEI_072018!$A$1:$U$489,9,FALSE),0)</f>
        <v>693.4403076171875</v>
      </c>
      <c r="FE236" s="417">
        <f>IFERROR(VLOOKUP(H236,CEI_082018!$A$1:$U$489,9,FALSE),0)</f>
        <v>693.4403076171875</v>
      </c>
      <c r="FF236" s="417">
        <f>IFERROR(VLOOKUP(H236,CEI_092018!$A$1:$U$489,9,FALSE),0)</f>
        <v>693.4403076171875</v>
      </c>
      <c r="FG236" s="417"/>
      <c r="FH236" s="417"/>
      <c r="FI236" s="417"/>
      <c r="FJ236" s="418">
        <f>IFERROR(VLOOKUP(H236,CEI_092018!$A$1:$U$489,12,FALSE),0)</f>
        <v>0</v>
      </c>
      <c r="FK236" s="418">
        <f t="shared" si="99"/>
        <v>693.4403076171875</v>
      </c>
      <c r="FL236" s="418">
        <f t="shared" si="100"/>
        <v>0</v>
      </c>
      <c r="FM236" s="417"/>
      <c r="FN236" s="417"/>
      <c r="FO236" s="417"/>
      <c r="FP236" s="417"/>
      <c r="FQ236" s="417"/>
      <c r="FR236" s="417"/>
      <c r="FS236" s="417"/>
      <c r="FT236" s="417"/>
      <c r="FU236" s="417"/>
      <c r="FV236" s="417"/>
      <c r="FW236" s="417"/>
      <c r="FX236" s="417"/>
      <c r="FY236" s="418"/>
      <c r="FZ236" s="418"/>
      <c r="GA236" s="418"/>
      <c r="GB236" s="417"/>
      <c r="GC236" s="417"/>
      <c r="GD236" s="417"/>
      <c r="GE236" s="417"/>
      <c r="GF236" s="417"/>
      <c r="GG236" s="417"/>
      <c r="GH236" s="417"/>
      <c r="GI236" s="417"/>
      <c r="GJ236" s="417"/>
      <c r="GK236" s="417"/>
      <c r="GL236" s="417"/>
      <c r="GM236" s="417"/>
      <c r="GN236" s="418"/>
      <c r="GO236" s="418"/>
      <c r="GP236" s="418"/>
      <c r="GQ236" s="417"/>
      <c r="GR236" s="417"/>
      <c r="GS236" s="417"/>
      <c r="GT236" s="417"/>
      <c r="GU236" s="417"/>
      <c r="GV236" s="417"/>
      <c r="GW236" s="417"/>
      <c r="GX236" s="417"/>
      <c r="GY236" s="417"/>
      <c r="GZ236" s="417"/>
      <c r="HA236" s="417"/>
      <c r="HB236" s="417"/>
      <c r="HC236" s="418"/>
      <c r="HD236" s="418"/>
      <c r="HE236" s="418"/>
      <c r="HF236" s="417"/>
      <c r="HG236" s="417"/>
      <c r="HH236" s="417"/>
      <c r="HI236" s="417"/>
      <c r="HJ236" s="417"/>
      <c r="HK236" s="417"/>
      <c r="HL236" s="417"/>
      <c r="HM236" s="417"/>
      <c r="HN236" s="417"/>
      <c r="HO236" s="417"/>
      <c r="HP236" s="417"/>
      <c r="HQ236" s="417"/>
      <c r="HR236" s="418"/>
      <c r="HS236" s="418"/>
      <c r="HT236" s="418"/>
    </row>
    <row r="237" spans="1:228" s="387" customFormat="1" ht="12.75" customHeight="1" x14ac:dyDescent="0.2">
      <c r="A237" s="406" t="s">
        <v>55</v>
      </c>
      <c r="B237" s="407" t="s">
        <v>42</v>
      </c>
      <c r="C237" s="406" t="s">
        <v>1000</v>
      </c>
      <c r="D237" s="407" t="s">
        <v>1004</v>
      </c>
      <c r="E237" s="407" t="s">
        <v>1000</v>
      </c>
      <c r="F237" s="407" t="s">
        <v>1004</v>
      </c>
      <c r="G237" s="406" t="s">
        <v>54</v>
      </c>
      <c r="H237" s="408" t="s">
        <v>520</v>
      </c>
      <c r="I237" s="408" t="s">
        <v>57</v>
      </c>
      <c r="J237" s="406" t="s">
        <v>387</v>
      </c>
      <c r="K237" s="406" t="s">
        <v>732</v>
      </c>
      <c r="L237" s="406" t="s">
        <v>733</v>
      </c>
      <c r="M237" s="406" t="s">
        <v>1770</v>
      </c>
      <c r="N237" s="452">
        <v>0</v>
      </c>
      <c r="O237" s="452">
        <v>0</v>
      </c>
      <c r="P237" s="452">
        <v>0</v>
      </c>
      <c r="Q237" s="452">
        <v>0</v>
      </c>
      <c r="R237" s="452">
        <v>0</v>
      </c>
      <c r="S237" s="452">
        <v>0</v>
      </c>
      <c r="T237" s="452">
        <v>0</v>
      </c>
      <c r="U237" s="409">
        <v>0</v>
      </c>
      <c r="V237" s="409">
        <v>0</v>
      </c>
      <c r="W237" s="409">
        <v>0</v>
      </c>
      <c r="X237" s="409">
        <v>0</v>
      </c>
      <c r="Y237" s="409">
        <v>0</v>
      </c>
      <c r="Z237" s="453">
        <f t="shared" si="83"/>
        <v>0</v>
      </c>
      <c r="AA237" s="452">
        <v>0</v>
      </c>
      <c r="AB237" s="452">
        <v>0</v>
      </c>
      <c r="AC237" s="452">
        <v>0</v>
      </c>
      <c r="AD237" s="452">
        <v>0</v>
      </c>
      <c r="AE237" s="452">
        <v>0</v>
      </c>
      <c r="AF237" s="452">
        <v>0</v>
      </c>
      <c r="AG237" s="452">
        <v>0</v>
      </c>
      <c r="AH237" s="409">
        <v>0</v>
      </c>
      <c r="AI237" s="409">
        <v>0</v>
      </c>
      <c r="AJ237" s="409">
        <v>0</v>
      </c>
      <c r="AK237" s="409">
        <v>0</v>
      </c>
      <c r="AL237" s="409">
        <v>0</v>
      </c>
      <c r="AM237" s="453">
        <f t="shared" si="78"/>
        <v>0</v>
      </c>
      <c r="AN237" s="452">
        <v>0</v>
      </c>
      <c r="AO237" s="452">
        <v>0</v>
      </c>
      <c r="AP237" s="452">
        <v>0</v>
      </c>
      <c r="AQ237" s="452">
        <v>0</v>
      </c>
      <c r="AR237" s="452">
        <v>0</v>
      </c>
      <c r="AS237" s="452">
        <v>0</v>
      </c>
      <c r="AT237" s="452">
        <v>0</v>
      </c>
      <c r="AU237" s="409">
        <v>0</v>
      </c>
      <c r="AV237" s="409">
        <v>0</v>
      </c>
      <c r="AW237" s="409">
        <v>50</v>
      </c>
      <c r="AX237" s="409">
        <v>50</v>
      </c>
      <c r="AY237" s="409">
        <v>50</v>
      </c>
      <c r="AZ237" s="453">
        <f t="shared" si="79"/>
        <v>150</v>
      </c>
      <c r="BA237" s="452">
        <v>50</v>
      </c>
      <c r="BB237" s="452">
        <v>50</v>
      </c>
      <c r="BC237" s="452">
        <v>50</v>
      </c>
      <c r="BD237" s="452">
        <v>0</v>
      </c>
      <c r="BE237" s="452">
        <v>0</v>
      </c>
      <c r="BF237" s="452">
        <v>0</v>
      </c>
      <c r="BG237" s="452">
        <v>0</v>
      </c>
      <c r="BH237" s="409">
        <v>0</v>
      </c>
      <c r="BI237" s="409">
        <v>0</v>
      </c>
      <c r="BJ237" s="409">
        <v>0</v>
      </c>
      <c r="BK237" s="409">
        <v>0</v>
      </c>
      <c r="BL237" s="409">
        <v>0</v>
      </c>
      <c r="BM237" s="453">
        <f t="shared" si="80"/>
        <v>150</v>
      </c>
      <c r="BN237" s="452">
        <v>0</v>
      </c>
      <c r="BO237" s="452">
        <v>0</v>
      </c>
      <c r="BP237" s="452">
        <v>0</v>
      </c>
      <c r="BQ237" s="452">
        <v>0</v>
      </c>
      <c r="BR237" s="452">
        <v>0</v>
      </c>
      <c r="BS237" s="452">
        <v>0</v>
      </c>
      <c r="BT237" s="452">
        <v>0</v>
      </c>
      <c r="BU237" s="409">
        <v>0</v>
      </c>
      <c r="BV237" s="409">
        <v>0</v>
      </c>
      <c r="BW237" s="409">
        <v>0</v>
      </c>
      <c r="BX237" s="409">
        <v>0</v>
      </c>
      <c r="BY237" s="409">
        <v>0</v>
      </c>
      <c r="BZ237" s="453">
        <f t="shared" si="81"/>
        <v>0</v>
      </c>
      <c r="CA237" s="454">
        <f t="shared" si="82"/>
        <v>300</v>
      </c>
      <c r="CB237" s="411"/>
      <c r="CC237" s="411"/>
      <c r="CD237" s="411"/>
      <c r="CE237" s="411"/>
      <c r="CF237" s="411"/>
      <c r="CG237" s="412"/>
      <c r="CH237" s="413"/>
      <c r="CI237" s="414" t="s">
        <v>1621</v>
      </c>
      <c r="CJ237" s="415">
        <v>0</v>
      </c>
      <c r="CK237" s="415">
        <v>0</v>
      </c>
      <c r="CL237" s="415">
        <v>0</v>
      </c>
      <c r="CM237" s="415">
        <v>0</v>
      </c>
      <c r="CN237" s="415">
        <v>0</v>
      </c>
      <c r="CO237" s="415">
        <v>0</v>
      </c>
      <c r="CP237" s="415">
        <v>0</v>
      </c>
      <c r="CQ237" s="415">
        <v>0</v>
      </c>
      <c r="CR237" s="415">
        <v>0</v>
      </c>
      <c r="CS237" s="415">
        <v>0</v>
      </c>
      <c r="CT237" s="415">
        <v>0</v>
      </c>
      <c r="CU237" s="415">
        <v>0</v>
      </c>
      <c r="CV237" s="410">
        <f t="shared" si="92"/>
        <v>0</v>
      </c>
      <c r="CW237" s="415">
        <v>0</v>
      </c>
      <c r="CX237" s="415">
        <v>0</v>
      </c>
      <c r="CY237" s="415">
        <v>0</v>
      </c>
      <c r="CZ237" s="415">
        <v>0</v>
      </c>
      <c r="DA237" s="415">
        <v>0</v>
      </c>
      <c r="DB237" s="415">
        <v>0</v>
      </c>
      <c r="DC237" s="415">
        <v>0</v>
      </c>
      <c r="DD237" s="415">
        <v>0</v>
      </c>
      <c r="DE237" s="415">
        <v>0</v>
      </c>
      <c r="DF237" s="415">
        <v>0</v>
      </c>
      <c r="DG237" s="415">
        <v>0</v>
      </c>
      <c r="DH237" s="415">
        <v>0</v>
      </c>
      <c r="DI237" s="410">
        <f t="shared" si="93"/>
        <v>0</v>
      </c>
      <c r="DJ237" s="415">
        <v>0</v>
      </c>
      <c r="DK237" s="415">
        <v>0</v>
      </c>
      <c r="DL237" s="415">
        <v>0</v>
      </c>
      <c r="DM237" s="415">
        <v>0</v>
      </c>
      <c r="DN237" s="415">
        <v>0</v>
      </c>
      <c r="DO237" s="415">
        <v>0</v>
      </c>
      <c r="DP237" s="415">
        <v>0</v>
      </c>
      <c r="DQ237" s="415">
        <v>0</v>
      </c>
      <c r="DR237" s="415">
        <v>0</v>
      </c>
      <c r="DS237" s="415">
        <v>0</v>
      </c>
      <c r="DT237" s="415">
        <v>0</v>
      </c>
      <c r="DU237" s="415">
        <v>1</v>
      </c>
      <c r="DV237" s="410">
        <f t="shared" si="94"/>
        <v>1</v>
      </c>
      <c r="DW237" s="415">
        <v>0</v>
      </c>
      <c r="DX237" s="415">
        <v>0</v>
      </c>
      <c r="DY237" s="415">
        <v>1</v>
      </c>
      <c r="DZ237" s="415">
        <v>0</v>
      </c>
      <c r="EA237" s="415">
        <v>0</v>
      </c>
      <c r="EB237" s="415">
        <v>0</v>
      </c>
      <c r="EC237" s="415">
        <v>0</v>
      </c>
      <c r="ED237" s="415">
        <v>0</v>
      </c>
      <c r="EE237" s="415">
        <v>0</v>
      </c>
      <c r="EF237" s="415">
        <v>0</v>
      </c>
      <c r="EG237" s="415">
        <v>0</v>
      </c>
      <c r="EH237" s="415">
        <v>0</v>
      </c>
      <c r="EI237" s="410">
        <f t="shared" si="95"/>
        <v>1</v>
      </c>
      <c r="EJ237" s="415">
        <v>0</v>
      </c>
      <c r="EK237" s="415">
        <v>0</v>
      </c>
      <c r="EL237" s="415">
        <v>0</v>
      </c>
      <c r="EM237" s="415">
        <v>0</v>
      </c>
      <c r="EN237" s="415">
        <v>0</v>
      </c>
      <c r="EO237" s="415">
        <v>0</v>
      </c>
      <c r="EP237" s="415">
        <v>0</v>
      </c>
      <c r="EQ237" s="415">
        <v>0</v>
      </c>
      <c r="ER237" s="415">
        <v>0</v>
      </c>
      <c r="ES237" s="415">
        <v>0</v>
      </c>
      <c r="ET237" s="415">
        <v>0</v>
      </c>
      <c r="EU237" s="415">
        <v>0</v>
      </c>
      <c r="EV237" s="410">
        <f t="shared" si="96"/>
        <v>0</v>
      </c>
      <c r="EW237" s="416">
        <f t="shared" si="97"/>
        <v>2</v>
      </c>
      <c r="EX237" s="417">
        <f>IFERROR(VLOOKUP(H237,CEI_012018!$A$1:$U$509,9,FALSE),0)</f>
        <v>0</v>
      </c>
      <c r="EY237" s="417">
        <f>IFERROR(VLOOKUP(H237,CEI_022018!$A$1:$U$509,9,FALSE),0)</f>
        <v>0</v>
      </c>
      <c r="EZ237" s="417">
        <f>IFERROR(VLOOKUP(H237,CEI_032018!$A$1:$U$509,9,FALSE),0)</f>
        <v>0</v>
      </c>
      <c r="FA237" s="417">
        <f>IFERROR(VLOOKUP(H237,CEI_042018!$A$1:$U$491,9,FALSE),0)</f>
        <v>0</v>
      </c>
      <c r="FB237" s="417">
        <f>IFERROR(VLOOKUP(H237,CEI_052018!$A$1:$U$489,9,FALSE),0)</f>
        <v>0</v>
      </c>
      <c r="FC237" s="417">
        <f>IFERROR(VLOOKUP(H237,CEI_062018!$A$1:$U$489,9,FALSE),0)</f>
        <v>0</v>
      </c>
      <c r="FD237" s="417">
        <f>IFERROR(VLOOKUP(H237,CEI_072018!$A$1:$U$489,9,FALSE),0)</f>
        <v>0</v>
      </c>
      <c r="FE237" s="417">
        <f>IFERROR(VLOOKUP(H237,CEI_082018!$A$1:$U$489,9,FALSE),0)</f>
        <v>0</v>
      </c>
      <c r="FF237" s="417">
        <f>IFERROR(VLOOKUP(H237,CEI_092018!$A$1:$U$489,9,FALSE),0)</f>
        <v>0</v>
      </c>
      <c r="FG237" s="417"/>
      <c r="FH237" s="417"/>
      <c r="FI237" s="417"/>
      <c r="FJ237" s="418">
        <f>IFERROR(VLOOKUP(H237,CEI_092018!$A$1:$U$489,12,FALSE),0)</f>
        <v>0</v>
      </c>
      <c r="FK237" s="418">
        <f t="shared" si="99"/>
        <v>0</v>
      </c>
      <c r="FL237" s="418">
        <f t="shared" si="100"/>
        <v>0</v>
      </c>
      <c r="FM237" s="417"/>
      <c r="FN237" s="417"/>
      <c r="FO237" s="417"/>
      <c r="FP237" s="417"/>
      <c r="FQ237" s="417"/>
      <c r="FR237" s="417"/>
      <c r="FS237" s="417"/>
      <c r="FT237" s="417"/>
      <c r="FU237" s="417"/>
      <c r="FV237" s="417"/>
      <c r="FW237" s="417"/>
      <c r="FX237" s="417"/>
      <c r="FY237" s="418"/>
      <c r="FZ237" s="418"/>
      <c r="GA237" s="418"/>
      <c r="GB237" s="417"/>
      <c r="GC237" s="417"/>
      <c r="GD237" s="417"/>
      <c r="GE237" s="417"/>
      <c r="GF237" s="417"/>
      <c r="GG237" s="417"/>
      <c r="GH237" s="417"/>
      <c r="GI237" s="417"/>
      <c r="GJ237" s="417"/>
      <c r="GK237" s="417"/>
      <c r="GL237" s="417"/>
      <c r="GM237" s="417"/>
      <c r="GN237" s="418"/>
      <c r="GO237" s="418"/>
      <c r="GP237" s="418"/>
      <c r="GQ237" s="417"/>
      <c r="GR237" s="417"/>
      <c r="GS237" s="417"/>
      <c r="GT237" s="417"/>
      <c r="GU237" s="417"/>
      <c r="GV237" s="417"/>
      <c r="GW237" s="417"/>
      <c r="GX237" s="417"/>
      <c r="GY237" s="417"/>
      <c r="GZ237" s="417"/>
      <c r="HA237" s="417"/>
      <c r="HB237" s="417"/>
      <c r="HC237" s="418"/>
      <c r="HD237" s="418"/>
      <c r="HE237" s="418"/>
      <c r="HF237" s="417"/>
      <c r="HG237" s="417"/>
      <c r="HH237" s="417"/>
      <c r="HI237" s="417"/>
      <c r="HJ237" s="417"/>
      <c r="HK237" s="417"/>
      <c r="HL237" s="417"/>
      <c r="HM237" s="417"/>
      <c r="HN237" s="417"/>
      <c r="HO237" s="417"/>
      <c r="HP237" s="417"/>
      <c r="HQ237" s="417"/>
      <c r="HR237" s="418"/>
      <c r="HS237" s="418"/>
      <c r="HT237" s="418"/>
    </row>
    <row r="238" spans="1:228" s="387" customFormat="1" ht="12.75" customHeight="1" x14ac:dyDescent="0.2">
      <c r="A238" s="406" t="s">
        <v>55</v>
      </c>
      <c r="B238" s="407" t="s">
        <v>42</v>
      </c>
      <c r="C238" s="406" t="s">
        <v>1000</v>
      </c>
      <c r="D238" s="407" t="s">
        <v>1004</v>
      </c>
      <c r="E238" s="407" t="s">
        <v>1000</v>
      </c>
      <c r="F238" s="407" t="s">
        <v>1004</v>
      </c>
      <c r="G238" s="406" t="s">
        <v>54</v>
      </c>
      <c r="H238" s="408" t="s">
        <v>520</v>
      </c>
      <c r="I238" s="408" t="s">
        <v>57</v>
      </c>
      <c r="J238" s="406" t="s">
        <v>386</v>
      </c>
      <c r="K238" s="406" t="s">
        <v>730</v>
      </c>
      <c r="L238" s="406" t="s">
        <v>731</v>
      </c>
      <c r="M238" s="406" t="s">
        <v>1770</v>
      </c>
      <c r="N238" s="452">
        <v>0</v>
      </c>
      <c r="O238" s="452">
        <v>0</v>
      </c>
      <c r="P238" s="452">
        <v>0</v>
      </c>
      <c r="Q238" s="452">
        <v>0</v>
      </c>
      <c r="R238" s="452">
        <v>0</v>
      </c>
      <c r="S238" s="452">
        <v>0</v>
      </c>
      <c r="T238" s="452">
        <v>0</v>
      </c>
      <c r="U238" s="409">
        <v>0</v>
      </c>
      <c r="V238" s="409">
        <v>0</v>
      </c>
      <c r="W238" s="409">
        <v>0</v>
      </c>
      <c r="X238" s="409">
        <v>0</v>
      </c>
      <c r="Y238" s="409">
        <v>0</v>
      </c>
      <c r="Z238" s="453">
        <f t="shared" si="83"/>
        <v>0</v>
      </c>
      <c r="AA238" s="452">
        <v>0</v>
      </c>
      <c r="AB238" s="452">
        <v>0</v>
      </c>
      <c r="AC238" s="452">
        <v>0</v>
      </c>
      <c r="AD238" s="452">
        <v>0</v>
      </c>
      <c r="AE238" s="452">
        <v>0</v>
      </c>
      <c r="AF238" s="452">
        <v>0</v>
      </c>
      <c r="AG238" s="452">
        <v>0</v>
      </c>
      <c r="AH238" s="409">
        <v>0</v>
      </c>
      <c r="AI238" s="409">
        <v>0</v>
      </c>
      <c r="AJ238" s="409">
        <v>0</v>
      </c>
      <c r="AK238" s="409">
        <v>0</v>
      </c>
      <c r="AL238" s="409">
        <v>0</v>
      </c>
      <c r="AM238" s="453">
        <f t="shared" si="78"/>
        <v>0</v>
      </c>
      <c r="AN238" s="452">
        <v>0</v>
      </c>
      <c r="AO238" s="452">
        <v>0</v>
      </c>
      <c r="AP238" s="452">
        <v>0</v>
      </c>
      <c r="AQ238" s="452">
        <v>0</v>
      </c>
      <c r="AR238" s="452">
        <v>0</v>
      </c>
      <c r="AS238" s="452">
        <v>0</v>
      </c>
      <c r="AT238" s="452">
        <v>0</v>
      </c>
      <c r="AU238" s="409">
        <v>0</v>
      </c>
      <c r="AV238" s="409">
        <v>0</v>
      </c>
      <c r="AW238" s="409">
        <v>50</v>
      </c>
      <c r="AX238" s="409">
        <v>50</v>
      </c>
      <c r="AY238" s="409">
        <v>50</v>
      </c>
      <c r="AZ238" s="453">
        <f t="shared" si="79"/>
        <v>150</v>
      </c>
      <c r="BA238" s="452">
        <v>50</v>
      </c>
      <c r="BB238" s="452">
        <v>50</v>
      </c>
      <c r="BC238" s="452">
        <v>50</v>
      </c>
      <c r="BD238" s="452">
        <v>0</v>
      </c>
      <c r="BE238" s="452">
        <v>0</v>
      </c>
      <c r="BF238" s="452">
        <v>0</v>
      </c>
      <c r="BG238" s="452">
        <v>0</v>
      </c>
      <c r="BH238" s="409">
        <v>0</v>
      </c>
      <c r="BI238" s="409">
        <v>0</v>
      </c>
      <c r="BJ238" s="409">
        <v>0</v>
      </c>
      <c r="BK238" s="409">
        <v>0</v>
      </c>
      <c r="BL238" s="409">
        <v>0</v>
      </c>
      <c r="BM238" s="453">
        <f t="shared" si="80"/>
        <v>150</v>
      </c>
      <c r="BN238" s="452">
        <v>0</v>
      </c>
      <c r="BO238" s="452">
        <v>0</v>
      </c>
      <c r="BP238" s="452">
        <v>0</v>
      </c>
      <c r="BQ238" s="452">
        <v>0</v>
      </c>
      <c r="BR238" s="452">
        <v>0</v>
      </c>
      <c r="BS238" s="452">
        <v>0</v>
      </c>
      <c r="BT238" s="452">
        <v>0</v>
      </c>
      <c r="BU238" s="409">
        <v>0</v>
      </c>
      <c r="BV238" s="409">
        <v>0</v>
      </c>
      <c r="BW238" s="409">
        <v>0</v>
      </c>
      <c r="BX238" s="409">
        <v>0</v>
      </c>
      <c r="BY238" s="409">
        <v>0</v>
      </c>
      <c r="BZ238" s="453">
        <f t="shared" si="81"/>
        <v>0</v>
      </c>
      <c r="CA238" s="454">
        <f t="shared" si="82"/>
        <v>300</v>
      </c>
      <c r="CB238" s="411"/>
      <c r="CC238" s="411"/>
      <c r="CD238" s="411"/>
      <c r="CE238" s="411"/>
      <c r="CF238" s="411"/>
      <c r="CG238" s="412"/>
      <c r="CH238" s="413"/>
      <c r="CI238" s="414" t="s">
        <v>1621</v>
      </c>
      <c r="CJ238" s="415">
        <v>0</v>
      </c>
      <c r="CK238" s="415">
        <v>0</v>
      </c>
      <c r="CL238" s="415">
        <v>0</v>
      </c>
      <c r="CM238" s="415">
        <v>0</v>
      </c>
      <c r="CN238" s="415">
        <v>0</v>
      </c>
      <c r="CO238" s="415">
        <v>0</v>
      </c>
      <c r="CP238" s="415">
        <v>0</v>
      </c>
      <c r="CQ238" s="415">
        <v>0</v>
      </c>
      <c r="CR238" s="415">
        <v>0</v>
      </c>
      <c r="CS238" s="415">
        <v>0</v>
      </c>
      <c r="CT238" s="415">
        <v>0</v>
      </c>
      <c r="CU238" s="415">
        <v>0</v>
      </c>
      <c r="CV238" s="410">
        <f t="shared" si="92"/>
        <v>0</v>
      </c>
      <c r="CW238" s="415">
        <v>0</v>
      </c>
      <c r="CX238" s="415">
        <v>0</v>
      </c>
      <c r="CY238" s="415">
        <v>0</v>
      </c>
      <c r="CZ238" s="415">
        <v>0</v>
      </c>
      <c r="DA238" s="415">
        <v>0</v>
      </c>
      <c r="DB238" s="415">
        <v>0</v>
      </c>
      <c r="DC238" s="415">
        <v>0</v>
      </c>
      <c r="DD238" s="415">
        <v>0</v>
      </c>
      <c r="DE238" s="415">
        <v>0</v>
      </c>
      <c r="DF238" s="415">
        <v>0</v>
      </c>
      <c r="DG238" s="415">
        <v>0</v>
      </c>
      <c r="DH238" s="415">
        <v>0</v>
      </c>
      <c r="DI238" s="410">
        <f t="shared" si="93"/>
        <v>0</v>
      </c>
      <c r="DJ238" s="415">
        <v>0</v>
      </c>
      <c r="DK238" s="415">
        <v>0</v>
      </c>
      <c r="DL238" s="415">
        <v>0</v>
      </c>
      <c r="DM238" s="415">
        <v>0</v>
      </c>
      <c r="DN238" s="415">
        <v>0</v>
      </c>
      <c r="DO238" s="415">
        <v>0</v>
      </c>
      <c r="DP238" s="415">
        <v>0</v>
      </c>
      <c r="DQ238" s="415">
        <v>0</v>
      </c>
      <c r="DR238" s="415">
        <v>0</v>
      </c>
      <c r="DS238" s="415">
        <v>0</v>
      </c>
      <c r="DT238" s="415">
        <v>0</v>
      </c>
      <c r="DU238" s="415">
        <v>1</v>
      </c>
      <c r="DV238" s="410">
        <f t="shared" si="94"/>
        <v>1</v>
      </c>
      <c r="DW238" s="415">
        <v>0</v>
      </c>
      <c r="DX238" s="415">
        <v>0</v>
      </c>
      <c r="DY238" s="415">
        <v>1</v>
      </c>
      <c r="DZ238" s="415">
        <v>0</v>
      </c>
      <c r="EA238" s="415">
        <v>0</v>
      </c>
      <c r="EB238" s="415">
        <v>0</v>
      </c>
      <c r="EC238" s="415">
        <v>0</v>
      </c>
      <c r="ED238" s="415">
        <v>0</v>
      </c>
      <c r="EE238" s="415">
        <v>0</v>
      </c>
      <c r="EF238" s="415">
        <v>0</v>
      </c>
      <c r="EG238" s="415">
        <v>0</v>
      </c>
      <c r="EH238" s="415">
        <v>0</v>
      </c>
      <c r="EI238" s="410">
        <f t="shared" si="95"/>
        <v>1</v>
      </c>
      <c r="EJ238" s="415">
        <v>0</v>
      </c>
      <c r="EK238" s="415">
        <v>0</v>
      </c>
      <c r="EL238" s="415">
        <v>0</v>
      </c>
      <c r="EM238" s="415">
        <v>0</v>
      </c>
      <c r="EN238" s="415">
        <v>0</v>
      </c>
      <c r="EO238" s="415">
        <v>0</v>
      </c>
      <c r="EP238" s="415">
        <v>0</v>
      </c>
      <c r="EQ238" s="415">
        <v>0</v>
      </c>
      <c r="ER238" s="415">
        <v>0</v>
      </c>
      <c r="ES238" s="415">
        <v>0</v>
      </c>
      <c r="ET238" s="415">
        <v>0</v>
      </c>
      <c r="EU238" s="415">
        <v>0</v>
      </c>
      <c r="EV238" s="410">
        <f t="shared" si="96"/>
        <v>0</v>
      </c>
      <c r="EW238" s="416">
        <f t="shared" si="97"/>
        <v>2</v>
      </c>
      <c r="EX238" s="417">
        <f>IFERROR(VLOOKUP(H238,CEI_012018!$A$1:$U$509,9,FALSE),0)</f>
        <v>0</v>
      </c>
      <c r="EY238" s="417">
        <f>IFERROR(VLOOKUP(H238,CEI_022018!$A$1:$U$509,9,FALSE),0)</f>
        <v>0</v>
      </c>
      <c r="EZ238" s="417">
        <f>IFERROR(VLOOKUP(H238,CEI_032018!$A$1:$U$509,9,FALSE),0)</f>
        <v>0</v>
      </c>
      <c r="FA238" s="417">
        <f>IFERROR(VLOOKUP(H238,CEI_042018!$A$1:$U$491,9,FALSE),0)</f>
        <v>0</v>
      </c>
      <c r="FB238" s="417">
        <f>IFERROR(VLOOKUP(H238,CEI_052018!$A$1:$U$489,9,FALSE),0)</f>
        <v>0</v>
      </c>
      <c r="FC238" s="417">
        <f>IFERROR(VLOOKUP(H238,CEI_062018!$A$1:$U$489,9,FALSE),0)</f>
        <v>0</v>
      </c>
      <c r="FD238" s="417">
        <f>IFERROR(VLOOKUP(H238,CEI_072018!$A$1:$U$489,9,FALSE),0)</f>
        <v>0</v>
      </c>
      <c r="FE238" s="417">
        <f>IFERROR(VLOOKUP(H238,CEI_082018!$A$1:$U$489,9,FALSE),0)</f>
        <v>0</v>
      </c>
      <c r="FF238" s="417">
        <f>IFERROR(VLOOKUP(H238,CEI_092018!$A$1:$U$489,9,FALSE),0)</f>
        <v>0</v>
      </c>
      <c r="FG238" s="417"/>
      <c r="FH238" s="417"/>
      <c r="FI238" s="417"/>
      <c r="FJ238" s="418">
        <f>IFERROR(VLOOKUP(H238,CEI_092018!$A$1:$U$489,12,FALSE),0)</f>
        <v>0</v>
      </c>
      <c r="FK238" s="418">
        <f t="shared" si="99"/>
        <v>0</v>
      </c>
      <c r="FL238" s="418">
        <f t="shared" si="100"/>
        <v>0</v>
      </c>
      <c r="FM238" s="417"/>
      <c r="FN238" s="417"/>
      <c r="FO238" s="417"/>
      <c r="FP238" s="417"/>
      <c r="FQ238" s="417"/>
      <c r="FR238" s="417"/>
      <c r="FS238" s="417"/>
      <c r="FT238" s="417"/>
      <c r="FU238" s="417"/>
      <c r="FV238" s="417"/>
      <c r="FW238" s="417"/>
      <c r="FX238" s="417"/>
      <c r="FY238" s="418"/>
      <c r="FZ238" s="418"/>
      <c r="GA238" s="418"/>
      <c r="GB238" s="417"/>
      <c r="GC238" s="417"/>
      <c r="GD238" s="417"/>
      <c r="GE238" s="417"/>
      <c r="GF238" s="417"/>
      <c r="GG238" s="417"/>
      <c r="GH238" s="417"/>
      <c r="GI238" s="417"/>
      <c r="GJ238" s="417"/>
      <c r="GK238" s="417"/>
      <c r="GL238" s="417"/>
      <c r="GM238" s="417"/>
      <c r="GN238" s="418"/>
      <c r="GO238" s="418"/>
      <c r="GP238" s="418"/>
      <c r="GQ238" s="417"/>
      <c r="GR238" s="417"/>
      <c r="GS238" s="417"/>
      <c r="GT238" s="417"/>
      <c r="GU238" s="417"/>
      <c r="GV238" s="417"/>
      <c r="GW238" s="417"/>
      <c r="GX238" s="417"/>
      <c r="GY238" s="417"/>
      <c r="GZ238" s="417"/>
      <c r="HA238" s="417"/>
      <c r="HB238" s="417"/>
      <c r="HC238" s="418"/>
      <c r="HD238" s="418"/>
      <c r="HE238" s="418"/>
      <c r="HF238" s="417"/>
      <c r="HG238" s="417"/>
      <c r="HH238" s="417"/>
      <c r="HI238" s="417"/>
      <c r="HJ238" s="417"/>
      <c r="HK238" s="417"/>
      <c r="HL238" s="417"/>
      <c r="HM238" s="417"/>
      <c r="HN238" s="417"/>
      <c r="HO238" s="417"/>
      <c r="HP238" s="417"/>
      <c r="HQ238" s="417"/>
      <c r="HR238" s="418"/>
      <c r="HS238" s="418"/>
      <c r="HT238" s="418"/>
    </row>
    <row r="239" spans="1:228" s="387" customFormat="1" ht="12.75" customHeight="1" x14ac:dyDescent="0.2">
      <c r="A239" s="406" t="s">
        <v>55</v>
      </c>
      <c r="B239" s="407" t="s">
        <v>42</v>
      </c>
      <c r="C239" s="406" t="s">
        <v>1000</v>
      </c>
      <c r="D239" s="407" t="s">
        <v>1004</v>
      </c>
      <c r="E239" s="407" t="s">
        <v>1000</v>
      </c>
      <c r="F239" s="407" t="s">
        <v>1004</v>
      </c>
      <c r="G239" s="406" t="s">
        <v>54</v>
      </c>
      <c r="H239" s="408" t="s">
        <v>520</v>
      </c>
      <c r="I239" s="408" t="s">
        <v>57</v>
      </c>
      <c r="J239" s="406" t="s">
        <v>962</v>
      </c>
      <c r="K239" s="406"/>
      <c r="L239" s="406"/>
      <c r="M239" s="406" t="s">
        <v>1770</v>
      </c>
      <c r="N239" s="452">
        <v>0</v>
      </c>
      <c r="O239" s="452">
        <v>0</v>
      </c>
      <c r="P239" s="452">
        <v>0</v>
      </c>
      <c r="Q239" s="452">
        <v>0</v>
      </c>
      <c r="R239" s="452">
        <v>0</v>
      </c>
      <c r="S239" s="452">
        <v>0</v>
      </c>
      <c r="T239" s="452">
        <v>0</v>
      </c>
      <c r="U239" s="409">
        <v>0</v>
      </c>
      <c r="V239" s="409">
        <v>0</v>
      </c>
      <c r="W239" s="409">
        <v>0</v>
      </c>
      <c r="X239" s="409">
        <v>0</v>
      </c>
      <c r="Y239" s="409">
        <v>0</v>
      </c>
      <c r="Z239" s="453">
        <f t="shared" si="83"/>
        <v>0</v>
      </c>
      <c r="AA239" s="452">
        <v>0</v>
      </c>
      <c r="AB239" s="452">
        <v>0</v>
      </c>
      <c r="AC239" s="452">
        <v>0</v>
      </c>
      <c r="AD239" s="452">
        <v>0</v>
      </c>
      <c r="AE239" s="452">
        <v>0</v>
      </c>
      <c r="AF239" s="452">
        <v>0</v>
      </c>
      <c r="AG239" s="452">
        <v>0</v>
      </c>
      <c r="AH239" s="409">
        <v>0</v>
      </c>
      <c r="AI239" s="409">
        <v>0</v>
      </c>
      <c r="AJ239" s="409">
        <v>0</v>
      </c>
      <c r="AK239" s="409">
        <v>0</v>
      </c>
      <c r="AL239" s="409">
        <v>0</v>
      </c>
      <c r="AM239" s="453">
        <f t="shared" si="78"/>
        <v>0</v>
      </c>
      <c r="AN239" s="452">
        <v>0</v>
      </c>
      <c r="AO239" s="452">
        <v>0</v>
      </c>
      <c r="AP239" s="452">
        <v>150</v>
      </c>
      <c r="AQ239" s="452">
        <v>0</v>
      </c>
      <c r="AR239" s="452">
        <v>0</v>
      </c>
      <c r="AS239" s="452">
        <v>0</v>
      </c>
      <c r="AT239" s="452">
        <v>0</v>
      </c>
      <c r="AU239" s="409">
        <v>0</v>
      </c>
      <c r="AV239" s="409">
        <v>0</v>
      </c>
      <c r="AW239" s="409">
        <v>0</v>
      </c>
      <c r="AX239" s="409">
        <v>0</v>
      </c>
      <c r="AY239" s="409">
        <v>0</v>
      </c>
      <c r="AZ239" s="453">
        <f t="shared" si="79"/>
        <v>150</v>
      </c>
      <c r="BA239" s="452">
        <v>0</v>
      </c>
      <c r="BB239" s="452">
        <v>0</v>
      </c>
      <c r="BC239" s="452">
        <v>150</v>
      </c>
      <c r="BD239" s="452">
        <v>0</v>
      </c>
      <c r="BE239" s="452">
        <v>0</v>
      </c>
      <c r="BF239" s="452">
        <v>0</v>
      </c>
      <c r="BG239" s="452">
        <v>0</v>
      </c>
      <c r="BH239" s="409">
        <v>0</v>
      </c>
      <c r="BI239" s="409">
        <v>0</v>
      </c>
      <c r="BJ239" s="409">
        <v>0</v>
      </c>
      <c r="BK239" s="409">
        <v>0</v>
      </c>
      <c r="BL239" s="409">
        <v>0</v>
      </c>
      <c r="BM239" s="453">
        <f t="shared" si="80"/>
        <v>150</v>
      </c>
      <c r="BN239" s="452">
        <v>0</v>
      </c>
      <c r="BO239" s="452">
        <v>0</v>
      </c>
      <c r="BP239" s="452">
        <v>0</v>
      </c>
      <c r="BQ239" s="452">
        <v>0</v>
      </c>
      <c r="BR239" s="452">
        <v>0</v>
      </c>
      <c r="BS239" s="452">
        <v>0</v>
      </c>
      <c r="BT239" s="452">
        <v>0</v>
      </c>
      <c r="BU239" s="409">
        <v>0</v>
      </c>
      <c r="BV239" s="409">
        <v>0</v>
      </c>
      <c r="BW239" s="409">
        <v>0</v>
      </c>
      <c r="BX239" s="409">
        <v>0</v>
      </c>
      <c r="BY239" s="409">
        <v>0</v>
      </c>
      <c r="BZ239" s="453">
        <f t="shared" si="81"/>
        <v>0</v>
      </c>
      <c r="CA239" s="454">
        <f t="shared" si="82"/>
        <v>300</v>
      </c>
      <c r="CB239" s="411"/>
      <c r="CC239" s="411"/>
      <c r="CD239" s="411"/>
      <c r="CE239" s="411"/>
      <c r="CF239" s="411"/>
      <c r="CG239" s="412"/>
      <c r="CH239" s="413"/>
      <c r="CI239" s="414" t="s">
        <v>1621</v>
      </c>
      <c r="CJ239" s="415">
        <v>0</v>
      </c>
      <c r="CK239" s="415">
        <v>0</v>
      </c>
      <c r="CL239" s="415">
        <v>0</v>
      </c>
      <c r="CM239" s="415">
        <v>0</v>
      </c>
      <c r="CN239" s="415">
        <v>0</v>
      </c>
      <c r="CO239" s="415">
        <v>0</v>
      </c>
      <c r="CP239" s="415">
        <v>0</v>
      </c>
      <c r="CQ239" s="415">
        <v>0</v>
      </c>
      <c r="CR239" s="415">
        <v>0</v>
      </c>
      <c r="CS239" s="415">
        <v>0</v>
      </c>
      <c r="CT239" s="415">
        <v>0</v>
      </c>
      <c r="CU239" s="415">
        <v>0</v>
      </c>
      <c r="CV239" s="410">
        <f t="shared" si="92"/>
        <v>0</v>
      </c>
      <c r="CW239" s="415">
        <v>0</v>
      </c>
      <c r="CX239" s="415">
        <v>0</v>
      </c>
      <c r="CY239" s="415">
        <v>0</v>
      </c>
      <c r="CZ239" s="415">
        <v>0</v>
      </c>
      <c r="DA239" s="415">
        <v>0</v>
      </c>
      <c r="DB239" s="415">
        <v>0</v>
      </c>
      <c r="DC239" s="415">
        <v>0</v>
      </c>
      <c r="DD239" s="415">
        <v>0</v>
      </c>
      <c r="DE239" s="415">
        <v>0</v>
      </c>
      <c r="DF239" s="415">
        <v>0</v>
      </c>
      <c r="DG239" s="415">
        <v>0</v>
      </c>
      <c r="DH239" s="415">
        <v>0</v>
      </c>
      <c r="DI239" s="410">
        <f t="shared" si="93"/>
        <v>0</v>
      </c>
      <c r="DJ239" s="415">
        <v>0</v>
      </c>
      <c r="DK239" s="415">
        <v>0</v>
      </c>
      <c r="DL239" s="415">
        <v>1</v>
      </c>
      <c r="DM239" s="415">
        <v>0</v>
      </c>
      <c r="DN239" s="415">
        <v>0</v>
      </c>
      <c r="DO239" s="415">
        <v>0</v>
      </c>
      <c r="DP239" s="415">
        <v>0</v>
      </c>
      <c r="DQ239" s="415">
        <v>0</v>
      </c>
      <c r="DR239" s="415">
        <v>0</v>
      </c>
      <c r="DS239" s="415">
        <v>0</v>
      </c>
      <c r="DT239" s="415">
        <v>0</v>
      </c>
      <c r="DU239" s="415">
        <v>0</v>
      </c>
      <c r="DV239" s="410">
        <f t="shared" si="94"/>
        <v>1</v>
      </c>
      <c r="DW239" s="415">
        <v>0</v>
      </c>
      <c r="DX239" s="415">
        <v>0</v>
      </c>
      <c r="DY239" s="415">
        <v>1</v>
      </c>
      <c r="DZ239" s="415">
        <v>0</v>
      </c>
      <c r="EA239" s="415">
        <v>0</v>
      </c>
      <c r="EB239" s="415">
        <v>0</v>
      </c>
      <c r="EC239" s="415">
        <v>0</v>
      </c>
      <c r="ED239" s="415">
        <v>0</v>
      </c>
      <c r="EE239" s="415">
        <v>0</v>
      </c>
      <c r="EF239" s="415">
        <v>0</v>
      </c>
      <c r="EG239" s="415">
        <v>0</v>
      </c>
      <c r="EH239" s="415">
        <v>0</v>
      </c>
      <c r="EI239" s="410">
        <f t="shared" si="95"/>
        <v>1</v>
      </c>
      <c r="EJ239" s="415">
        <v>0</v>
      </c>
      <c r="EK239" s="415">
        <v>0</v>
      </c>
      <c r="EL239" s="415">
        <v>0</v>
      </c>
      <c r="EM239" s="415">
        <v>0</v>
      </c>
      <c r="EN239" s="415">
        <v>0</v>
      </c>
      <c r="EO239" s="415">
        <v>0</v>
      </c>
      <c r="EP239" s="415">
        <v>0</v>
      </c>
      <c r="EQ239" s="415">
        <v>0</v>
      </c>
      <c r="ER239" s="415">
        <v>0</v>
      </c>
      <c r="ES239" s="415">
        <v>0</v>
      </c>
      <c r="ET239" s="415">
        <v>0</v>
      </c>
      <c r="EU239" s="415">
        <v>0</v>
      </c>
      <c r="EV239" s="410">
        <f t="shared" si="96"/>
        <v>0</v>
      </c>
      <c r="EW239" s="416">
        <f t="shared" si="97"/>
        <v>2</v>
      </c>
      <c r="EX239" s="417">
        <f>IFERROR(VLOOKUP(H239,CEI_012018!$A$1:$U$509,9,FALSE),0)</f>
        <v>0</v>
      </c>
      <c r="EY239" s="417">
        <f>IFERROR(VLOOKUP(H239,CEI_022018!$A$1:$U$509,9,FALSE),0)</f>
        <v>0</v>
      </c>
      <c r="EZ239" s="417">
        <f>IFERROR(VLOOKUP(H239,CEI_032018!$A$1:$U$509,9,FALSE),0)</f>
        <v>0</v>
      </c>
      <c r="FA239" s="417">
        <f>IFERROR(VLOOKUP(H239,CEI_042018!$A$1:$U$491,9,FALSE),0)</f>
        <v>0</v>
      </c>
      <c r="FB239" s="417">
        <f>IFERROR(VLOOKUP(H239,CEI_052018!$A$1:$U$489,9,FALSE),0)</f>
        <v>0</v>
      </c>
      <c r="FC239" s="417">
        <f>IFERROR(VLOOKUP(H239,CEI_062018!$A$1:$U$489,9,FALSE),0)</f>
        <v>0</v>
      </c>
      <c r="FD239" s="417">
        <f>IFERROR(VLOOKUP(H239,CEI_072018!$A$1:$U$489,9,FALSE),0)</f>
        <v>0</v>
      </c>
      <c r="FE239" s="417">
        <f>IFERROR(VLOOKUP(H239,CEI_082018!$A$1:$U$489,9,FALSE),0)</f>
        <v>0</v>
      </c>
      <c r="FF239" s="417">
        <f>IFERROR(VLOOKUP(H239,CEI_092018!$A$1:$U$489,9,FALSE),0)</f>
        <v>0</v>
      </c>
      <c r="FG239" s="417"/>
      <c r="FH239" s="417"/>
      <c r="FI239" s="417"/>
      <c r="FJ239" s="418">
        <f>IFERROR(VLOOKUP(H239,CEI_092018!$A$1:$U$489,12,FALSE),0)</f>
        <v>0</v>
      </c>
      <c r="FK239" s="418">
        <f t="shared" si="99"/>
        <v>0</v>
      </c>
      <c r="FL239" s="418">
        <f t="shared" si="100"/>
        <v>0</v>
      </c>
      <c r="FM239" s="417"/>
      <c r="FN239" s="417"/>
      <c r="FO239" s="417"/>
      <c r="FP239" s="417"/>
      <c r="FQ239" s="417"/>
      <c r="FR239" s="417"/>
      <c r="FS239" s="417"/>
      <c r="FT239" s="417"/>
      <c r="FU239" s="417"/>
      <c r="FV239" s="417"/>
      <c r="FW239" s="417"/>
      <c r="FX239" s="417"/>
      <c r="FY239" s="418"/>
      <c r="FZ239" s="418"/>
      <c r="GA239" s="418"/>
      <c r="GB239" s="417"/>
      <c r="GC239" s="417"/>
      <c r="GD239" s="417"/>
      <c r="GE239" s="417"/>
      <c r="GF239" s="417"/>
      <c r="GG239" s="417"/>
      <c r="GH239" s="417"/>
      <c r="GI239" s="417"/>
      <c r="GJ239" s="417"/>
      <c r="GK239" s="417"/>
      <c r="GL239" s="417"/>
      <c r="GM239" s="417"/>
      <c r="GN239" s="418"/>
      <c r="GO239" s="418"/>
      <c r="GP239" s="418"/>
      <c r="GQ239" s="417"/>
      <c r="GR239" s="417"/>
      <c r="GS239" s="417"/>
      <c r="GT239" s="417"/>
      <c r="GU239" s="417"/>
      <c r="GV239" s="417"/>
      <c r="GW239" s="417"/>
      <c r="GX239" s="417"/>
      <c r="GY239" s="417"/>
      <c r="GZ239" s="417"/>
      <c r="HA239" s="417"/>
      <c r="HB239" s="417"/>
      <c r="HC239" s="418"/>
      <c r="HD239" s="418"/>
      <c r="HE239" s="418"/>
      <c r="HF239" s="417"/>
      <c r="HG239" s="417"/>
      <c r="HH239" s="417"/>
      <c r="HI239" s="417"/>
      <c r="HJ239" s="417"/>
      <c r="HK239" s="417"/>
      <c r="HL239" s="417"/>
      <c r="HM239" s="417"/>
      <c r="HN239" s="417"/>
      <c r="HO239" s="417"/>
      <c r="HP239" s="417"/>
      <c r="HQ239" s="417"/>
      <c r="HR239" s="418"/>
      <c r="HS239" s="418"/>
      <c r="HT239" s="418"/>
    </row>
    <row r="240" spans="1:228" s="387" customFormat="1" ht="12.75" customHeight="1" x14ac:dyDescent="0.2">
      <c r="A240" s="406" t="s">
        <v>55</v>
      </c>
      <c r="B240" s="407" t="s">
        <v>42</v>
      </c>
      <c r="C240" s="406" t="s">
        <v>1000</v>
      </c>
      <c r="D240" s="407" t="s">
        <v>1006</v>
      </c>
      <c r="E240" s="407" t="s">
        <v>1000</v>
      </c>
      <c r="F240" s="407" t="s">
        <v>1006</v>
      </c>
      <c r="G240" s="406" t="s">
        <v>54</v>
      </c>
      <c r="H240" s="408" t="s">
        <v>520</v>
      </c>
      <c r="I240" s="408" t="s">
        <v>57</v>
      </c>
      <c r="J240" s="406" t="s">
        <v>763</v>
      </c>
      <c r="K240" s="406" t="s">
        <v>764</v>
      </c>
      <c r="L240" s="406" t="s">
        <v>762</v>
      </c>
      <c r="M240" s="406" t="s">
        <v>57</v>
      </c>
      <c r="N240" s="452">
        <v>0</v>
      </c>
      <c r="O240" s="452">
        <v>0</v>
      </c>
      <c r="P240" s="452">
        <v>0</v>
      </c>
      <c r="Q240" s="452">
        <v>0</v>
      </c>
      <c r="R240" s="452">
        <v>0</v>
      </c>
      <c r="S240" s="452">
        <v>0</v>
      </c>
      <c r="T240" s="452">
        <v>0</v>
      </c>
      <c r="U240" s="409">
        <v>0</v>
      </c>
      <c r="V240" s="409">
        <v>0</v>
      </c>
      <c r="W240" s="409">
        <v>0</v>
      </c>
      <c r="X240" s="409">
        <v>0</v>
      </c>
      <c r="Y240" s="409">
        <v>0</v>
      </c>
      <c r="Z240" s="453">
        <f t="shared" si="83"/>
        <v>0</v>
      </c>
      <c r="AA240" s="452">
        <v>0</v>
      </c>
      <c r="AB240" s="452">
        <v>0</v>
      </c>
      <c r="AC240" s="452">
        <v>0</v>
      </c>
      <c r="AD240" s="452">
        <v>0</v>
      </c>
      <c r="AE240" s="452">
        <v>0</v>
      </c>
      <c r="AF240" s="452">
        <v>525</v>
      </c>
      <c r="AG240" s="452">
        <v>0</v>
      </c>
      <c r="AH240" s="409">
        <v>0</v>
      </c>
      <c r="AI240" s="409">
        <v>0</v>
      </c>
      <c r="AJ240" s="409">
        <v>0</v>
      </c>
      <c r="AK240" s="409">
        <v>0</v>
      </c>
      <c r="AL240" s="409">
        <v>0</v>
      </c>
      <c r="AM240" s="453">
        <f t="shared" si="78"/>
        <v>525</v>
      </c>
      <c r="AN240" s="452">
        <v>0</v>
      </c>
      <c r="AO240" s="452">
        <v>525</v>
      </c>
      <c r="AP240" s="452">
        <v>0</v>
      </c>
      <c r="AQ240" s="452">
        <v>0</v>
      </c>
      <c r="AR240" s="452">
        <v>0</v>
      </c>
      <c r="AS240" s="452">
        <v>0</v>
      </c>
      <c r="AT240" s="452">
        <v>0</v>
      </c>
      <c r="AU240" s="409">
        <v>0</v>
      </c>
      <c r="AV240" s="409">
        <v>0</v>
      </c>
      <c r="AW240" s="409">
        <v>0</v>
      </c>
      <c r="AX240" s="409">
        <v>0</v>
      </c>
      <c r="AY240" s="409">
        <v>0</v>
      </c>
      <c r="AZ240" s="453">
        <f t="shared" si="79"/>
        <v>525</v>
      </c>
      <c r="BA240" s="452">
        <v>0</v>
      </c>
      <c r="BB240" s="452">
        <v>0</v>
      </c>
      <c r="BC240" s="452">
        <v>0</v>
      </c>
      <c r="BD240" s="452">
        <v>0</v>
      </c>
      <c r="BE240" s="452">
        <v>0</v>
      </c>
      <c r="BF240" s="452">
        <v>0</v>
      </c>
      <c r="BG240" s="452">
        <v>0</v>
      </c>
      <c r="BH240" s="409">
        <v>0</v>
      </c>
      <c r="BI240" s="409">
        <v>0</v>
      </c>
      <c r="BJ240" s="409">
        <v>0</v>
      </c>
      <c r="BK240" s="409">
        <v>0</v>
      </c>
      <c r="BL240" s="409">
        <v>0</v>
      </c>
      <c r="BM240" s="453">
        <f t="shared" si="80"/>
        <v>0</v>
      </c>
      <c r="BN240" s="452">
        <v>0</v>
      </c>
      <c r="BO240" s="452">
        <v>0</v>
      </c>
      <c r="BP240" s="452">
        <v>0</v>
      </c>
      <c r="BQ240" s="452">
        <v>0</v>
      </c>
      <c r="BR240" s="452">
        <v>0</v>
      </c>
      <c r="BS240" s="452">
        <v>0</v>
      </c>
      <c r="BT240" s="452">
        <v>0</v>
      </c>
      <c r="BU240" s="409">
        <v>0</v>
      </c>
      <c r="BV240" s="409">
        <v>0</v>
      </c>
      <c r="BW240" s="409">
        <v>0</v>
      </c>
      <c r="BX240" s="409">
        <v>0</v>
      </c>
      <c r="BY240" s="409">
        <v>0</v>
      </c>
      <c r="BZ240" s="453">
        <f t="shared" si="81"/>
        <v>0</v>
      </c>
      <c r="CA240" s="454">
        <f t="shared" si="82"/>
        <v>1050</v>
      </c>
      <c r="CB240" s="445"/>
      <c r="CC240" s="445"/>
      <c r="CD240" s="445"/>
      <c r="CE240" s="445"/>
      <c r="CF240" s="445"/>
      <c r="CG240" s="446"/>
      <c r="CH240" s="447"/>
      <c r="CI240" s="414" t="s">
        <v>1603</v>
      </c>
      <c r="CJ240" s="415">
        <v>0</v>
      </c>
      <c r="CK240" s="415">
        <v>0</v>
      </c>
      <c r="CL240" s="415">
        <v>0</v>
      </c>
      <c r="CM240" s="415">
        <v>0</v>
      </c>
      <c r="CN240" s="415">
        <v>0</v>
      </c>
      <c r="CO240" s="415">
        <v>0</v>
      </c>
      <c r="CP240" s="415">
        <v>0</v>
      </c>
      <c r="CQ240" s="415">
        <v>0</v>
      </c>
      <c r="CR240" s="415">
        <v>0</v>
      </c>
      <c r="CS240" s="415">
        <v>0</v>
      </c>
      <c r="CT240" s="415">
        <v>0</v>
      </c>
      <c r="CU240" s="415">
        <v>0</v>
      </c>
      <c r="CV240" s="410">
        <f t="shared" si="92"/>
        <v>0</v>
      </c>
      <c r="CW240" s="415">
        <v>0</v>
      </c>
      <c r="CX240" s="415">
        <v>0</v>
      </c>
      <c r="CY240" s="415">
        <v>0</v>
      </c>
      <c r="CZ240" s="415">
        <v>0</v>
      </c>
      <c r="DA240" s="415">
        <v>0</v>
      </c>
      <c r="DB240" s="415">
        <v>150</v>
      </c>
      <c r="DC240" s="415">
        <v>0</v>
      </c>
      <c r="DD240" s="415">
        <v>0</v>
      </c>
      <c r="DE240" s="415">
        <v>0</v>
      </c>
      <c r="DF240" s="415">
        <v>0</v>
      </c>
      <c r="DG240" s="415">
        <v>0</v>
      </c>
      <c r="DH240" s="415">
        <v>0</v>
      </c>
      <c r="DI240" s="410">
        <f t="shared" si="93"/>
        <v>150</v>
      </c>
      <c r="DJ240" s="415">
        <v>0</v>
      </c>
      <c r="DK240" s="415">
        <v>150</v>
      </c>
      <c r="DL240" s="415">
        <v>0</v>
      </c>
      <c r="DM240" s="415">
        <v>0</v>
      </c>
      <c r="DN240" s="415">
        <v>0</v>
      </c>
      <c r="DO240" s="415">
        <v>0</v>
      </c>
      <c r="DP240" s="415">
        <v>0</v>
      </c>
      <c r="DQ240" s="415">
        <v>0</v>
      </c>
      <c r="DR240" s="415">
        <v>0</v>
      </c>
      <c r="DS240" s="415">
        <v>0</v>
      </c>
      <c r="DT240" s="415">
        <v>0</v>
      </c>
      <c r="DU240" s="415">
        <v>0</v>
      </c>
      <c r="DV240" s="410">
        <f t="shared" si="94"/>
        <v>150</v>
      </c>
      <c r="DW240" s="415">
        <v>0</v>
      </c>
      <c r="DX240" s="415">
        <v>0</v>
      </c>
      <c r="DY240" s="415">
        <v>0</v>
      </c>
      <c r="DZ240" s="415">
        <v>0</v>
      </c>
      <c r="EA240" s="415">
        <v>0</v>
      </c>
      <c r="EB240" s="415">
        <v>0</v>
      </c>
      <c r="EC240" s="415">
        <v>0</v>
      </c>
      <c r="ED240" s="415">
        <v>0</v>
      </c>
      <c r="EE240" s="415">
        <v>0</v>
      </c>
      <c r="EF240" s="415">
        <v>0</v>
      </c>
      <c r="EG240" s="415">
        <v>0</v>
      </c>
      <c r="EH240" s="415">
        <v>0</v>
      </c>
      <c r="EI240" s="410">
        <f t="shared" si="95"/>
        <v>0</v>
      </c>
      <c r="EJ240" s="415">
        <v>0</v>
      </c>
      <c r="EK240" s="415">
        <v>0</v>
      </c>
      <c r="EL240" s="415">
        <v>0</v>
      </c>
      <c r="EM240" s="415">
        <v>0</v>
      </c>
      <c r="EN240" s="415">
        <v>0</v>
      </c>
      <c r="EO240" s="415">
        <v>0</v>
      </c>
      <c r="EP240" s="415">
        <v>0</v>
      </c>
      <c r="EQ240" s="415">
        <v>0</v>
      </c>
      <c r="ER240" s="415">
        <v>0</v>
      </c>
      <c r="ES240" s="415">
        <v>0</v>
      </c>
      <c r="ET240" s="415">
        <v>0</v>
      </c>
      <c r="EU240" s="415">
        <v>0</v>
      </c>
      <c r="EV240" s="410">
        <f t="shared" si="96"/>
        <v>0</v>
      </c>
      <c r="EW240" s="416">
        <f t="shared" si="97"/>
        <v>300</v>
      </c>
      <c r="EX240" s="417">
        <f>IFERROR(VLOOKUP(H240,CEI_012018!$A$1:$U$509,9,FALSE),0)</f>
        <v>0</v>
      </c>
      <c r="EY240" s="417">
        <f>IFERROR(VLOOKUP(H240,CEI_022018!$A$1:$U$509,9,FALSE),0)</f>
        <v>0</v>
      </c>
      <c r="EZ240" s="417">
        <f>IFERROR(VLOOKUP(H240,CEI_032018!$A$1:$U$509,9,FALSE),0)</f>
        <v>0</v>
      </c>
      <c r="FA240" s="417">
        <f>IFERROR(VLOOKUP(H240,CEI_042018!$A$1:$U$491,9,FALSE),0)</f>
        <v>0</v>
      </c>
      <c r="FB240" s="417">
        <f>IFERROR(VLOOKUP(H240,CEI_052018!$A$1:$U$489,9,FALSE),0)</f>
        <v>0</v>
      </c>
      <c r="FC240" s="417">
        <f>IFERROR(VLOOKUP(H240,CEI_062018!$A$1:$U$489,9,FALSE),0)</f>
        <v>0</v>
      </c>
      <c r="FD240" s="417">
        <f>IFERROR(VLOOKUP(H240,CEI_072018!$A$1:$U$489,9,FALSE),0)</f>
        <v>0</v>
      </c>
      <c r="FE240" s="417">
        <f>IFERROR(VLOOKUP(H240,CEI_082018!$A$1:$U$489,9,FALSE),0)</f>
        <v>0</v>
      </c>
      <c r="FF240" s="417">
        <f>IFERROR(VLOOKUP(H240,CEI_092018!$A$1:$U$489,9,FALSE),0)</f>
        <v>0</v>
      </c>
      <c r="FG240" s="417"/>
      <c r="FH240" s="417"/>
      <c r="FI240" s="417"/>
      <c r="FJ240" s="418">
        <f>IFERROR(VLOOKUP(H240,CEI_092018!$A$1:$U$489,12,FALSE),0)</f>
        <v>0</v>
      </c>
      <c r="FK240" s="418">
        <f t="shared" si="99"/>
        <v>0</v>
      </c>
      <c r="FL240" s="418">
        <f t="shared" si="100"/>
        <v>0</v>
      </c>
      <c r="FM240" s="417"/>
      <c r="FN240" s="417"/>
      <c r="FO240" s="417"/>
      <c r="FP240" s="417"/>
      <c r="FQ240" s="417"/>
      <c r="FR240" s="417"/>
      <c r="FS240" s="417"/>
      <c r="FT240" s="417"/>
      <c r="FU240" s="417"/>
      <c r="FV240" s="417"/>
      <c r="FW240" s="417"/>
      <c r="FX240" s="417"/>
      <c r="FY240" s="418"/>
      <c r="FZ240" s="418"/>
      <c r="GA240" s="418"/>
      <c r="GB240" s="417"/>
      <c r="GC240" s="417"/>
      <c r="GD240" s="417"/>
      <c r="GE240" s="417"/>
      <c r="GF240" s="417"/>
      <c r="GG240" s="417"/>
      <c r="GH240" s="417"/>
      <c r="GI240" s="417"/>
      <c r="GJ240" s="417"/>
      <c r="GK240" s="417"/>
      <c r="GL240" s="417"/>
      <c r="GM240" s="417"/>
      <c r="GN240" s="418"/>
      <c r="GO240" s="418"/>
      <c r="GP240" s="418"/>
      <c r="GQ240" s="417"/>
      <c r="GR240" s="417"/>
      <c r="GS240" s="417"/>
      <c r="GT240" s="417"/>
      <c r="GU240" s="417"/>
      <c r="GV240" s="417"/>
      <c r="GW240" s="417"/>
      <c r="GX240" s="417"/>
      <c r="GY240" s="417"/>
      <c r="GZ240" s="417"/>
      <c r="HA240" s="417"/>
      <c r="HB240" s="417"/>
      <c r="HC240" s="418"/>
      <c r="HD240" s="418"/>
      <c r="HE240" s="418"/>
      <c r="HF240" s="417"/>
      <c r="HG240" s="417"/>
      <c r="HH240" s="417"/>
      <c r="HI240" s="417"/>
      <c r="HJ240" s="417"/>
      <c r="HK240" s="417"/>
      <c r="HL240" s="417"/>
      <c r="HM240" s="417"/>
      <c r="HN240" s="417"/>
      <c r="HO240" s="417"/>
      <c r="HP240" s="417"/>
      <c r="HQ240" s="417"/>
      <c r="HR240" s="418"/>
      <c r="HS240" s="418"/>
      <c r="HT240" s="418"/>
    </row>
    <row r="241" spans="1:228" s="387" customFormat="1" ht="12.75" customHeight="1" x14ac:dyDescent="0.2">
      <c r="A241" s="406" t="s">
        <v>55</v>
      </c>
      <c r="B241" s="407" t="s">
        <v>42</v>
      </c>
      <c r="C241" s="406" t="s">
        <v>1000</v>
      </c>
      <c r="D241" s="407" t="s">
        <v>1006</v>
      </c>
      <c r="E241" s="407" t="s">
        <v>1000</v>
      </c>
      <c r="F241" s="407" t="s">
        <v>1006</v>
      </c>
      <c r="G241" s="406" t="s">
        <v>54</v>
      </c>
      <c r="H241" s="408" t="s">
        <v>1917</v>
      </c>
      <c r="I241" s="408" t="s">
        <v>1919</v>
      </c>
      <c r="J241" s="406" t="s">
        <v>1918</v>
      </c>
      <c r="K241" s="406" t="s">
        <v>761</v>
      </c>
      <c r="L241" s="406" t="s">
        <v>762</v>
      </c>
      <c r="M241" s="406" t="s">
        <v>1790</v>
      </c>
      <c r="N241" s="452">
        <v>0</v>
      </c>
      <c r="O241" s="452">
        <v>0</v>
      </c>
      <c r="P241" s="452">
        <v>0</v>
      </c>
      <c r="Q241" s="452">
        <v>0</v>
      </c>
      <c r="R241" s="452">
        <v>0</v>
      </c>
      <c r="S241" s="452">
        <v>0</v>
      </c>
      <c r="T241" s="452">
        <v>0</v>
      </c>
      <c r="U241" s="409">
        <v>0</v>
      </c>
      <c r="V241" s="409">
        <v>0</v>
      </c>
      <c r="W241" s="409">
        <v>0</v>
      </c>
      <c r="X241" s="409">
        <v>0</v>
      </c>
      <c r="Y241" s="409">
        <v>200</v>
      </c>
      <c r="Z241" s="453">
        <f t="shared" si="83"/>
        <v>200</v>
      </c>
      <c r="AA241" s="452">
        <v>100</v>
      </c>
      <c r="AB241" s="452">
        <v>100</v>
      </c>
      <c r="AC241" s="452">
        <v>100</v>
      </c>
      <c r="AD241" s="452">
        <v>100</v>
      </c>
      <c r="AE241" s="452">
        <v>100</v>
      </c>
      <c r="AF241" s="452">
        <v>100</v>
      </c>
      <c r="AG241" s="452">
        <v>100</v>
      </c>
      <c r="AH241" s="409">
        <v>100</v>
      </c>
      <c r="AI241" s="409">
        <v>100</v>
      </c>
      <c r="AJ241" s="409">
        <v>100</v>
      </c>
      <c r="AK241" s="409">
        <v>100</v>
      </c>
      <c r="AL241" s="409">
        <v>100</v>
      </c>
      <c r="AM241" s="453">
        <f t="shared" si="78"/>
        <v>1200</v>
      </c>
      <c r="AN241" s="452">
        <v>100</v>
      </c>
      <c r="AO241" s="452">
        <v>100</v>
      </c>
      <c r="AP241" s="452">
        <v>100</v>
      </c>
      <c r="AQ241" s="452">
        <v>100</v>
      </c>
      <c r="AR241" s="452">
        <v>100</v>
      </c>
      <c r="AS241" s="452">
        <v>100</v>
      </c>
      <c r="AT241" s="452">
        <v>0</v>
      </c>
      <c r="AU241" s="409">
        <v>0</v>
      </c>
      <c r="AV241" s="409">
        <v>0</v>
      </c>
      <c r="AW241" s="409">
        <v>0</v>
      </c>
      <c r="AX241" s="409">
        <v>0</v>
      </c>
      <c r="AY241" s="409">
        <v>0</v>
      </c>
      <c r="AZ241" s="453">
        <f t="shared" si="79"/>
        <v>600</v>
      </c>
      <c r="BA241" s="452">
        <v>0</v>
      </c>
      <c r="BB241" s="452">
        <v>0</v>
      </c>
      <c r="BC241" s="452">
        <v>0</v>
      </c>
      <c r="BD241" s="452">
        <v>0</v>
      </c>
      <c r="BE241" s="452">
        <v>0</v>
      </c>
      <c r="BF241" s="452">
        <v>0</v>
      </c>
      <c r="BG241" s="452">
        <v>0</v>
      </c>
      <c r="BH241" s="409">
        <v>0</v>
      </c>
      <c r="BI241" s="409">
        <v>0</v>
      </c>
      <c r="BJ241" s="409">
        <v>0</v>
      </c>
      <c r="BK241" s="409">
        <v>0</v>
      </c>
      <c r="BL241" s="409">
        <v>0</v>
      </c>
      <c r="BM241" s="453">
        <f t="shared" si="80"/>
        <v>0</v>
      </c>
      <c r="BN241" s="452">
        <v>0</v>
      </c>
      <c r="BO241" s="452">
        <v>0</v>
      </c>
      <c r="BP241" s="452">
        <v>0</v>
      </c>
      <c r="BQ241" s="452">
        <v>0</v>
      </c>
      <c r="BR241" s="452">
        <v>0</v>
      </c>
      <c r="BS241" s="452">
        <v>0</v>
      </c>
      <c r="BT241" s="452">
        <v>0</v>
      </c>
      <c r="BU241" s="409">
        <v>0</v>
      </c>
      <c r="BV241" s="409">
        <v>0</v>
      </c>
      <c r="BW241" s="409">
        <v>0</v>
      </c>
      <c r="BX241" s="409">
        <v>0</v>
      </c>
      <c r="BY241" s="409">
        <v>0</v>
      </c>
      <c r="BZ241" s="453">
        <f t="shared" si="81"/>
        <v>0</v>
      </c>
      <c r="CA241" s="454">
        <f t="shared" si="82"/>
        <v>2000</v>
      </c>
      <c r="CB241" s="445"/>
      <c r="CC241" s="445">
        <v>1</v>
      </c>
      <c r="CD241" s="445">
        <v>1</v>
      </c>
      <c r="CE241" s="445">
        <v>1</v>
      </c>
      <c r="CF241" s="445">
        <v>1</v>
      </c>
      <c r="CG241" s="446">
        <f t="shared" ref="CG241:CG247" si="101">IFERROR((FE241/Z241%),0)</f>
        <v>0</v>
      </c>
      <c r="CH241" s="447">
        <f t="shared" ref="CH241:CH247" si="102">IFERROR((FK241/Z241%),0)</f>
        <v>100.05000305175781</v>
      </c>
      <c r="CI241" s="414" t="s">
        <v>1621</v>
      </c>
      <c r="CJ241" s="415">
        <v>0</v>
      </c>
      <c r="CK241" s="415">
        <v>0</v>
      </c>
      <c r="CL241" s="415">
        <v>0</v>
      </c>
      <c r="CM241" s="415">
        <v>0</v>
      </c>
      <c r="CN241" s="415">
        <v>0</v>
      </c>
      <c r="CO241" s="415">
        <v>0</v>
      </c>
      <c r="CP241" s="415">
        <v>0</v>
      </c>
      <c r="CQ241" s="415">
        <v>0</v>
      </c>
      <c r="CR241" s="415">
        <v>0</v>
      </c>
      <c r="CS241" s="415">
        <v>0</v>
      </c>
      <c r="CT241" s="415">
        <v>0</v>
      </c>
      <c r="CU241" s="415">
        <v>1</v>
      </c>
      <c r="CV241" s="410">
        <f t="shared" si="92"/>
        <v>1</v>
      </c>
      <c r="CW241" s="415">
        <v>0</v>
      </c>
      <c r="CX241" s="415">
        <v>0</v>
      </c>
      <c r="CY241" s="415">
        <v>0</v>
      </c>
      <c r="CZ241" s="415">
        <v>0</v>
      </c>
      <c r="DA241" s="415">
        <v>0</v>
      </c>
      <c r="DB241" s="415">
        <v>0</v>
      </c>
      <c r="DC241" s="415">
        <v>0</v>
      </c>
      <c r="DD241" s="415">
        <v>0</v>
      </c>
      <c r="DE241" s="415">
        <v>1</v>
      </c>
      <c r="DF241" s="415">
        <v>0</v>
      </c>
      <c r="DG241" s="415">
        <v>0</v>
      </c>
      <c r="DH241" s="415">
        <v>0</v>
      </c>
      <c r="DI241" s="410">
        <f t="shared" si="93"/>
        <v>1</v>
      </c>
      <c r="DJ241" s="415">
        <v>0</v>
      </c>
      <c r="DK241" s="415">
        <v>0</v>
      </c>
      <c r="DL241" s="415">
        <v>0</v>
      </c>
      <c r="DM241" s="415">
        <v>0</v>
      </c>
      <c r="DN241" s="415">
        <v>0</v>
      </c>
      <c r="DO241" s="415">
        <v>0</v>
      </c>
      <c r="DP241" s="415">
        <v>0</v>
      </c>
      <c r="DQ241" s="415">
        <v>0</v>
      </c>
      <c r="DR241" s="415">
        <v>0</v>
      </c>
      <c r="DS241" s="415">
        <v>0</v>
      </c>
      <c r="DT241" s="415">
        <v>0</v>
      </c>
      <c r="DU241" s="415">
        <v>0</v>
      </c>
      <c r="DV241" s="410">
        <f t="shared" si="94"/>
        <v>0</v>
      </c>
      <c r="DW241" s="415">
        <v>0</v>
      </c>
      <c r="DX241" s="415">
        <v>0</v>
      </c>
      <c r="DY241" s="415">
        <v>0</v>
      </c>
      <c r="DZ241" s="415">
        <v>0</v>
      </c>
      <c r="EA241" s="415">
        <v>0</v>
      </c>
      <c r="EB241" s="415">
        <v>0</v>
      </c>
      <c r="EC241" s="415">
        <v>0</v>
      </c>
      <c r="ED241" s="415">
        <v>0</v>
      </c>
      <c r="EE241" s="415">
        <v>0</v>
      </c>
      <c r="EF241" s="415">
        <v>0</v>
      </c>
      <c r="EG241" s="415">
        <v>0</v>
      </c>
      <c r="EH241" s="415">
        <v>0</v>
      </c>
      <c r="EI241" s="410">
        <f t="shared" si="95"/>
        <v>0</v>
      </c>
      <c r="EJ241" s="415">
        <v>0</v>
      </c>
      <c r="EK241" s="415">
        <v>0</v>
      </c>
      <c r="EL241" s="415">
        <v>0</v>
      </c>
      <c r="EM241" s="415">
        <v>0</v>
      </c>
      <c r="EN241" s="415">
        <v>0</v>
      </c>
      <c r="EO241" s="415">
        <v>0</v>
      </c>
      <c r="EP241" s="415">
        <v>0</v>
      </c>
      <c r="EQ241" s="415">
        <v>0</v>
      </c>
      <c r="ER241" s="415">
        <v>0</v>
      </c>
      <c r="ES241" s="415">
        <v>0</v>
      </c>
      <c r="ET241" s="415">
        <v>0</v>
      </c>
      <c r="EU241" s="415">
        <v>0</v>
      </c>
      <c r="EV241" s="410">
        <f t="shared" si="96"/>
        <v>0</v>
      </c>
      <c r="EW241" s="416">
        <f t="shared" si="97"/>
        <v>2</v>
      </c>
      <c r="EX241" s="417">
        <f>IFERROR(VLOOKUP(H241,CEI_012018!$A$1:$U$509,9,FALSE),0)</f>
        <v>0</v>
      </c>
      <c r="EY241" s="417">
        <f>IFERROR(VLOOKUP(H241,CEI_022018!$A$1:$U$509,9,FALSE),0)</f>
        <v>0</v>
      </c>
      <c r="EZ241" s="417">
        <f>IFERROR(VLOOKUP(H241,CEI_032018!$A$1:$U$509,9,FALSE),0)</f>
        <v>0</v>
      </c>
      <c r="FA241" s="417">
        <f>IFERROR(VLOOKUP(H241,CEI_042018!$A$1:$U$491,9,FALSE),0)</f>
        <v>0</v>
      </c>
      <c r="FB241" s="417">
        <f>IFERROR(VLOOKUP(H241,CEI_052018!$A$1:$U$489,9,FALSE),0)</f>
        <v>0</v>
      </c>
      <c r="FC241" s="417">
        <f>IFERROR(VLOOKUP(H241,CEI_062018!$A$1:$U$489,9,FALSE),0)</f>
        <v>0</v>
      </c>
      <c r="FD241" s="417">
        <f>IFERROR(VLOOKUP(H241,CEI_072018!$A$1:$U$489,9,FALSE),0)</f>
        <v>0</v>
      </c>
      <c r="FE241" s="417">
        <f>IFERROR(VLOOKUP(H241,CEI_082018!$A$1:$U$489,9,FALSE),0)</f>
        <v>0</v>
      </c>
      <c r="FF241" s="417">
        <f>IFERROR(VLOOKUP(H241,CEI_092018!$A$1:$U$489,9,FALSE),0)</f>
        <v>0</v>
      </c>
      <c r="FG241" s="417"/>
      <c r="FH241" s="417"/>
      <c r="FI241" s="417"/>
      <c r="FJ241" s="418">
        <f>IFERROR(VLOOKUP(H241,CEI_092018!$A$1:$U$489,12,FALSE),0)</f>
        <v>200.10000610351562</v>
      </c>
      <c r="FK241" s="418">
        <f t="shared" si="99"/>
        <v>200.10000610351562</v>
      </c>
      <c r="FL241" s="418">
        <f t="shared" si="100"/>
        <v>-0.100006103515625</v>
      </c>
      <c r="FM241" s="417"/>
      <c r="FN241" s="417"/>
      <c r="FO241" s="417"/>
      <c r="FP241" s="417"/>
      <c r="FQ241" s="417"/>
      <c r="FR241" s="417"/>
      <c r="FS241" s="417"/>
      <c r="FT241" s="417"/>
      <c r="FU241" s="417"/>
      <c r="FV241" s="417"/>
      <c r="FW241" s="417"/>
      <c r="FX241" s="417"/>
      <c r="FY241" s="418"/>
      <c r="FZ241" s="418"/>
      <c r="GA241" s="418"/>
      <c r="GB241" s="417"/>
      <c r="GC241" s="417"/>
      <c r="GD241" s="417"/>
      <c r="GE241" s="417"/>
      <c r="GF241" s="417"/>
      <c r="GG241" s="417"/>
      <c r="GH241" s="417"/>
      <c r="GI241" s="417"/>
      <c r="GJ241" s="417"/>
      <c r="GK241" s="417"/>
      <c r="GL241" s="417"/>
      <c r="GM241" s="417"/>
      <c r="GN241" s="418"/>
      <c r="GO241" s="418"/>
      <c r="GP241" s="418"/>
      <c r="GQ241" s="417"/>
      <c r="GR241" s="417"/>
      <c r="GS241" s="417"/>
      <c r="GT241" s="417"/>
      <c r="GU241" s="417"/>
      <c r="GV241" s="417"/>
      <c r="GW241" s="417"/>
      <c r="GX241" s="417"/>
      <c r="GY241" s="417"/>
      <c r="GZ241" s="417"/>
      <c r="HA241" s="417"/>
      <c r="HB241" s="417"/>
      <c r="HC241" s="418"/>
      <c r="HD241" s="418"/>
      <c r="HE241" s="418"/>
      <c r="HF241" s="417"/>
      <c r="HG241" s="417"/>
      <c r="HH241" s="417"/>
      <c r="HI241" s="417"/>
      <c r="HJ241" s="417"/>
      <c r="HK241" s="417"/>
      <c r="HL241" s="417"/>
      <c r="HM241" s="417"/>
      <c r="HN241" s="417"/>
      <c r="HO241" s="417"/>
      <c r="HP241" s="417"/>
      <c r="HQ241" s="417"/>
      <c r="HR241" s="418"/>
      <c r="HS241" s="418"/>
      <c r="HT241" s="418"/>
    </row>
    <row r="242" spans="1:228" s="387" customFormat="1" ht="12.75" customHeight="1" x14ac:dyDescent="0.2">
      <c r="A242" s="406" t="s">
        <v>55</v>
      </c>
      <c r="B242" s="407" t="s">
        <v>42</v>
      </c>
      <c r="C242" s="406" t="s">
        <v>1000</v>
      </c>
      <c r="D242" s="407" t="s">
        <v>1006</v>
      </c>
      <c r="E242" s="407" t="s">
        <v>1000</v>
      </c>
      <c r="F242" s="407" t="s">
        <v>1006</v>
      </c>
      <c r="G242" s="406" t="s">
        <v>54</v>
      </c>
      <c r="H242" s="408" t="s">
        <v>519</v>
      </c>
      <c r="I242" s="408" t="s">
        <v>1281</v>
      </c>
      <c r="J242" s="406" t="s">
        <v>369</v>
      </c>
      <c r="K242" s="406" t="s">
        <v>370</v>
      </c>
      <c r="L242" s="406" t="s">
        <v>57</v>
      </c>
      <c r="M242" s="406" t="s">
        <v>1785</v>
      </c>
      <c r="N242" s="452">
        <v>0</v>
      </c>
      <c r="O242" s="452">
        <v>33.591888427734375</v>
      </c>
      <c r="P242" s="452">
        <v>32.432331085205078</v>
      </c>
      <c r="Q242" s="452">
        <v>0</v>
      </c>
      <c r="R242" s="452">
        <v>60.459541320800781</v>
      </c>
      <c r="S242" s="452">
        <v>30.349920272827148</v>
      </c>
      <c r="T242" s="452">
        <v>43.076400756835938</v>
      </c>
      <c r="U242" s="409">
        <v>0</v>
      </c>
      <c r="V242" s="409">
        <v>108.92359999999999</v>
      </c>
      <c r="W242" s="409">
        <v>87</v>
      </c>
      <c r="X242" s="409">
        <v>1545.6500799999999</v>
      </c>
      <c r="Y242" s="409">
        <v>152</v>
      </c>
      <c r="Z242" s="453">
        <f t="shared" si="83"/>
        <v>2093.4837618634033</v>
      </c>
      <c r="AA242" s="452">
        <v>151</v>
      </c>
      <c r="AB242" s="452">
        <v>151</v>
      </c>
      <c r="AC242" s="452">
        <v>151</v>
      </c>
      <c r="AD242" s="452">
        <v>151</v>
      </c>
      <c r="AE242" s="452">
        <v>151</v>
      </c>
      <c r="AF242" s="452">
        <v>151</v>
      </c>
      <c r="AG242" s="452">
        <v>151</v>
      </c>
      <c r="AH242" s="409">
        <v>151</v>
      </c>
      <c r="AI242" s="409">
        <v>151</v>
      </c>
      <c r="AJ242" s="409">
        <v>151</v>
      </c>
      <c r="AK242" s="409">
        <v>151</v>
      </c>
      <c r="AL242" s="409">
        <v>51</v>
      </c>
      <c r="AM242" s="453">
        <f t="shared" si="78"/>
        <v>1712</v>
      </c>
      <c r="AN242" s="452">
        <v>0</v>
      </c>
      <c r="AO242" s="452">
        <v>0</v>
      </c>
      <c r="AP242" s="452">
        <v>0</v>
      </c>
      <c r="AQ242" s="452">
        <v>0</v>
      </c>
      <c r="AR242" s="452">
        <v>0</v>
      </c>
      <c r="AS242" s="452">
        <v>0</v>
      </c>
      <c r="AT242" s="452">
        <v>0</v>
      </c>
      <c r="AU242" s="409">
        <v>0</v>
      </c>
      <c r="AV242" s="409">
        <v>0</v>
      </c>
      <c r="AW242" s="409">
        <v>0</v>
      </c>
      <c r="AX242" s="409">
        <v>0</v>
      </c>
      <c r="AY242" s="409">
        <v>0</v>
      </c>
      <c r="AZ242" s="453">
        <f t="shared" si="79"/>
        <v>0</v>
      </c>
      <c r="BA242" s="452">
        <v>0</v>
      </c>
      <c r="BB242" s="452">
        <v>0</v>
      </c>
      <c r="BC242" s="452">
        <v>0</v>
      </c>
      <c r="BD242" s="452">
        <v>0</v>
      </c>
      <c r="BE242" s="452">
        <v>0</v>
      </c>
      <c r="BF242" s="452">
        <v>0</v>
      </c>
      <c r="BG242" s="452">
        <v>0</v>
      </c>
      <c r="BH242" s="409">
        <v>0</v>
      </c>
      <c r="BI242" s="409">
        <v>0</v>
      </c>
      <c r="BJ242" s="409">
        <v>0</v>
      </c>
      <c r="BK242" s="409">
        <v>0</v>
      </c>
      <c r="BL242" s="409">
        <v>0</v>
      </c>
      <c r="BM242" s="453">
        <f t="shared" si="80"/>
        <v>0</v>
      </c>
      <c r="BN242" s="452">
        <v>0</v>
      </c>
      <c r="BO242" s="452">
        <v>0</v>
      </c>
      <c r="BP242" s="452">
        <v>0</v>
      </c>
      <c r="BQ242" s="452">
        <v>0</v>
      </c>
      <c r="BR242" s="452">
        <v>0</v>
      </c>
      <c r="BS242" s="452">
        <v>0</v>
      </c>
      <c r="BT242" s="452">
        <v>0</v>
      </c>
      <c r="BU242" s="409">
        <v>0</v>
      </c>
      <c r="BV242" s="409">
        <v>0</v>
      </c>
      <c r="BW242" s="409">
        <v>0</v>
      </c>
      <c r="BX242" s="409">
        <v>0</v>
      </c>
      <c r="BY242" s="409">
        <v>0</v>
      </c>
      <c r="BZ242" s="453">
        <f t="shared" si="81"/>
        <v>0</v>
      </c>
      <c r="CA242" s="454">
        <f t="shared" si="82"/>
        <v>3805.4837618634033</v>
      </c>
      <c r="CB242" s="419"/>
      <c r="CC242" s="419">
        <v>1</v>
      </c>
      <c r="CD242" s="419">
        <v>1</v>
      </c>
      <c r="CE242" s="419">
        <v>1</v>
      </c>
      <c r="CF242" s="419">
        <v>1</v>
      </c>
      <c r="CG242" s="420">
        <f t="shared" si="101"/>
        <v>9.5491584651921997</v>
      </c>
      <c r="CH242" s="421">
        <f t="shared" si="102"/>
        <v>43.612305182784418</v>
      </c>
      <c r="CI242" s="414" t="s">
        <v>1621</v>
      </c>
      <c r="CJ242" s="415">
        <v>0</v>
      </c>
      <c r="CK242" s="415">
        <v>0</v>
      </c>
      <c r="CL242" s="415">
        <v>0</v>
      </c>
      <c r="CM242" s="415">
        <v>0</v>
      </c>
      <c r="CN242" s="415">
        <v>0</v>
      </c>
      <c r="CO242" s="415">
        <v>0</v>
      </c>
      <c r="CP242" s="415">
        <v>0</v>
      </c>
      <c r="CQ242" s="415">
        <v>0</v>
      </c>
      <c r="CR242" s="415">
        <v>0</v>
      </c>
      <c r="CS242" s="415">
        <v>0</v>
      </c>
      <c r="CT242" s="415">
        <v>0</v>
      </c>
      <c r="CU242" s="415">
        <v>1</v>
      </c>
      <c r="CV242" s="410">
        <f t="shared" si="92"/>
        <v>1</v>
      </c>
      <c r="CW242" s="415">
        <v>0</v>
      </c>
      <c r="CX242" s="415">
        <v>0</v>
      </c>
      <c r="CY242" s="415">
        <v>0</v>
      </c>
      <c r="CZ242" s="415">
        <v>0</v>
      </c>
      <c r="DA242" s="415">
        <v>0</v>
      </c>
      <c r="DB242" s="415">
        <v>0</v>
      </c>
      <c r="DC242" s="415">
        <v>0</v>
      </c>
      <c r="DD242" s="415">
        <v>0</v>
      </c>
      <c r="DE242" s="415">
        <v>0</v>
      </c>
      <c r="DF242" s="415">
        <v>0</v>
      </c>
      <c r="DG242" s="415">
        <v>0</v>
      </c>
      <c r="DH242" s="415">
        <v>1</v>
      </c>
      <c r="DI242" s="410">
        <f t="shared" si="93"/>
        <v>1</v>
      </c>
      <c r="DJ242" s="415">
        <v>0</v>
      </c>
      <c r="DK242" s="415">
        <v>0</v>
      </c>
      <c r="DL242" s="415">
        <v>0</v>
      </c>
      <c r="DM242" s="415">
        <v>0</v>
      </c>
      <c r="DN242" s="415">
        <v>0</v>
      </c>
      <c r="DO242" s="415">
        <v>0</v>
      </c>
      <c r="DP242" s="415">
        <v>0</v>
      </c>
      <c r="DQ242" s="415">
        <v>0</v>
      </c>
      <c r="DR242" s="415">
        <v>0</v>
      </c>
      <c r="DS242" s="415">
        <v>0</v>
      </c>
      <c r="DT242" s="415">
        <v>0</v>
      </c>
      <c r="DU242" s="415">
        <v>0</v>
      </c>
      <c r="DV242" s="410">
        <f t="shared" si="94"/>
        <v>0</v>
      </c>
      <c r="DW242" s="415">
        <v>0</v>
      </c>
      <c r="DX242" s="415">
        <v>0</v>
      </c>
      <c r="DY242" s="415">
        <v>0</v>
      </c>
      <c r="DZ242" s="415">
        <v>0</v>
      </c>
      <c r="EA242" s="415">
        <v>0</v>
      </c>
      <c r="EB242" s="415">
        <v>0</v>
      </c>
      <c r="EC242" s="415">
        <v>0</v>
      </c>
      <c r="ED242" s="415">
        <v>0</v>
      </c>
      <c r="EE242" s="415">
        <v>0</v>
      </c>
      <c r="EF242" s="415">
        <v>0</v>
      </c>
      <c r="EG242" s="415">
        <v>0</v>
      </c>
      <c r="EH242" s="415">
        <v>0</v>
      </c>
      <c r="EI242" s="410">
        <f t="shared" si="95"/>
        <v>0</v>
      </c>
      <c r="EJ242" s="415">
        <v>0</v>
      </c>
      <c r="EK242" s="415">
        <v>0</v>
      </c>
      <c r="EL242" s="415">
        <v>0</v>
      </c>
      <c r="EM242" s="415">
        <v>0</v>
      </c>
      <c r="EN242" s="415">
        <v>0</v>
      </c>
      <c r="EO242" s="415">
        <v>0</v>
      </c>
      <c r="EP242" s="415">
        <v>0</v>
      </c>
      <c r="EQ242" s="415">
        <v>0</v>
      </c>
      <c r="ER242" s="415">
        <v>0</v>
      </c>
      <c r="ES242" s="415">
        <v>0</v>
      </c>
      <c r="ET242" s="415">
        <v>0</v>
      </c>
      <c r="EU242" s="415">
        <v>0</v>
      </c>
      <c r="EV242" s="410">
        <f t="shared" si="96"/>
        <v>0</v>
      </c>
      <c r="EW242" s="416">
        <f t="shared" si="97"/>
        <v>2</v>
      </c>
      <c r="EX242" s="417">
        <f>IFERROR(VLOOKUP(H242,CEI_012018!$A$1:$U$509,9,FALSE),0)</f>
        <v>0</v>
      </c>
      <c r="EY242" s="417">
        <f>IFERROR(VLOOKUP(H242,CEI_022018!$A$1:$U$509,9,FALSE),0)</f>
        <v>33.591888427734375</v>
      </c>
      <c r="EZ242" s="417">
        <f>IFERROR(VLOOKUP(H242,CEI_032018!$A$1:$U$509,9,FALSE),0)</f>
        <v>66.024219512939453</v>
      </c>
      <c r="FA242" s="417">
        <f>IFERROR(VLOOKUP(H242,CEI_042018!$A$1:$U$491,9,FALSE),0)</f>
        <v>66.024219512939453</v>
      </c>
      <c r="FB242" s="417">
        <f>IFERROR(VLOOKUP(H242,CEI_052018!$A$1:$U$489,9,FALSE),0)</f>
        <v>126.48376083374023</v>
      </c>
      <c r="FC242" s="417">
        <f>IFERROR(VLOOKUP(H242,CEI_062018!$A$1:$U$489,9,FALSE),0)</f>
        <v>156.83368110656738</v>
      </c>
      <c r="FD242" s="417">
        <f>IFERROR(VLOOKUP(H242,CEI_072018!$A$1:$U$489,9,FALSE),0)</f>
        <v>199.91008186340332</v>
      </c>
      <c r="FE242" s="417">
        <f>IFERROR(VLOOKUP(H242,CEI_082018!$A$1:$U$489,9,FALSE),0)</f>
        <v>199.91008186340332</v>
      </c>
      <c r="FF242" s="417">
        <f>IFERROR(VLOOKUP(H242,CEI_092018!$A$1:$U$489,9,FALSE),0)</f>
        <v>282.74730110168457</v>
      </c>
      <c r="FG242" s="417"/>
      <c r="FH242" s="417"/>
      <c r="FI242" s="417"/>
      <c r="FJ242" s="418">
        <f>IFERROR(VLOOKUP(H242,CEI_092018!$A$1:$U$489,12,FALSE),0)</f>
        <v>630.26922607421875</v>
      </c>
      <c r="FK242" s="418">
        <f t="shared" si="99"/>
        <v>913.01652717590332</v>
      </c>
      <c r="FL242" s="418">
        <f t="shared" si="100"/>
        <v>1180.4672346875</v>
      </c>
      <c r="FM242" s="417"/>
      <c r="FN242" s="417"/>
      <c r="FO242" s="417"/>
      <c r="FP242" s="417"/>
      <c r="FQ242" s="417"/>
      <c r="FR242" s="417"/>
      <c r="FS242" s="417"/>
      <c r="FT242" s="417"/>
      <c r="FU242" s="417"/>
      <c r="FV242" s="417"/>
      <c r="FW242" s="417"/>
      <c r="FX242" s="417"/>
      <c r="FY242" s="418"/>
      <c r="FZ242" s="418"/>
      <c r="GA242" s="418"/>
      <c r="GB242" s="417"/>
      <c r="GC242" s="417"/>
      <c r="GD242" s="417"/>
      <c r="GE242" s="417"/>
      <c r="GF242" s="417"/>
      <c r="GG242" s="417"/>
      <c r="GH242" s="417"/>
      <c r="GI242" s="417"/>
      <c r="GJ242" s="417"/>
      <c r="GK242" s="417"/>
      <c r="GL242" s="417"/>
      <c r="GM242" s="417"/>
      <c r="GN242" s="418"/>
      <c r="GO242" s="418"/>
      <c r="GP242" s="418"/>
      <c r="GQ242" s="417"/>
      <c r="GR242" s="417"/>
      <c r="GS242" s="417"/>
      <c r="GT242" s="417"/>
      <c r="GU242" s="417"/>
      <c r="GV242" s="417"/>
      <c r="GW242" s="417"/>
      <c r="GX242" s="417"/>
      <c r="GY242" s="417"/>
      <c r="GZ242" s="417"/>
      <c r="HA242" s="417"/>
      <c r="HB242" s="417"/>
      <c r="HC242" s="418"/>
      <c r="HD242" s="418"/>
      <c r="HE242" s="418"/>
      <c r="HF242" s="417"/>
      <c r="HG242" s="417"/>
      <c r="HH242" s="417"/>
      <c r="HI242" s="417"/>
      <c r="HJ242" s="417"/>
      <c r="HK242" s="417"/>
      <c r="HL242" s="417"/>
      <c r="HM242" s="417"/>
      <c r="HN242" s="417"/>
      <c r="HO242" s="417"/>
      <c r="HP242" s="417"/>
      <c r="HQ242" s="417"/>
      <c r="HR242" s="418"/>
      <c r="HS242" s="418"/>
      <c r="HT242" s="418"/>
    </row>
    <row r="243" spans="1:228" s="387" customFormat="1" ht="12.75" customHeight="1" x14ac:dyDescent="0.2">
      <c r="A243" s="406" t="s">
        <v>55</v>
      </c>
      <c r="B243" s="407" t="s">
        <v>42</v>
      </c>
      <c r="C243" s="406" t="s">
        <v>1000</v>
      </c>
      <c r="D243" s="407" t="s">
        <v>1004</v>
      </c>
      <c r="E243" s="407" t="s">
        <v>1000</v>
      </c>
      <c r="F243" s="407" t="s">
        <v>1004</v>
      </c>
      <c r="G243" s="406" t="s">
        <v>54</v>
      </c>
      <c r="H243" s="408" t="s">
        <v>992</v>
      </c>
      <c r="I243" s="408" t="s">
        <v>1324</v>
      </c>
      <c r="J243" s="406" t="s">
        <v>967</v>
      </c>
      <c r="K243" s="406" t="s">
        <v>996</v>
      </c>
      <c r="L243" s="406" t="s">
        <v>997</v>
      </c>
      <c r="M243" s="406" t="s">
        <v>57</v>
      </c>
      <c r="N243" s="452">
        <v>0</v>
      </c>
      <c r="O243" s="452">
        <v>0</v>
      </c>
      <c r="P243" s="452">
        <v>44.575801849365234</v>
      </c>
      <c r="Q243" s="452">
        <v>0</v>
      </c>
      <c r="R243" s="452">
        <v>63.943870544433594</v>
      </c>
      <c r="S243" s="452">
        <v>0</v>
      </c>
      <c r="T243" s="452">
        <v>0</v>
      </c>
      <c r="U243" s="409">
        <v>0</v>
      </c>
      <c r="V243" s="409">
        <v>26</v>
      </c>
      <c r="W243" s="409">
        <v>0</v>
      </c>
      <c r="X243" s="409">
        <v>39</v>
      </c>
      <c r="Y243" s="409">
        <v>0</v>
      </c>
      <c r="Z243" s="453">
        <f t="shared" si="83"/>
        <v>173.51967239379883</v>
      </c>
      <c r="AA243" s="452">
        <v>14</v>
      </c>
      <c r="AB243" s="452">
        <v>0</v>
      </c>
      <c r="AC243" s="452">
        <v>20</v>
      </c>
      <c r="AD243" s="452">
        <v>15</v>
      </c>
      <c r="AE243" s="452">
        <v>15</v>
      </c>
      <c r="AF243" s="452">
        <v>30</v>
      </c>
      <c r="AG243" s="452">
        <v>30</v>
      </c>
      <c r="AH243" s="409">
        <v>20</v>
      </c>
      <c r="AI243" s="409">
        <v>20</v>
      </c>
      <c r="AJ243" s="409">
        <v>20</v>
      </c>
      <c r="AK243" s="409">
        <v>20</v>
      </c>
      <c r="AL243" s="409">
        <v>24</v>
      </c>
      <c r="AM243" s="453">
        <f t="shared" si="78"/>
        <v>228</v>
      </c>
      <c r="AN243" s="452">
        <v>0</v>
      </c>
      <c r="AO243" s="452">
        <v>0</v>
      </c>
      <c r="AP243" s="452">
        <v>0</v>
      </c>
      <c r="AQ243" s="452">
        <v>0</v>
      </c>
      <c r="AR243" s="452">
        <v>0</v>
      </c>
      <c r="AS243" s="452">
        <v>0</v>
      </c>
      <c r="AT243" s="452">
        <v>0</v>
      </c>
      <c r="AU243" s="409">
        <v>0</v>
      </c>
      <c r="AV243" s="409">
        <v>0</v>
      </c>
      <c r="AW243" s="409">
        <v>0</v>
      </c>
      <c r="AX243" s="409">
        <v>0</v>
      </c>
      <c r="AY243" s="409">
        <v>0</v>
      </c>
      <c r="AZ243" s="453">
        <f t="shared" si="79"/>
        <v>0</v>
      </c>
      <c r="BA243" s="452">
        <v>0</v>
      </c>
      <c r="BB243" s="452">
        <v>0</v>
      </c>
      <c r="BC243" s="452">
        <v>0</v>
      </c>
      <c r="BD243" s="452">
        <v>0</v>
      </c>
      <c r="BE243" s="452">
        <v>0</v>
      </c>
      <c r="BF243" s="452">
        <v>0</v>
      </c>
      <c r="BG243" s="452">
        <v>0</v>
      </c>
      <c r="BH243" s="409">
        <v>0</v>
      </c>
      <c r="BI243" s="409">
        <v>0</v>
      </c>
      <c r="BJ243" s="409">
        <v>0</v>
      </c>
      <c r="BK243" s="409">
        <v>0</v>
      </c>
      <c r="BL243" s="409">
        <v>0</v>
      </c>
      <c r="BM243" s="453">
        <f t="shared" si="80"/>
        <v>0</v>
      </c>
      <c r="BN243" s="452">
        <v>0</v>
      </c>
      <c r="BO243" s="452">
        <v>0</v>
      </c>
      <c r="BP243" s="452">
        <v>0</v>
      </c>
      <c r="BQ243" s="452">
        <v>0</v>
      </c>
      <c r="BR243" s="452">
        <v>0</v>
      </c>
      <c r="BS243" s="452">
        <v>0</v>
      </c>
      <c r="BT243" s="452">
        <v>0</v>
      </c>
      <c r="BU243" s="409">
        <v>0</v>
      </c>
      <c r="BV243" s="409">
        <v>0</v>
      </c>
      <c r="BW243" s="409">
        <v>0</v>
      </c>
      <c r="BX243" s="409">
        <v>0</v>
      </c>
      <c r="BY243" s="409">
        <v>0</v>
      </c>
      <c r="BZ243" s="453">
        <f t="shared" si="81"/>
        <v>0</v>
      </c>
      <c r="CA243" s="454">
        <f t="shared" si="82"/>
        <v>401.51967239379883</v>
      </c>
      <c r="CB243" s="419"/>
      <c r="CC243" s="419">
        <v>1</v>
      </c>
      <c r="CD243" s="419">
        <v>1</v>
      </c>
      <c r="CE243" s="419">
        <v>1</v>
      </c>
      <c r="CF243" s="419">
        <v>1</v>
      </c>
      <c r="CG243" s="420">
        <f t="shared" si="101"/>
        <v>62.540270446981928</v>
      </c>
      <c r="CH243" s="421">
        <f t="shared" si="102"/>
        <v>160.27113464880108</v>
      </c>
      <c r="CI243" s="414" t="s">
        <v>1622</v>
      </c>
      <c r="CJ243" s="415">
        <v>0</v>
      </c>
      <c r="CK243" s="415">
        <v>0</v>
      </c>
      <c r="CL243" s="415">
        <v>144.25825242718446</v>
      </c>
      <c r="CM243" s="415">
        <v>0</v>
      </c>
      <c r="CN243" s="415">
        <v>206.93809061488673</v>
      </c>
      <c r="CO243" s="415">
        <v>0</v>
      </c>
      <c r="CP243" s="415">
        <v>126.21359223300971</v>
      </c>
      <c r="CQ243" s="415">
        <v>0</v>
      </c>
      <c r="CR243" s="415">
        <v>126.21359223300971</v>
      </c>
      <c r="CS243" s="415">
        <v>97.087378640776706</v>
      </c>
      <c r="CT243" s="415">
        <v>97.087378640776706</v>
      </c>
      <c r="CU243" s="415">
        <v>102.20171521035597</v>
      </c>
      <c r="CV243" s="410">
        <f t="shared" si="92"/>
        <v>899.99999999999989</v>
      </c>
      <c r="CW243" s="415">
        <v>45.307443365695796</v>
      </c>
      <c r="CX243" s="415">
        <v>0</v>
      </c>
      <c r="CY243" s="415">
        <v>64.724919093851128</v>
      </c>
      <c r="CZ243" s="415">
        <v>48.543689320388353</v>
      </c>
      <c r="DA243" s="415">
        <v>48.543689320388353</v>
      </c>
      <c r="DB243" s="415">
        <v>97.087378640776706</v>
      </c>
      <c r="DC243" s="415">
        <v>97.087378640776706</v>
      </c>
      <c r="DD243" s="415">
        <v>0</v>
      </c>
      <c r="DE243" s="415">
        <v>0</v>
      </c>
      <c r="DF243" s="415">
        <v>0</v>
      </c>
      <c r="DG243" s="415">
        <v>0</v>
      </c>
      <c r="DH243" s="415">
        <v>0</v>
      </c>
      <c r="DI243" s="410">
        <f t="shared" si="93"/>
        <v>401.29449838187702</v>
      </c>
      <c r="DJ243" s="415">
        <v>0</v>
      </c>
      <c r="DK243" s="415">
        <v>0</v>
      </c>
      <c r="DL243" s="415">
        <v>0</v>
      </c>
      <c r="DM243" s="415">
        <v>0</v>
      </c>
      <c r="DN243" s="415">
        <v>0</v>
      </c>
      <c r="DO243" s="415">
        <v>0</v>
      </c>
      <c r="DP243" s="415">
        <v>0</v>
      </c>
      <c r="DQ243" s="415">
        <v>0</v>
      </c>
      <c r="DR243" s="415">
        <v>0</v>
      </c>
      <c r="DS243" s="415">
        <v>0</v>
      </c>
      <c r="DT243" s="415">
        <v>0</v>
      </c>
      <c r="DU243" s="415">
        <v>0</v>
      </c>
      <c r="DV243" s="410">
        <f t="shared" si="94"/>
        <v>0</v>
      </c>
      <c r="DW243" s="415">
        <v>0</v>
      </c>
      <c r="DX243" s="415">
        <v>0</v>
      </c>
      <c r="DY243" s="415">
        <v>0</v>
      </c>
      <c r="DZ243" s="415">
        <v>0</v>
      </c>
      <c r="EA243" s="415">
        <v>0</v>
      </c>
      <c r="EB243" s="415">
        <v>0</v>
      </c>
      <c r="EC243" s="415">
        <v>0</v>
      </c>
      <c r="ED243" s="415">
        <v>0</v>
      </c>
      <c r="EE243" s="415">
        <v>0</v>
      </c>
      <c r="EF243" s="415">
        <v>0</v>
      </c>
      <c r="EG243" s="415">
        <v>0</v>
      </c>
      <c r="EH243" s="415">
        <v>0</v>
      </c>
      <c r="EI243" s="410">
        <f t="shared" si="95"/>
        <v>0</v>
      </c>
      <c r="EJ243" s="415">
        <v>0</v>
      </c>
      <c r="EK243" s="415">
        <v>0</v>
      </c>
      <c r="EL243" s="415">
        <v>0</v>
      </c>
      <c r="EM243" s="415">
        <v>0</v>
      </c>
      <c r="EN243" s="415">
        <v>0</v>
      </c>
      <c r="EO243" s="415">
        <v>0</v>
      </c>
      <c r="EP243" s="415">
        <v>0</v>
      </c>
      <c r="EQ243" s="415">
        <v>0</v>
      </c>
      <c r="ER243" s="415">
        <v>0</v>
      </c>
      <c r="ES243" s="415">
        <v>0</v>
      </c>
      <c r="ET243" s="415">
        <v>0</v>
      </c>
      <c r="EU243" s="415">
        <v>0</v>
      </c>
      <c r="EV243" s="410">
        <f t="shared" si="96"/>
        <v>0</v>
      </c>
      <c r="EW243" s="416">
        <f t="shared" si="97"/>
        <v>1301.294498381877</v>
      </c>
      <c r="EX243" s="417">
        <f>IFERROR(VLOOKUP(H243,CEI_012018!$A$1:$U$509,9,FALSE),0)</f>
        <v>0</v>
      </c>
      <c r="EY243" s="417">
        <f>IFERROR(VLOOKUP(H243,CEI_022018!$A$1:$U$509,9,FALSE),0)</f>
        <v>0</v>
      </c>
      <c r="EZ243" s="417">
        <f>IFERROR(VLOOKUP(H243,CEI_032018!$A$1:$U$509,9,FALSE),0)</f>
        <v>44.575801849365234</v>
      </c>
      <c r="FA243" s="417">
        <f>IFERROR(VLOOKUP(H243,CEI_042018!$A$1:$U$491,9,FALSE),0)</f>
        <v>44.575801849365234</v>
      </c>
      <c r="FB243" s="417">
        <f>IFERROR(VLOOKUP(H243,CEI_052018!$A$1:$U$489,9,FALSE),0)</f>
        <v>108.51967239379883</v>
      </c>
      <c r="FC243" s="417">
        <f>IFERROR(VLOOKUP(H243,CEI_062018!$A$1:$U$489,9,FALSE),0)</f>
        <v>108.51967239379883</v>
      </c>
      <c r="FD243" s="417">
        <f>IFERROR(VLOOKUP(H243,CEI_072018!$A$1:$U$489,9,FALSE),0)</f>
        <v>108.51967239379883</v>
      </c>
      <c r="FE243" s="417">
        <f>IFERROR(VLOOKUP(H243,CEI_082018!$A$1:$U$489,9,FALSE),0)</f>
        <v>108.51967239379883</v>
      </c>
      <c r="FF243" s="417">
        <f>IFERROR(VLOOKUP(H243,CEI_092018!$A$1:$U$489,9,FALSE),0)</f>
        <v>108.51967239379883</v>
      </c>
      <c r="FG243" s="417"/>
      <c r="FH243" s="417"/>
      <c r="FI243" s="417"/>
      <c r="FJ243" s="418">
        <f>IFERROR(VLOOKUP(H243,CEI_092018!$A$1:$U$489,12,FALSE),0)</f>
        <v>169.582275390625</v>
      </c>
      <c r="FK243" s="418">
        <f t="shared" si="99"/>
        <v>278.10194778442383</v>
      </c>
      <c r="FL243" s="418">
        <f t="shared" si="100"/>
        <v>-104.582275390625</v>
      </c>
      <c r="FM243" s="417"/>
      <c r="FN243" s="417"/>
      <c r="FO243" s="417"/>
      <c r="FP243" s="417"/>
      <c r="FQ243" s="417"/>
      <c r="FR243" s="417"/>
      <c r="FS243" s="417"/>
      <c r="FT243" s="417"/>
      <c r="FU243" s="417"/>
      <c r="FV243" s="417"/>
      <c r="FW243" s="417"/>
      <c r="FX243" s="417"/>
      <c r="FY243" s="418"/>
      <c r="FZ243" s="418"/>
      <c r="GA243" s="418"/>
      <c r="GB243" s="417"/>
      <c r="GC243" s="417"/>
      <c r="GD243" s="417"/>
      <c r="GE243" s="417"/>
      <c r="GF243" s="417"/>
      <c r="GG243" s="417"/>
      <c r="GH243" s="417"/>
      <c r="GI243" s="417"/>
      <c r="GJ243" s="417"/>
      <c r="GK243" s="417"/>
      <c r="GL243" s="417"/>
      <c r="GM243" s="417"/>
      <c r="GN243" s="418"/>
      <c r="GO243" s="418"/>
      <c r="GP243" s="418"/>
      <c r="GQ243" s="417"/>
      <c r="GR243" s="417"/>
      <c r="GS243" s="417"/>
      <c r="GT243" s="417"/>
      <c r="GU243" s="417"/>
      <c r="GV243" s="417"/>
      <c r="GW243" s="417"/>
      <c r="GX243" s="417"/>
      <c r="GY243" s="417"/>
      <c r="GZ243" s="417"/>
      <c r="HA243" s="417"/>
      <c r="HB243" s="417"/>
      <c r="HC243" s="418"/>
      <c r="HD243" s="418"/>
      <c r="HE243" s="418"/>
      <c r="HF243" s="417"/>
      <c r="HG243" s="417"/>
      <c r="HH243" s="417"/>
      <c r="HI243" s="417"/>
      <c r="HJ243" s="417"/>
      <c r="HK243" s="417"/>
      <c r="HL243" s="417"/>
      <c r="HM243" s="417"/>
      <c r="HN243" s="417"/>
      <c r="HO243" s="417"/>
      <c r="HP243" s="417"/>
      <c r="HQ243" s="417"/>
      <c r="HR243" s="418"/>
      <c r="HS243" s="418"/>
      <c r="HT243" s="418"/>
    </row>
    <row r="244" spans="1:228" s="387" customFormat="1" ht="12.75" customHeight="1" x14ac:dyDescent="0.2">
      <c r="A244" s="406" t="s">
        <v>55</v>
      </c>
      <c r="B244" s="407" t="s">
        <v>42</v>
      </c>
      <c r="C244" s="406" t="s">
        <v>1000</v>
      </c>
      <c r="D244" s="407" t="s">
        <v>1004</v>
      </c>
      <c r="E244" s="407" t="s">
        <v>1000</v>
      </c>
      <c r="F244" s="407" t="s">
        <v>1004</v>
      </c>
      <c r="G244" s="406" t="s">
        <v>54</v>
      </c>
      <c r="H244" s="408" t="s">
        <v>1114</v>
      </c>
      <c r="I244" s="408" t="s">
        <v>1115</v>
      </c>
      <c r="J244" s="406" t="s">
        <v>1112</v>
      </c>
      <c r="K244" s="406" t="s">
        <v>1113</v>
      </c>
      <c r="L244" s="406" t="s">
        <v>1534</v>
      </c>
      <c r="M244" s="406" t="s">
        <v>1791</v>
      </c>
      <c r="N244" s="452">
        <v>0</v>
      </c>
      <c r="O244" s="452">
        <v>0</v>
      </c>
      <c r="P244" s="452">
        <v>0</v>
      </c>
      <c r="Q244" s="452">
        <v>0</v>
      </c>
      <c r="R244" s="452">
        <v>0</v>
      </c>
      <c r="S244" s="452">
        <v>0</v>
      </c>
      <c r="T244" s="452">
        <v>0</v>
      </c>
      <c r="U244" s="409">
        <v>0</v>
      </c>
      <c r="V244" s="409">
        <v>0</v>
      </c>
      <c r="W244" s="409">
        <v>35</v>
      </c>
      <c r="X244" s="409">
        <v>35</v>
      </c>
      <c r="Y244" s="409">
        <v>72</v>
      </c>
      <c r="Z244" s="453">
        <f t="shared" si="83"/>
        <v>142</v>
      </c>
      <c r="AA244" s="452">
        <v>0</v>
      </c>
      <c r="AB244" s="452">
        <v>50</v>
      </c>
      <c r="AC244" s="452">
        <v>25</v>
      </c>
      <c r="AD244" s="452">
        <v>25</v>
      </c>
      <c r="AE244" s="452">
        <v>25</v>
      </c>
      <c r="AF244" s="452">
        <v>25</v>
      </c>
      <c r="AG244" s="452">
        <v>0</v>
      </c>
      <c r="AH244" s="409">
        <v>50</v>
      </c>
      <c r="AI244" s="409">
        <v>50</v>
      </c>
      <c r="AJ244" s="409">
        <v>39</v>
      </c>
      <c r="AK244" s="409">
        <v>50</v>
      </c>
      <c r="AL244" s="409">
        <v>50</v>
      </c>
      <c r="AM244" s="453">
        <f t="shared" si="78"/>
        <v>389</v>
      </c>
      <c r="AN244" s="452">
        <v>0</v>
      </c>
      <c r="AO244" s="452">
        <v>50</v>
      </c>
      <c r="AP244" s="452">
        <v>25</v>
      </c>
      <c r="AQ244" s="452">
        <v>25</v>
      </c>
      <c r="AR244" s="452">
        <v>25</v>
      </c>
      <c r="AS244" s="452">
        <v>25</v>
      </c>
      <c r="AT244" s="452">
        <v>0</v>
      </c>
      <c r="AU244" s="409">
        <v>50</v>
      </c>
      <c r="AV244" s="409">
        <v>50</v>
      </c>
      <c r="AW244" s="409">
        <v>39</v>
      </c>
      <c r="AX244" s="409">
        <v>50</v>
      </c>
      <c r="AY244" s="409">
        <v>50</v>
      </c>
      <c r="AZ244" s="453">
        <f t="shared" si="79"/>
        <v>389</v>
      </c>
      <c r="BA244" s="452">
        <v>50</v>
      </c>
      <c r="BB244" s="452">
        <v>50</v>
      </c>
      <c r="BC244" s="452">
        <v>50</v>
      </c>
      <c r="BD244" s="452">
        <v>50</v>
      </c>
      <c r="BE244" s="452">
        <v>47</v>
      </c>
      <c r="BF244" s="452">
        <v>0</v>
      </c>
      <c r="BG244" s="452">
        <v>0</v>
      </c>
      <c r="BH244" s="409">
        <v>0</v>
      </c>
      <c r="BI244" s="409">
        <v>0</v>
      </c>
      <c r="BJ244" s="409">
        <v>0</v>
      </c>
      <c r="BK244" s="409">
        <v>0</v>
      </c>
      <c r="BL244" s="409">
        <v>0</v>
      </c>
      <c r="BM244" s="453">
        <f t="shared" si="80"/>
        <v>247</v>
      </c>
      <c r="BN244" s="452">
        <v>50</v>
      </c>
      <c r="BO244" s="452">
        <v>50</v>
      </c>
      <c r="BP244" s="452">
        <v>100</v>
      </c>
      <c r="BQ244" s="452">
        <v>150</v>
      </c>
      <c r="BR244" s="452">
        <v>53</v>
      </c>
      <c r="BS244" s="452">
        <v>0</v>
      </c>
      <c r="BT244" s="452">
        <v>0</v>
      </c>
      <c r="BU244" s="409">
        <v>0</v>
      </c>
      <c r="BV244" s="409">
        <v>0</v>
      </c>
      <c r="BW244" s="409">
        <v>0</v>
      </c>
      <c r="BX244" s="409">
        <v>0</v>
      </c>
      <c r="BY244" s="409">
        <v>0</v>
      </c>
      <c r="BZ244" s="453">
        <f t="shared" si="81"/>
        <v>403</v>
      </c>
      <c r="CA244" s="454">
        <f t="shared" si="82"/>
        <v>1570</v>
      </c>
      <c r="CB244" s="419"/>
      <c r="CC244" s="419">
        <v>1</v>
      </c>
      <c r="CD244" s="419">
        <v>1</v>
      </c>
      <c r="CE244" s="419">
        <v>1</v>
      </c>
      <c r="CF244" s="419">
        <v>1</v>
      </c>
      <c r="CG244" s="420">
        <f t="shared" si="101"/>
        <v>0</v>
      </c>
      <c r="CH244" s="421">
        <f t="shared" si="102"/>
        <v>99.785917577609212</v>
      </c>
      <c r="CI244" s="414" t="s">
        <v>1622</v>
      </c>
      <c r="CJ244" s="415">
        <v>0</v>
      </c>
      <c r="CK244" s="415">
        <v>0</v>
      </c>
      <c r="CL244" s="415">
        <v>0</v>
      </c>
      <c r="CM244" s="415">
        <v>0</v>
      </c>
      <c r="CN244" s="415">
        <v>0</v>
      </c>
      <c r="CO244" s="415">
        <v>0</v>
      </c>
      <c r="CP244" s="415">
        <v>0</v>
      </c>
      <c r="CQ244" s="415">
        <v>0</v>
      </c>
      <c r="CR244" s="415">
        <v>200</v>
      </c>
      <c r="CS244" s="415">
        <v>200</v>
      </c>
      <c r="CT244" s="415">
        <v>200</v>
      </c>
      <c r="CU244" s="415">
        <v>200</v>
      </c>
      <c r="CV244" s="410">
        <f t="shared" si="92"/>
        <v>800</v>
      </c>
      <c r="CW244" s="415">
        <v>133.33333333333334</v>
      </c>
      <c r="CX244" s="415">
        <v>133.33333333333334</v>
      </c>
      <c r="CY244" s="415">
        <v>133.33333333333334</v>
      </c>
      <c r="CZ244" s="415">
        <v>133.33333333333334</v>
      </c>
      <c r="DA244" s="415">
        <v>133.33333333333334</v>
      </c>
      <c r="DB244" s="415">
        <v>133.33333333333334</v>
      </c>
      <c r="DC244" s="415">
        <v>133.33333333333334</v>
      </c>
      <c r="DD244" s="415">
        <v>133.33333333333334</v>
      </c>
      <c r="DE244" s="415">
        <v>133.33333333333334</v>
      </c>
      <c r="DF244" s="415">
        <v>133.33333333333334</v>
      </c>
      <c r="DG244" s="415">
        <v>133.33333333333334</v>
      </c>
      <c r="DH244" s="415">
        <v>133.33333333333334</v>
      </c>
      <c r="DI244" s="410">
        <f t="shared" si="93"/>
        <v>1599.9999999999998</v>
      </c>
      <c r="DJ244" s="415">
        <v>0</v>
      </c>
      <c r="DK244" s="415">
        <v>200</v>
      </c>
      <c r="DL244" s="415">
        <v>200</v>
      </c>
      <c r="DM244" s="415">
        <v>200</v>
      </c>
      <c r="DN244" s="415">
        <v>200</v>
      </c>
      <c r="DO244" s="415">
        <v>0</v>
      </c>
      <c r="DP244" s="415">
        <v>0</v>
      </c>
      <c r="DQ244" s="415">
        <v>0</v>
      </c>
      <c r="DR244" s="415">
        <v>0</v>
      </c>
      <c r="DS244" s="415">
        <v>0</v>
      </c>
      <c r="DT244" s="415">
        <v>0</v>
      </c>
      <c r="DU244" s="415">
        <v>0</v>
      </c>
      <c r="DV244" s="410">
        <f t="shared" si="94"/>
        <v>800</v>
      </c>
      <c r="DW244" s="415">
        <v>133.33333333333334</v>
      </c>
      <c r="DX244" s="415">
        <v>133.33333333333334</v>
      </c>
      <c r="DY244" s="415">
        <v>133.33333333333334</v>
      </c>
      <c r="DZ244" s="415">
        <v>133.33333333333334</v>
      </c>
      <c r="EA244" s="415">
        <v>133.33333333333334</v>
      </c>
      <c r="EB244" s="415">
        <v>133.33333333333334</v>
      </c>
      <c r="EC244" s="415">
        <v>0</v>
      </c>
      <c r="ED244" s="415">
        <v>0</v>
      </c>
      <c r="EE244" s="415">
        <v>0</v>
      </c>
      <c r="EF244" s="415">
        <v>0</v>
      </c>
      <c r="EG244" s="415">
        <v>0</v>
      </c>
      <c r="EH244" s="415">
        <v>0</v>
      </c>
      <c r="EI244" s="410">
        <f t="shared" si="95"/>
        <v>800.00000000000011</v>
      </c>
      <c r="EJ244" s="415">
        <v>133.33333333333334</v>
      </c>
      <c r="EK244" s="415">
        <v>133.33333333333334</v>
      </c>
      <c r="EL244" s="415">
        <v>266.66666666666669</v>
      </c>
      <c r="EM244" s="415">
        <v>400</v>
      </c>
      <c r="EN244" s="415">
        <v>0</v>
      </c>
      <c r="EO244" s="415">
        <v>0</v>
      </c>
      <c r="EP244" s="415">
        <v>0</v>
      </c>
      <c r="EQ244" s="415">
        <v>0</v>
      </c>
      <c r="ER244" s="415">
        <v>0</v>
      </c>
      <c r="ES244" s="415">
        <v>0</v>
      </c>
      <c r="ET244" s="415">
        <v>0</v>
      </c>
      <c r="EU244" s="415">
        <v>0</v>
      </c>
      <c r="EV244" s="410">
        <f t="shared" si="96"/>
        <v>933.33333333333337</v>
      </c>
      <c r="EW244" s="416">
        <f t="shared" si="97"/>
        <v>4933.333333333333</v>
      </c>
      <c r="EX244" s="417">
        <f>IFERROR(VLOOKUP(H244,CEI_012018!$A$1:$U$509,9,FALSE),0)</f>
        <v>0</v>
      </c>
      <c r="EY244" s="417">
        <f>IFERROR(VLOOKUP(H244,CEI_022018!$A$1:$U$509,9,FALSE),0)</f>
        <v>0</v>
      </c>
      <c r="EZ244" s="417">
        <f>IFERROR(VLOOKUP(H244,CEI_032018!$A$1:$U$509,9,FALSE),0)</f>
        <v>0</v>
      </c>
      <c r="FA244" s="417">
        <f>IFERROR(VLOOKUP(H244,CEI_042018!$A$1:$U$491,9,FALSE),0)</f>
        <v>0</v>
      </c>
      <c r="FB244" s="417">
        <f>IFERROR(VLOOKUP(H244,CEI_052018!$A$1:$U$489,9,FALSE),0)</f>
        <v>0</v>
      </c>
      <c r="FC244" s="417">
        <f>IFERROR(VLOOKUP(H244,CEI_062018!$A$1:$U$489,9,FALSE),0)</f>
        <v>0</v>
      </c>
      <c r="FD244" s="417">
        <f>IFERROR(VLOOKUP(H244,CEI_072018!$A$1:$U$489,9,FALSE),0)</f>
        <v>0</v>
      </c>
      <c r="FE244" s="417">
        <f>IFERROR(VLOOKUP(H244,CEI_082018!$A$1:$U$489,9,FALSE),0)</f>
        <v>0</v>
      </c>
      <c r="FF244" s="417">
        <f>IFERROR(VLOOKUP(H244,CEI_092018!$A$1:$U$489,9,FALSE),0)</f>
        <v>22.924160003662109</v>
      </c>
      <c r="FG244" s="417"/>
      <c r="FH244" s="417"/>
      <c r="FI244" s="417"/>
      <c r="FJ244" s="418">
        <f>IFERROR(VLOOKUP(H244,CEI_092018!$A$1:$U$489,12,FALSE),0)</f>
        <v>118.77184295654297</v>
      </c>
      <c r="FK244" s="418">
        <f t="shared" si="99"/>
        <v>141.69600296020508</v>
      </c>
      <c r="FL244" s="418">
        <f t="shared" si="100"/>
        <v>0.30399703979492188</v>
      </c>
      <c r="FM244" s="417"/>
      <c r="FN244" s="417"/>
      <c r="FO244" s="417"/>
      <c r="FP244" s="417"/>
      <c r="FQ244" s="417"/>
      <c r="FR244" s="417"/>
      <c r="FS244" s="417"/>
      <c r="FT244" s="417"/>
      <c r="FU244" s="417"/>
      <c r="FV244" s="417"/>
      <c r="FW244" s="417"/>
      <c r="FX244" s="417"/>
      <c r="FY244" s="418"/>
      <c r="FZ244" s="418"/>
      <c r="GA244" s="418"/>
      <c r="GB244" s="417"/>
      <c r="GC244" s="417"/>
      <c r="GD244" s="417"/>
      <c r="GE244" s="417"/>
      <c r="GF244" s="417"/>
      <c r="GG244" s="417"/>
      <c r="GH244" s="417"/>
      <c r="GI244" s="417"/>
      <c r="GJ244" s="417"/>
      <c r="GK244" s="417"/>
      <c r="GL244" s="417"/>
      <c r="GM244" s="417"/>
      <c r="GN244" s="418"/>
      <c r="GO244" s="418"/>
      <c r="GP244" s="418"/>
      <c r="GQ244" s="417"/>
      <c r="GR244" s="417"/>
      <c r="GS244" s="417"/>
      <c r="GT244" s="417"/>
      <c r="GU244" s="417"/>
      <c r="GV244" s="417"/>
      <c r="GW244" s="417"/>
      <c r="GX244" s="417"/>
      <c r="GY244" s="417"/>
      <c r="GZ244" s="417"/>
      <c r="HA244" s="417"/>
      <c r="HB244" s="417"/>
      <c r="HC244" s="418"/>
      <c r="HD244" s="418"/>
      <c r="HE244" s="418"/>
      <c r="HF244" s="417"/>
      <c r="HG244" s="417"/>
      <c r="HH244" s="417"/>
      <c r="HI244" s="417"/>
      <c r="HJ244" s="417"/>
      <c r="HK244" s="417"/>
      <c r="HL244" s="417"/>
      <c r="HM244" s="417"/>
      <c r="HN244" s="417"/>
      <c r="HO244" s="417"/>
      <c r="HP244" s="417"/>
      <c r="HQ244" s="417"/>
      <c r="HR244" s="418"/>
      <c r="HS244" s="418"/>
      <c r="HT244" s="418"/>
    </row>
    <row r="245" spans="1:228" s="387" customFormat="1" ht="12.75" customHeight="1" x14ac:dyDescent="0.2">
      <c r="A245" s="406" t="s">
        <v>55</v>
      </c>
      <c r="B245" s="407" t="s">
        <v>42</v>
      </c>
      <c r="C245" s="406" t="s">
        <v>1000</v>
      </c>
      <c r="D245" s="407" t="s">
        <v>1004</v>
      </c>
      <c r="E245" s="407" t="s">
        <v>1000</v>
      </c>
      <c r="F245" s="407" t="s">
        <v>1004</v>
      </c>
      <c r="G245" s="406" t="s">
        <v>54</v>
      </c>
      <c r="H245" s="408" t="s">
        <v>703</v>
      </c>
      <c r="I245" s="408" t="s">
        <v>1292</v>
      </c>
      <c r="J245" s="406" t="s">
        <v>322</v>
      </c>
      <c r="K245" s="406" t="s">
        <v>323</v>
      </c>
      <c r="L245" s="406" t="s">
        <v>324</v>
      </c>
      <c r="M245" s="406" t="s">
        <v>57</v>
      </c>
      <c r="N245" s="452">
        <v>28.523290634155273</v>
      </c>
      <c r="O245" s="452">
        <v>30.116769790649414</v>
      </c>
      <c r="P245" s="452">
        <v>25.895620346069336</v>
      </c>
      <c r="Q245" s="452">
        <v>30.116769790649414</v>
      </c>
      <c r="R245" s="452">
        <v>27.196220397949219</v>
      </c>
      <c r="S245" s="452">
        <v>0</v>
      </c>
      <c r="T245" s="452">
        <v>28.888050079345703</v>
      </c>
      <c r="U245" s="409">
        <v>28.648960113525391</v>
      </c>
      <c r="V245" s="409">
        <v>17.75104</v>
      </c>
      <c r="W245" s="409">
        <v>0</v>
      </c>
      <c r="X245" s="409">
        <v>0</v>
      </c>
      <c r="Y245" s="409">
        <v>0</v>
      </c>
      <c r="Z245" s="453">
        <f t="shared" si="83"/>
        <v>217.13672115234374</v>
      </c>
      <c r="AA245" s="452">
        <v>0</v>
      </c>
      <c r="AB245" s="452">
        <v>0</v>
      </c>
      <c r="AC245" s="452">
        <v>0</v>
      </c>
      <c r="AD245" s="452">
        <v>0</v>
      </c>
      <c r="AE245" s="452">
        <v>0</v>
      </c>
      <c r="AF245" s="452">
        <v>0</v>
      </c>
      <c r="AG245" s="452">
        <v>0</v>
      </c>
      <c r="AH245" s="409">
        <v>0</v>
      </c>
      <c r="AI245" s="409">
        <v>0</v>
      </c>
      <c r="AJ245" s="409">
        <v>0</v>
      </c>
      <c r="AK245" s="409">
        <v>0</v>
      </c>
      <c r="AL245" s="409">
        <v>0</v>
      </c>
      <c r="AM245" s="453">
        <f t="shared" si="78"/>
        <v>0</v>
      </c>
      <c r="AN245" s="452">
        <v>0</v>
      </c>
      <c r="AO245" s="452">
        <v>0</v>
      </c>
      <c r="AP245" s="452">
        <v>0</v>
      </c>
      <c r="AQ245" s="452">
        <v>0</v>
      </c>
      <c r="AR245" s="452">
        <v>0</v>
      </c>
      <c r="AS245" s="452">
        <v>0</v>
      </c>
      <c r="AT245" s="452">
        <v>0</v>
      </c>
      <c r="AU245" s="409">
        <v>0</v>
      </c>
      <c r="AV245" s="409">
        <v>0</v>
      </c>
      <c r="AW245" s="409">
        <v>0</v>
      </c>
      <c r="AX245" s="409">
        <v>0</v>
      </c>
      <c r="AY245" s="409">
        <v>0</v>
      </c>
      <c r="AZ245" s="453">
        <f t="shared" si="79"/>
        <v>0</v>
      </c>
      <c r="BA245" s="452">
        <v>0</v>
      </c>
      <c r="BB245" s="452">
        <v>0</v>
      </c>
      <c r="BC245" s="452">
        <v>0</v>
      </c>
      <c r="BD245" s="452">
        <v>0</v>
      </c>
      <c r="BE245" s="452">
        <v>0</v>
      </c>
      <c r="BF245" s="452">
        <v>0</v>
      </c>
      <c r="BG245" s="452">
        <v>0</v>
      </c>
      <c r="BH245" s="409">
        <v>0</v>
      </c>
      <c r="BI245" s="409">
        <v>0</v>
      </c>
      <c r="BJ245" s="409">
        <v>0</v>
      </c>
      <c r="BK245" s="409">
        <v>0</v>
      </c>
      <c r="BL245" s="409">
        <v>0</v>
      </c>
      <c r="BM245" s="453">
        <f t="shared" si="80"/>
        <v>0</v>
      </c>
      <c r="BN245" s="452">
        <v>0</v>
      </c>
      <c r="BO245" s="452">
        <v>0</v>
      </c>
      <c r="BP245" s="452">
        <v>0</v>
      </c>
      <c r="BQ245" s="452">
        <v>0</v>
      </c>
      <c r="BR245" s="452">
        <v>0</v>
      </c>
      <c r="BS245" s="452">
        <v>0</v>
      </c>
      <c r="BT245" s="452">
        <v>0</v>
      </c>
      <c r="BU245" s="409">
        <v>0</v>
      </c>
      <c r="BV245" s="409">
        <v>0</v>
      </c>
      <c r="BW245" s="409">
        <v>0</v>
      </c>
      <c r="BX245" s="409">
        <v>0</v>
      </c>
      <c r="BY245" s="409">
        <v>0</v>
      </c>
      <c r="BZ245" s="453">
        <f t="shared" si="81"/>
        <v>0</v>
      </c>
      <c r="CA245" s="454">
        <f t="shared" si="82"/>
        <v>217.13672115234374</v>
      </c>
      <c r="CB245" s="419"/>
      <c r="CC245" s="419">
        <v>1</v>
      </c>
      <c r="CD245" s="419">
        <v>1</v>
      </c>
      <c r="CE245" s="419">
        <v>1</v>
      </c>
      <c r="CF245" s="419">
        <v>1</v>
      </c>
      <c r="CG245" s="420">
        <f t="shared" si="101"/>
        <v>91.824947937964936</v>
      </c>
      <c r="CH245" s="421">
        <f t="shared" si="102"/>
        <v>99.886937154637266</v>
      </c>
      <c r="CI245" s="414" t="s">
        <v>1622</v>
      </c>
      <c r="CJ245" s="415">
        <v>46.005306451612903</v>
      </c>
      <c r="CK245" s="415">
        <v>48.575435483870969</v>
      </c>
      <c r="CL245" s="415">
        <v>41.767129032258069</v>
      </c>
      <c r="CM245" s="415">
        <v>48.575435483870969</v>
      </c>
      <c r="CN245" s="415">
        <v>43.864870967741936</v>
      </c>
      <c r="CO245" s="415">
        <v>0</v>
      </c>
      <c r="CP245" s="415">
        <v>24.193548387096776</v>
      </c>
      <c r="CQ245" s="415">
        <v>24.193548387096776</v>
      </c>
      <c r="CR245" s="415">
        <v>30.64516129032258</v>
      </c>
      <c r="CS245" s="415">
        <v>32.069725806451615</v>
      </c>
      <c r="CT245" s="415">
        <v>40.322580645161288</v>
      </c>
      <c r="CU245" s="415">
        <v>66.565306451612912</v>
      </c>
      <c r="CV245" s="410">
        <f t="shared" si="92"/>
        <v>446.77804838709676</v>
      </c>
      <c r="CW245" s="415">
        <v>0</v>
      </c>
      <c r="CX245" s="415">
        <v>0</v>
      </c>
      <c r="CY245" s="415">
        <v>0</v>
      </c>
      <c r="CZ245" s="415">
        <v>0</v>
      </c>
      <c r="DA245" s="415">
        <v>0</v>
      </c>
      <c r="DB245" s="415">
        <v>0</v>
      </c>
      <c r="DC245" s="415">
        <v>0</v>
      </c>
      <c r="DD245" s="415">
        <v>0</v>
      </c>
      <c r="DE245" s="415">
        <v>0</v>
      </c>
      <c r="DF245" s="415">
        <v>0</v>
      </c>
      <c r="DG245" s="415">
        <v>0</v>
      </c>
      <c r="DH245" s="415">
        <v>0</v>
      </c>
      <c r="DI245" s="410">
        <f t="shared" si="93"/>
        <v>0</v>
      </c>
      <c r="DJ245" s="415">
        <v>0</v>
      </c>
      <c r="DK245" s="415">
        <v>0</v>
      </c>
      <c r="DL245" s="415">
        <v>0</v>
      </c>
      <c r="DM245" s="415">
        <v>0</v>
      </c>
      <c r="DN245" s="415">
        <v>0</v>
      </c>
      <c r="DO245" s="415">
        <v>0</v>
      </c>
      <c r="DP245" s="415">
        <v>0</v>
      </c>
      <c r="DQ245" s="415">
        <v>0</v>
      </c>
      <c r="DR245" s="415">
        <v>0</v>
      </c>
      <c r="DS245" s="415">
        <v>0</v>
      </c>
      <c r="DT245" s="415">
        <v>0</v>
      </c>
      <c r="DU245" s="415">
        <v>0</v>
      </c>
      <c r="DV245" s="410">
        <f t="shared" si="94"/>
        <v>0</v>
      </c>
      <c r="DW245" s="415">
        <v>0</v>
      </c>
      <c r="DX245" s="415">
        <v>0</v>
      </c>
      <c r="DY245" s="415">
        <v>0</v>
      </c>
      <c r="DZ245" s="415">
        <v>0</v>
      </c>
      <c r="EA245" s="415">
        <v>0</v>
      </c>
      <c r="EB245" s="415">
        <v>0</v>
      </c>
      <c r="EC245" s="415">
        <v>0</v>
      </c>
      <c r="ED245" s="415">
        <v>0</v>
      </c>
      <c r="EE245" s="415">
        <v>0</v>
      </c>
      <c r="EF245" s="415">
        <v>0</v>
      </c>
      <c r="EG245" s="415">
        <v>0</v>
      </c>
      <c r="EH245" s="415">
        <v>0</v>
      </c>
      <c r="EI245" s="410">
        <f t="shared" si="95"/>
        <v>0</v>
      </c>
      <c r="EJ245" s="415">
        <v>0</v>
      </c>
      <c r="EK245" s="415">
        <v>0</v>
      </c>
      <c r="EL245" s="415">
        <v>0</v>
      </c>
      <c r="EM245" s="415">
        <v>0</v>
      </c>
      <c r="EN245" s="415">
        <v>0</v>
      </c>
      <c r="EO245" s="415">
        <v>0</v>
      </c>
      <c r="EP245" s="415">
        <v>0</v>
      </c>
      <c r="EQ245" s="415">
        <v>0</v>
      </c>
      <c r="ER245" s="415">
        <v>0</v>
      </c>
      <c r="ES245" s="415">
        <v>0</v>
      </c>
      <c r="ET245" s="415">
        <v>0</v>
      </c>
      <c r="EU245" s="415">
        <v>0</v>
      </c>
      <c r="EV245" s="410">
        <f t="shared" si="96"/>
        <v>0</v>
      </c>
      <c r="EW245" s="416">
        <f t="shared" si="97"/>
        <v>446.77804838709676</v>
      </c>
      <c r="EX245" s="417">
        <f>IFERROR(VLOOKUP(H245,CEI_012018!$A$1:$U$509,9,FALSE),0)</f>
        <v>28.523290634155273</v>
      </c>
      <c r="EY245" s="417">
        <f>IFERROR(VLOOKUP(H245,CEI_022018!$A$1:$U$509,9,FALSE),0)</f>
        <v>58.640060424804688</v>
      </c>
      <c r="EZ245" s="417">
        <f>IFERROR(VLOOKUP(H245,CEI_032018!$A$1:$U$509,9,FALSE),0)</f>
        <v>84.535680770874023</v>
      </c>
      <c r="FA245" s="417">
        <f>IFERROR(VLOOKUP(H245,CEI_042018!$A$1:$U$491,9,FALSE),0)</f>
        <v>114.65245056152344</v>
      </c>
      <c r="FB245" s="417">
        <f>IFERROR(VLOOKUP(H245,CEI_052018!$A$1:$U$489,9,FALSE),0)</f>
        <v>141.84867095947266</v>
      </c>
      <c r="FC245" s="417">
        <f>IFERROR(VLOOKUP(H245,CEI_062018!$A$1:$U$489,9,FALSE),0)</f>
        <v>141.84867095947266</v>
      </c>
      <c r="FD245" s="417">
        <f>IFERROR(VLOOKUP(H245,CEI_072018!$A$1:$U$489,9,FALSE),0)</f>
        <v>170.73672103881836</v>
      </c>
      <c r="FE245" s="417">
        <f>IFERROR(VLOOKUP(H245,CEI_082018!$A$1:$U$489,9,FALSE),0)</f>
        <v>199.38568115234375</v>
      </c>
      <c r="FF245" s="417">
        <f>IFERROR(VLOOKUP(H245,CEI_092018!$A$1:$U$489,9,FALSE),0)</f>
        <v>216.76560020446777</v>
      </c>
      <c r="FG245" s="417"/>
      <c r="FH245" s="417"/>
      <c r="FI245" s="417"/>
      <c r="FJ245" s="418">
        <f>IFERROR(VLOOKUP(H245,CEI_092018!$A$1:$U$489,12,FALSE),0)</f>
        <v>0.12561999261379242</v>
      </c>
      <c r="FK245" s="418">
        <f t="shared" si="99"/>
        <v>216.89122019708157</v>
      </c>
      <c r="FL245" s="418">
        <f t="shared" si="100"/>
        <v>0.24550095526217319</v>
      </c>
      <c r="FM245" s="417"/>
      <c r="FN245" s="417"/>
      <c r="FO245" s="417"/>
      <c r="FP245" s="417"/>
      <c r="FQ245" s="417"/>
      <c r="FR245" s="417"/>
      <c r="FS245" s="417"/>
      <c r="FT245" s="417"/>
      <c r="FU245" s="417"/>
      <c r="FV245" s="417"/>
      <c r="FW245" s="417"/>
      <c r="FX245" s="417"/>
      <c r="FY245" s="418"/>
      <c r="FZ245" s="418"/>
      <c r="GA245" s="418"/>
      <c r="GB245" s="417"/>
      <c r="GC245" s="417"/>
      <c r="GD245" s="417"/>
      <c r="GE245" s="417"/>
      <c r="GF245" s="417"/>
      <c r="GG245" s="417"/>
      <c r="GH245" s="417"/>
      <c r="GI245" s="417"/>
      <c r="GJ245" s="417"/>
      <c r="GK245" s="417"/>
      <c r="GL245" s="417"/>
      <c r="GM245" s="417"/>
      <c r="GN245" s="418"/>
      <c r="GO245" s="418"/>
      <c r="GP245" s="418"/>
      <c r="GQ245" s="417"/>
      <c r="GR245" s="417"/>
      <c r="GS245" s="417"/>
      <c r="GT245" s="417"/>
      <c r="GU245" s="417"/>
      <c r="GV245" s="417"/>
      <c r="GW245" s="417"/>
      <c r="GX245" s="417"/>
      <c r="GY245" s="417"/>
      <c r="GZ245" s="417"/>
      <c r="HA245" s="417"/>
      <c r="HB245" s="417"/>
      <c r="HC245" s="418"/>
      <c r="HD245" s="418"/>
      <c r="HE245" s="418"/>
      <c r="HF245" s="417"/>
      <c r="HG245" s="417"/>
      <c r="HH245" s="417"/>
      <c r="HI245" s="417"/>
      <c r="HJ245" s="417"/>
      <c r="HK245" s="417"/>
      <c r="HL245" s="417"/>
      <c r="HM245" s="417"/>
      <c r="HN245" s="417"/>
      <c r="HO245" s="417"/>
      <c r="HP245" s="417"/>
      <c r="HQ245" s="417"/>
      <c r="HR245" s="418"/>
      <c r="HS245" s="418"/>
      <c r="HT245" s="418"/>
    </row>
    <row r="246" spans="1:228" s="387" customFormat="1" ht="12.75" customHeight="1" x14ac:dyDescent="0.2">
      <c r="A246" s="406" t="s">
        <v>55</v>
      </c>
      <c r="B246" s="407" t="s">
        <v>42</v>
      </c>
      <c r="C246" s="406" t="s">
        <v>1000</v>
      </c>
      <c r="D246" s="407" t="s">
        <v>1006</v>
      </c>
      <c r="E246" s="407" t="s">
        <v>1757</v>
      </c>
      <c r="F246" s="407" t="s">
        <v>1758</v>
      </c>
      <c r="G246" s="406" t="s">
        <v>60</v>
      </c>
      <c r="H246" s="408" t="s">
        <v>1577</v>
      </c>
      <c r="I246" s="408" t="s">
        <v>1579</v>
      </c>
      <c r="J246" s="406" t="s">
        <v>1595</v>
      </c>
      <c r="K246" s="406" t="s">
        <v>1614</v>
      </c>
      <c r="L246" s="406" t="s">
        <v>1620</v>
      </c>
      <c r="M246" s="406" t="s">
        <v>1778</v>
      </c>
      <c r="N246" s="452">
        <v>0</v>
      </c>
      <c r="O246" s="452">
        <v>0</v>
      </c>
      <c r="P246" s="452">
        <v>0</v>
      </c>
      <c r="Q246" s="452">
        <v>0</v>
      </c>
      <c r="R246" s="452">
        <v>0</v>
      </c>
      <c r="S246" s="452">
        <v>0</v>
      </c>
      <c r="T246" s="452">
        <v>0</v>
      </c>
      <c r="U246" s="409">
        <v>0</v>
      </c>
      <c r="V246" s="409">
        <v>0</v>
      </c>
      <c r="W246" s="409">
        <v>0</v>
      </c>
      <c r="X246" s="409">
        <v>60</v>
      </c>
      <c r="Y246" s="409">
        <v>60</v>
      </c>
      <c r="Z246" s="453">
        <f t="shared" si="83"/>
        <v>120</v>
      </c>
      <c r="AA246" s="452">
        <v>60</v>
      </c>
      <c r="AB246" s="452">
        <v>60</v>
      </c>
      <c r="AC246" s="452">
        <v>60</v>
      </c>
      <c r="AD246" s="452">
        <v>60</v>
      </c>
      <c r="AE246" s="452">
        <v>0</v>
      </c>
      <c r="AF246" s="452">
        <v>0</v>
      </c>
      <c r="AG246" s="452">
        <v>0</v>
      </c>
      <c r="AH246" s="409">
        <v>0</v>
      </c>
      <c r="AI246" s="409">
        <v>0</v>
      </c>
      <c r="AJ246" s="409">
        <v>0</v>
      </c>
      <c r="AK246" s="409">
        <v>0</v>
      </c>
      <c r="AL246" s="409">
        <v>0</v>
      </c>
      <c r="AM246" s="453">
        <f t="shared" si="78"/>
        <v>240</v>
      </c>
      <c r="AN246" s="452">
        <v>0</v>
      </c>
      <c r="AO246" s="452">
        <v>0</v>
      </c>
      <c r="AP246" s="452">
        <v>0</v>
      </c>
      <c r="AQ246" s="452">
        <v>0</v>
      </c>
      <c r="AR246" s="452">
        <v>0</v>
      </c>
      <c r="AS246" s="452">
        <v>0</v>
      </c>
      <c r="AT246" s="452">
        <v>0</v>
      </c>
      <c r="AU246" s="409">
        <v>0</v>
      </c>
      <c r="AV246" s="409">
        <v>0</v>
      </c>
      <c r="AW246" s="409">
        <v>0</v>
      </c>
      <c r="AX246" s="409">
        <v>0</v>
      </c>
      <c r="AY246" s="409">
        <v>0</v>
      </c>
      <c r="AZ246" s="453">
        <f t="shared" si="79"/>
        <v>0</v>
      </c>
      <c r="BA246" s="452">
        <v>0</v>
      </c>
      <c r="BB246" s="452">
        <v>0</v>
      </c>
      <c r="BC246" s="452">
        <v>0</v>
      </c>
      <c r="BD246" s="452">
        <v>0</v>
      </c>
      <c r="BE246" s="452">
        <v>0</v>
      </c>
      <c r="BF246" s="452">
        <v>0</v>
      </c>
      <c r="BG246" s="452">
        <v>0</v>
      </c>
      <c r="BH246" s="409">
        <v>0</v>
      </c>
      <c r="BI246" s="409">
        <v>0</v>
      </c>
      <c r="BJ246" s="409">
        <v>0</v>
      </c>
      <c r="BK246" s="409">
        <v>0</v>
      </c>
      <c r="BL246" s="409">
        <v>0</v>
      </c>
      <c r="BM246" s="453">
        <f t="shared" si="80"/>
        <v>0</v>
      </c>
      <c r="BN246" s="452">
        <v>0</v>
      </c>
      <c r="BO246" s="452">
        <v>0</v>
      </c>
      <c r="BP246" s="452">
        <v>0</v>
      </c>
      <c r="BQ246" s="452">
        <v>0</v>
      </c>
      <c r="BR246" s="452">
        <v>0</v>
      </c>
      <c r="BS246" s="452">
        <v>0</v>
      </c>
      <c r="BT246" s="452">
        <v>0</v>
      </c>
      <c r="BU246" s="409">
        <v>0</v>
      </c>
      <c r="BV246" s="409">
        <v>0</v>
      </c>
      <c r="BW246" s="409">
        <v>0</v>
      </c>
      <c r="BX246" s="409">
        <v>0</v>
      </c>
      <c r="BY246" s="409">
        <v>0</v>
      </c>
      <c r="BZ246" s="453">
        <f t="shared" si="81"/>
        <v>0</v>
      </c>
      <c r="CA246" s="454">
        <f t="shared" si="82"/>
        <v>360</v>
      </c>
      <c r="CB246" s="419"/>
      <c r="CC246" s="419">
        <v>1</v>
      </c>
      <c r="CD246" s="419">
        <v>1</v>
      </c>
      <c r="CE246" s="419">
        <v>1</v>
      </c>
      <c r="CF246" s="419">
        <v>1</v>
      </c>
      <c r="CG246" s="420">
        <f t="shared" si="101"/>
        <v>0</v>
      </c>
      <c r="CH246" s="421">
        <f t="shared" si="102"/>
        <v>100.0499979654948</v>
      </c>
      <c r="CI246" s="414" t="s">
        <v>1621</v>
      </c>
      <c r="CJ246" s="415">
        <v>0</v>
      </c>
      <c r="CK246" s="415">
        <v>0</v>
      </c>
      <c r="CL246" s="415">
        <v>0</v>
      </c>
      <c r="CM246" s="415">
        <v>0</v>
      </c>
      <c r="CN246" s="415">
        <v>0</v>
      </c>
      <c r="CO246" s="415">
        <v>0</v>
      </c>
      <c r="CP246" s="415">
        <v>0</v>
      </c>
      <c r="CQ246" s="415">
        <v>0</v>
      </c>
      <c r="CR246" s="415">
        <v>0</v>
      </c>
      <c r="CS246" s="415">
        <v>0</v>
      </c>
      <c r="CT246" s="415">
        <v>0</v>
      </c>
      <c r="CU246" s="415">
        <v>1</v>
      </c>
      <c r="CV246" s="410">
        <f t="shared" si="92"/>
        <v>1</v>
      </c>
      <c r="CW246" s="415">
        <v>0</v>
      </c>
      <c r="CX246" s="415">
        <v>0</v>
      </c>
      <c r="CY246" s="415">
        <v>0</v>
      </c>
      <c r="CZ246" s="415">
        <v>1</v>
      </c>
      <c r="DA246" s="415">
        <v>0</v>
      </c>
      <c r="DB246" s="415">
        <v>0</v>
      </c>
      <c r="DC246" s="415">
        <v>0</v>
      </c>
      <c r="DD246" s="415">
        <v>0</v>
      </c>
      <c r="DE246" s="415">
        <v>0</v>
      </c>
      <c r="DF246" s="415">
        <v>0</v>
      </c>
      <c r="DG246" s="415">
        <v>0</v>
      </c>
      <c r="DH246" s="415">
        <v>0</v>
      </c>
      <c r="DI246" s="410">
        <f t="shared" si="93"/>
        <v>1</v>
      </c>
      <c r="DJ246" s="415">
        <v>0</v>
      </c>
      <c r="DK246" s="415">
        <v>0</v>
      </c>
      <c r="DL246" s="415">
        <v>0</v>
      </c>
      <c r="DM246" s="415">
        <v>0</v>
      </c>
      <c r="DN246" s="415">
        <v>0</v>
      </c>
      <c r="DO246" s="415">
        <v>0</v>
      </c>
      <c r="DP246" s="415">
        <v>0</v>
      </c>
      <c r="DQ246" s="415">
        <v>0</v>
      </c>
      <c r="DR246" s="415">
        <v>0</v>
      </c>
      <c r="DS246" s="415">
        <v>0</v>
      </c>
      <c r="DT246" s="415">
        <v>0</v>
      </c>
      <c r="DU246" s="415">
        <v>0</v>
      </c>
      <c r="DV246" s="410">
        <f t="shared" si="94"/>
        <v>0</v>
      </c>
      <c r="DW246" s="415">
        <v>0</v>
      </c>
      <c r="DX246" s="415">
        <v>0</v>
      </c>
      <c r="DY246" s="415">
        <v>0</v>
      </c>
      <c r="DZ246" s="415">
        <v>0</v>
      </c>
      <c r="EA246" s="415">
        <v>0</v>
      </c>
      <c r="EB246" s="415">
        <v>0</v>
      </c>
      <c r="EC246" s="415">
        <v>0</v>
      </c>
      <c r="ED246" s="415">
        <v>0</v>
      </c>
      <c r="EE246" s="415">
        <v>0</v>
      </c>
      <c r="EF246" s="415">
        <v>0</v>
      </c>
      <c r="EG246" s="415">
        <v>0</v>
      </c>
      <c r="EH246" s="415">
        <v>0</v>
      </c>
      <c r="EI246" s="410">
        <f t="shared" si="95"/>
        <v>0</v>
      </c>
      <c r="EJ246" s="415">
        <v>0</v>
      </c>
      <c r="EK246" s="415">
        <v>0</v>
      </c>
      <c r="EL246" s="415">
        <v>0</v>
      </c>
      <c r="EM246" s="415">
        <v>0</v>
      </c>
      <c r="EN246" s="415">
        <v>0</v>
      </c>
      <c r="EO246" s="415">
        <v>0</v>
      </c>
      <c r="EP246" s="415">
        <v>0</v>
      </c>
      <c r="EQ246" s="415">
        <v>0</v>
      </c>
      <c r="ER246" s="415">
        <v>0</v>
      </c>
      <c r="ES246" s="415">
        <v>0</v>
      </c>
      <c r="ET246" s="415">
        <v>0</v>
      </c>
      <c r="EU246" s="415">
        <v>0</v>
      </c>
      <c r="EV246" s="410">
        <f t="shared" si="96"/>
        <v>0</v>
      </c>
      <c r="EW246" s="416">
        <f t="shared" si="97"/>
        <v>2</v>
      </c>
      <c r="EX246" s="417">
        <f>IFERROR(VLOOKUP(H246,CEI_012018!$A$1:$U$509,9,FALSE),0)</f>
        <v>0</v>
      </c>
      <c r="EY246" s="417">
        <f>IFERROR(VLOOKUP(H246,CEI_022018!$A$1:$U$509,9,FALSE),0)</f>
        <v>0</v>
      </c>
      <c r="EZ246" s="417">
        <f>IFERROR(VLOOKUP(H246,CEI_032018!$A$1:$U$509,9,FALSE),0)</f>
        <v>0</v>
      </c>
      <c r="FA246" s="417">
        <f>IFERROR(VLOOKUP(H246,CEI_042018!$A$1:$U$491,9,FALSE),0)</f>
        <v>0</v>
      </c>
      <c r="FB246" s="417">
        <f>IFERROR(VLOOKUP(H246,CEI_052018!$A$1:$U$489,9,FALSE),0)</f>
        <v>0</v>
      </c>
      <c r="FC246" s="417">
        <f>IFERROR(VLOOKUP(H246,CEI_062018!$A$1:$U$489,9,FALSE),0)</f>
        <v>0</v>
      </c>
      <c r="FD246" s="417">
        <f>IFERROR(VLOOKUP(H246,CEI_072018!$A$1:$U$489,9,FALSE),0)</f>
        <v>0</v>
      </c>
      <c r="FE246" s="417">
        <f>IFERROR(VLOOKUP(H246,CEI_082018!$A$1:$U$489,9,FALSE),0)</f>
        <v>0</v>
      </c>
      <c r="FF246" s="417">
        <f>IFERROR(VLOOKUP(H246,CEI_092018!$A$1:$U$489,9,FALSE),0)</f>
        <v>0</v>
      </c>
      <c r="FG246" s="417"/>
      <c r="FH246" s="417"/>
      <c r="FI246" s="417"/>
      <c r="FJ246" s="418">
        <f>IFERROR(VLOOKUP(H246,CEI_092018!$A$1:$U$489,12,FALSE),0)</f>
        <v>120.05999755859375</v>
      </c>
      <c r="FK246" s="418">
        <f t="shared" si="99"/>
        <v>120.05999755859375</v>
      </c>
      <c r="FL246" s="418">
        <f t="shared" si="100"/>
        <v>-5.999755859375E-2</v>
      </c>
      <c r="FM246" s="417"/>
      <c r="FN246" s="417"/>
      <c r="FO246" s="417"/>
      <c r="FP246" s="417"/>
      <c r="FQ246" s="417"/>
      <c r="FR246" s="417"/>
      <c r="FS246" s="417"/>
      <c r="FT246" s="417"/>
      <c r="FU246" s="417"/>
      <c r="FV246" s="417"/>
      <c r="FW246" s="417"/>
      <c r="FX246" s="417"/>
      <c r="FY246" s="418"/>
      <c r="FZ246" s="418"/>
      <c r="GA246" s="418"/>
      <c r="GB246" s="417"/>
      <c r="GC246" s="417"/>
      <c r="GD246" s="417"/>
      <c r="GE246" s="417"/>
      <c r="GF246" s="417"/>
      <c r="GG246" s="417"/>
      <c r="GH246" s="417"/>
      <c r="GI246" s="417"/>
      <c r="GJ246" s="417"/>
      <c r="GK246" s="417"/>
      <c r="GL246" s="417"/>
      <c r="GM246" s="417"/>
      <c r="GN246" s="418"/>
      <c r="GO246" s="418"/>
      <c r="GP246" s="418"/>
      <c r="GQ246" s="417"/>
      <c r="GR246" s="417"/>
      <c r="GS246" s="417"/>
      <c r="GT246" s="417"/>
      <c r="GU246" s="417"/>
      <c r="GV246" s="417"/>
      <c r="GW246" s="417"/>
      <c r="GX246" s="417"/>
      <c r="GY246" s="417"/>
      <c r="GZ246" s="417"/>
      <c r="HA246" s="417"/>
      <c r="HB246" s="417"/>
      <c r="HC246" s="418"/>
      <c r="HD246" s="418"/>
      <c r="HE246" s="418"/>
      <c r="HF246" s="417"/>
      <c r="HG246" s="417"/>
      <c r="HH246" s="417"/>
      <c r="HI246" s="417"/>
      <c r="HJ246" s="417"/>
      <c r="HK246" s="417"/>
      <c r="HL246" s="417"/>
      <c r="HM246" s="417"/>
      <c r="HN246" s="417"/>
      <c r="HO246" s="417"/>
      <c r="HP246" s="417"/>
      <c r="HQ246" s="417"/>
      <c r="HR246" s="418"/>
      <c r="HS246" s="418"/>
      <c r="HT246" s="418"/>
    </row>
    <row r="247" spans="1:228" s="387" customFormat="1" ht="12.75" customHeight="1" x14ac:dyDescent="0.2">
      <c r="A247" s="406" t="s">
        <v>55</v>
      </c>
      <c r="B247" s="407" t="s">
        <v>42</v>
      </c>
      <c r="C247" s="406" t="s">
        <v>1000</v>
      </c>
      <c r="D247" s="407" t="s">
        <v>1004</v>
      </c>
      <c r="E247" s="407" t="s">
        <v>1759</v>
      </c>
      <c r="F247" s="407" t="s">
        <v>1004</v>
      </c>
      <c r="G247" s="406" t="s">
        <v>54</v>
      </c>
      <c r="H247" s="408" t="s">
        <v>707</v>
      </c>
      <c r="I247" s="408" t="s">
        <v>1301</v>
      </c>
      <c r="J247" s="406" t="s">
        <v>354</v>
      </c>
      <c r="K247" s="406" t="s">
        <v>355</v>
      </c>
      <c r="L247" s="406" t="s">
        <v>356</v>
      </c>
      <c r="M247" s="406" t="s">
        <v>1778</v>
      </c>
      <c r="N247" s="452">
        <v>0</v>
      </c>
      <c r="O247" s="452">
        <v>0</v>
      </c>
      <c r="P247" s="452">
        <v>23.278350830078125</v>
      </c>
      <c r="Q247" s="452">
        <v>49.684680938720703</v>
      </c>
      <c r="R247" s="452">
        <v>60.752300262451172</v>
      </c>
      <c r="S247" s="452">
        <v>131.96923828125</v>
      </c>
      <c r="T247" s="452">
        <v>39.521049499511719</v>
      </c>
      <c r="U247" s="409">
        <v>130.40693664550781</v>
      </c>
      <c r="V247" s="409">
        <v>72</v>
      </c>
      <c r="W247" s="409">
        <v>44</v>
      </c>
      <c r="X247" s="409">
        <v>79.072019999999995</v>
      </c>
      <c r="Y247" s="409">
        <v>0</v>
      </c>
      <c r="Z247" s="453">
        <f t="shared" si="83"/>
        <v>630.68457645751948</v>
      </c>
      <c r="AA247" s="452">
        <v>37</v>
      </c>
      <c r="AB247" s="452">
        <v>2</v>
      </c>
      <c r="AC247" s="452">
        <v>15</v>
      </c>
      <c r="AD247" s="452">
        <v>0</v>
      </c>
      <c r="AE247" s="452">
        <v>0</v>
      </c>
      <c r="AF247" s="452">
        <v>0</v>
      </c>
      <c r="AG247" s="452">
        <v>0</v>
      </c>
      <c r="AH247" s="409">
        <v>0</v>
      </c>
      <c r="AI247" s="409">
        <v>0</v>
      </c>
      <c r="AJ247" s="409">
        <v>0</v>
      </c>
      <c r="AK247" s="409">
        <v>0</v>
      </c>
      <c r="AL247" s="409">
        <v>0</v>
      </c>
      <c r="AM247" s="453">
        <f t="shared" si="78"/>
        <v>54</v>
      </c>
      <c r="AN247" s="452">
        <v>0</v>
      </c>
      <c r="AO247" s="452">
        <v>0</v>
      </c>
      <c r="AP247" s="452">
        <v>0</v>
      </c>
      <c r="AQ247" s="452">
        <v>0</v>
      </c>
      <c r="AR247" s="452">
        <v>0</v>
      </c>
      <c r="AS247" s="452">
        <v>0</v>
      </c>
      <c r="AT247" s="452">
        <v>0</v>
      </c>
      <c r="AU247" s="409">
        <v>0</v>
      </c>
      <c r="AV247" s="409">
        <v>0</v>
      </c>
      <c r="AW247" s="409">
        <v>0</v>
      </c>
      <c r="AX247" s="409">
        <v>0</v>
      </c>
      <c r="AY247" s="409">
        <v>0</v>
      </c>
      <c r="AZ247" s="453">
        <f t="shared" si="79"/>
        <v>0</v>
      </c>
      <c r="BA247" s="452">
        <v>0</v>
      </c>
      <c r="BB247" s="452">
        <v>0</v>
      </c>
      <c r="BC247" s="452">
        <v>0</v>
      </c>
      <c r="BD247" s="452">
        <v>0</v>
      </c>
      <c r="BE247" s="452">
        <v>0</v>
      </c>
      <c r="BF247" s="452">
        <v>0</v>
      </c>
      <c r="BG247" s="452">
        <v>0</v>
      </c>
      <c r="BH247" s="409">
        <v>0</v>
      </c>
      <c r="BI247" s="409">
        <v>0</v>
      </c>
      <c r="BJ247" s="409">
        <v>0</v>
      </c>
      <c r="BK247" s="409">
        <v>0</v>
      </c>
      <c r="BL247" s="409">
        <v>0</v>
      </c>
      <c r="BM247" s="453">
        <f t="shared" si="80"/>
        <v>0</v>
      </c>
      <c r="BN247" s="452">
        <v>0</v>
      </c>
      <c r="BO247" s="452">
        <v>0</v>
      </c>
      <c r="BP247" s="452">
        <v>0</v>
      </c>
      <c r="BQ247" s="452">
        <v>0</v>
      </c>
      <c r="BR247" s="452">
        <v>0</v>
      </c>
      <c r="BS247" s="452">
        <v>0</v>
      </c>
      <c r="BT247" s="452">
        <v>0</v>
      </c>
      <c r="BU247" s="409">
        <v>0</v>
      </c>
      <c r="BV247" s="409">
        <v>0</v>
      </c>
      <c r="BW247" s="409">
        <v>0</v>
      </c>
      <c r="BX247" s="409">
        <v>0</v>
      </c>
      <c r="BY247" s="409">
        <v>0</v>
      </c>
      <c r="BZ247" s="453">
        <f t="shared" si="81"/>
        <v>0</v>
      </c>
      <c r="CA247" s="454">
        <f t="shared" si="82"/>
        <v>684.68457645751948</v>
      </c>
      <c r="CB247" s="419"/>
      <c r="CC247" s="419">
        <v>1</v>
      </c>
      <c r="CD247" s="419">
        <v>1</v>
      </c>
      <c r="CE247" s="419">
        <v>1</v>
      </c>
      <c r="CF247" s="419">
        <v>1</v>
      </c>
      <c r="CG247" s="420">
        <f t="shared" si="101"/>
        <v>69.069796966385894</v>
      </c>
      <c r="CH247" s="421">
        <f t="shared" si="102"/>
        <v>69.069796966385894</v>
      </c>
      <c r="CI247" s="414" t="s">
        <v>1621</v>
      </c>
      <c r="CJ247" s="415">
        <v>0</v>
      </c>
      <c r="CK247" s="415">
        <v>0</v>
      </c>
      <c r="CL247" s="415">
        <v>0</v>
      </c>
      <c r="CM247" s="415">
        <v>0</v>
      </c>
      <c r="CN247" s="415">
        <v>0</v>
      </c>
      <c r="CO247" s="415">
        <v>0</v>
      </c>
      <c r="CP247" s="415">
        <v>0</v>
      </c>
      <c r="CQ247" s="415">
        <v>0</v>
      </c>
      <c r="CR247" s="415">
        <v>0</v>
      </c>
      <c r="CS247" s="415">
        <v>0</v>
      </c>
      <c r="CT247" s="415">
        <v>0</v>
      </c>
      <c r="CU247" s="415">
        <v>1</v>
      </c>
      <c r="CV247" s="410">
        <f t="shared" si="92"/>
        <v>1</v>
      </c>
      <c r="CW247" s="415">
        <v>0</v>
      </c>
      <c r="CX247" s="415">
        <v>0</v>
      </c>
      <c r="CY247" s="415">
        <v>1</v>
      </c>
      <c r="CZ247" s="415">
        <v>0</v>
      </c>
      <c r="DA247" s="415">
        <v>0</v>
      </c>
      <c r="DB247" s="415">
        <v>0</v>
      </c>
      <c r="DC247" s="415">
        <v>0</v>
      </c>
      <c r="DD247" s="415">
        <v>0</v>
      </c>
      <c r="DE247" s="415">
        <v>0</v>
      </c>
      <c r="DF247" s="415">
        <v>0</v>
      </c>
      <c r="DG247" s="415">
        <v>0</v>
      </c>
      <c r="DH247" s="415">
        <v>0</v>
      </c>
      <c r="DI247" s="410">
        <f t="shared" si="93"/>
        <v>1</v>
      </c>
      <c r="DJ247" s="415">
        <v>0</v>
      </c>
      <c r="DK247" s="415">
        <v>0</v>
      </c>
      <c r="DL247" s="415">
        <v>0</v>
      </c>
      <c r="DM247" s="415">
        <v>0</v>
      </c>
      <c r="DN247" s="415">
        <v>0</v>
      </c>
      <c r="DO247" s="415">
        <v>0</v>
      </c>
      <c r="DP247" s="415">
        <v>0</v>
      </c>
      <c r="DQ247" s="415">
        <v>0</v>
      </c>
      <c r="DR247" s="415">
        <v>0</v>
      </c>
      <c r="DS247" s="415">
        <v>0</v>
      </c>
      <c r="DT247" s="415">
        <v>0</v>
      </c>
      <c r="DU247" s="415">
        <v>0</v>
      </c>
      <c r="DV247" s="410">
        <f t="shared" si="94"/>
        <v>0</v>
      </c>
      <c r="DW247" s="415">
        <v>0</v>
      </c>
      <c r="DX247" s="415">
        <v>0</v>
      </c>
      <c r="DY247" s="415">
        <v>0</v>
      </c>
      <c r="DZ247" s="415">
        <v>0</v>
      </c>
      <c r="EA247" s="415">
        <v>0</v>
      </c>
      <c r="EB247" s="415">
        <v>0</v>
      </c>
      <c r="EC247" s="415">
        <v>0</v>
      </c>
      <c r="ED247" s="415">
        <v>0</v>
      </c>
      <c r="EE247" s="415">
        <v>0</v>
      </c>
      <c r="EF247" s="415">
        <v>0</v>
      </c>
      <c r="EG247" s="415">
        <v>0</v>
      </c>
      <c r="EH247" s="415">
        <v>0</v>
      </c>
      <c r="EI247" s="410">
        <f t="shared" si="95"/>
        <v>0</v>
      </c>
      <c r="EJ247" s="415">
        <v>0</v>
      </c>
      <c r="EK247" s="415">
        <v>0</v>
      </c>
      <c r="EL247" s="415">
        <v>0</v>
      </c>
      <c r="EM247" s="415">
        <v>0</v>
      </c>
      <c r="EN247" s="415">
        <v>0</v>
      </c>
      <c r="EO247" s="415">
        <v>0</v>
      </c>
      <c r="EP247" s="415">
        <v>0</v>
      </c>
      <c r="EQ247" s="415">
        <v>0</v>
      </c>
      <c r="ER247" s="415">
        <v>0</v>
      </c>
      <c r="ES247" s="415">
        <v>0</v>
      </c>
      <c r="ET247" s="415">
        <v>0</v>
      </c>
      <c r="EU247" s="415">
        <v>0</v>
      </c>
      <c r="EV247" s="410">
        <f t="shared" si="96"/>
        <v>0</v>
      </c>
      <c r="EW247" s="416">
        <f t="shared" si="97"/>
        <v>2</v>
      </c>
      <c r="EX247" s="417">
        <f>IFERROR(VLOOKUP(H247,CEI_012018!$A$1:$U$509,9,FALSE),0)</f>
        <v>0</v>
      </c>
      <c r="EY247" s="417">
        <f>IFERROR(VLOOKUP(H247,CEI_022018!$A$1:$U$509,9,FALSE),0)</f>
        <v>0</v>
      </c>
      <c r="EZ247" s="417">
        <f>IFERROR(VLOOKUP(H247,CEI_032018!$A$1:$U$509,9,FALSE),0)</f>
        <v>23.278350830078125</v>
      </c>
      <c r="FA247" s="417">
        <f>IFERROR(VLOOKUP(H247,CEI_042018!$A$1:$U$491,9,FALSE),0)</f>
        <v>72.963031768798828</v>
      </c>
      <c r="FB247" s="417">
        <f>IFERROR(VLOOKUP(H247,CEI_052018!$A$1:$U$489,9,FALSE),0)</f>
        <v>133.71533203125</v>
      </c>
      <c r="FC247" s="417">
        <f>IFERROR(VLOOKUP(H247,CEI_062018!$A$1:$U$489,9,FALSE),0)</f>
        <v>265.6845703125</v>
      </c>
      <c r="FD247" s="417">
        <f>IFERROR(VLOOKUP(H247,CEI_072018!$A$1:$U$489,9,FALSE),0)</f>
        <v>305.20561981201172</v>
      </c>
      <c r="FE247" s="417">
        <f>IFERROR(VLOOKUP(H247,CEI_082018!$A$1:$U$489,9,FALSE),0)</f>
        <v>435.61255645751953</v>
      </c>
      <c r="FF247" s="417">
        <f>IFERROR(VLOOKUP(H247,CEI_092018!$A$1:$U$489,9,FALSE),0)</f>
        <v>435.61255645751953</v>
      </c>
      <c r="FG247" s="417"/>
      <c r="FH247" s="417"/>
      <c r="FI247" s="417"/>
      <c r="FJ247" s="418">
        <f>IFERROR(VLOOKUP(H247,CEI_092018!$A$1:$U$489,12,FALSE),0)</f>
        <v>0</v>
      </c>
      <c r="FK247" s="418">
        <f t="shared" si="99"/>
        <v>435.61255645751953</v>
      </c>
      <c r="FL247" s="418">
        <f t="shared" si="100"/>
        <v>195.07201999999995</v>
      </c>
      <c r="FM247" s="417"/>
      <c r="FN247" s="417"/>
      <c r="FO247" s="417"/>
      <c r="FP247" s="417"/>
      <c r="FQ247" s="417"/>
      <c r="FR247" s="417"/>
      <c r="FS247" s="417"/>
      <c r="FT247" s="417"/>
      <c r="FU247" s="417"/>
      <c r="FV247" s="417"/>
      <c r="FW247" s="417"/>
      <c r="FX247" s="417"/>
      <c r="FY247" s="418"/>
      <c r="FZ247" s="418"/>
      <c r="GA247" s="418"/>
      <c r="GB247" s="417"/>
      <c r="GC247" s="417"/>
      <c r="GD247" s="417"/>
      <c r="GE247" s="417"/>
      <c r="GF247" s="417"/>
      <c r="GG247" s="417"/>
      <c r="GH247" s="417"/>
      <c r="GI247" s="417"/>
      <c r="GJ247" s="417"/>
      <c r="GK247" s="417"/>
      <c r="GL247" s="417"/>
      <c r="GM247" s="417"/>
      <c r="GN247" s="418"/>
      <c r="GO247" s="418"/>
      <c r="GP247" s="418"/>
      <c r="GQ247" s="417"/>
      <c r="GR247" s="417"/>
      <c r="GS247" s="417"/>
      <c r="GT247" s="417"/>
      <c r="GU247" s="417"/>
      <c r="GV247" s="417"/>
      <c r="GW247" s="417"/>
      <c r="GX247" s="417"/>
      <c r="GY247" s="417"/>
      <c r="GZ247" s="417"/>
      <c r="HA247" s="417"/>
      <c r="HB247" s="417"/>
      <c r="HC247" s="418"/>
      <c r="HD247" s="418"/>
      <c r="HE247" s="418"/>
      <c r="HF247" s="417"/>
      <c r="HG247" s="417"/>
      <c r="HH247" s="417"/>
      <c r="HI247" s="417"/>
      <c r="HJ247" s="417"/>
      <c r="HK247" s="417"/>
      <c r="HL247" s="417"/>
      <c r="HM247" s="417"/>
      <c r="HN247" s="417"/>
      <c r="HO247" s="417"/>
      <c r="HP247" s="417"/>
      <c r="HQ247" s="417"/>
      <c r="HR247" s="418"/>
      <c r="HS247" s="418"/>
      <c r="HT247" s="418"/>
    </row>
    <row r="248" spans="1:228" s="387" customFormat="1" ht="12.75" customHeight="1" x14ac:dyDescent="0.2">
      <c r="A248" s="406" t="s">
        <v>55</v>
      </c>
      <c r="B248" s="407" t="s">
        <v>42</v>
      </c>
      <c r="C248" s="406" t="s">
        <v>1000</v>
      </c>
      <c r="D248" s="407" t="s">
        <v>1004</v>
      </c>
      <c r="E248" s="407" t="s">
        <v>1000</v>
      </c>
      <c r="F248" s="407" t="s">
        <v>1004</v>
      </c>
      <c r="G248" s="406" t="s">
        <v>54</v>
      </c>
      <c r="H248" s="408" t="s">
        <v>520</v>
      </c>
      <c r="I248" s="408" t="s">
        <v>57</v>
      </c>
      <c r="J248" s="406" t="s">
        <v>301</v>
      </c>
      <c r="K248" s="406" t="s">
        <v>302</v>
      </c>
      <c r="L248" s="406" t="s">
        <v>303</v>
      </c>
      <c r="M248" s="406" t="s">
        <v>1770</v>
      </c>
      <c r="N248" s="452">
        <v>0</v>
      </c>
      <c r="O248" s="452">
        <v>0</v>
      </c>
      <c r="P248" s="452">
        <v>0</v>
      </c>
      <c r="Q248" s="452">
        <v>0</v>
      </c>
      <c r="R248" s="452">
        <v>0</v>
      </c>
      <c r="S248" s="452">
        <v>0</v>
      </c>
      <c r="T248" s="452">
        <v>0</v>
      </c>
      <c r="U248" s="409">
        <v>0</v>
      </c>
      <c r="V248" s="409">
        <v>0</v>
      </c>
      <c r="W248" s="409">
        <v>0</v>
      </c>
      <c r="X248" s="409">
        <v>0</v>
      </c>
      <c r="Y248" s="409">
        <v>0</v>
      </c>
      <c r="Z248" s="453">
        <f t="shared" si="83"/>
        <v>0</v>
      </c>
      <c r="AA248" s="452">
        <v>0</v>
      </c>
      <c r="AB248" s="452">
        <v>0</v>
      </c>
      <c r="AC248" s="452">
        <v>0</v>
      </c>
      <c r="AD248" s="452">
        <v>0</v>
      </c>
      <c r="AE248" s="452">
        <v>0</v>
      </c>
      <c r="AF248" s="452">
        <v>0</v>
      </c>
      <c r="AG248" s="452">
        <v>0</v>
      </c>
      <c r="AH248" s="409">
        <v>0</v>
      </c>
      <c r="AI248" s="409">
        <v>0</v>
      </c>
      <c r="AJ248" s="409">
        <v>0</v>
      </c>
      <c r="AK248" s="409">
        <v>0</v>
      </c>
      <c r="AL248" s="409">
        <v>0</v>
      </c>
      <c r="AM248" s="453">
        <f t="shared" si="78"/>
        <v>0</v>
      </c>
      <c r="AN248" s="452">
        <v>0</v>
      </c>
      <c r="AO248" s="452">
        <v>0</v>
      </c>
      <c r="AP248" s="452">
        <v>0</v>
      </c>
      <c r="AQ248" s="452">
        <v>30</v>
      </c>
      <c r="AR248" s="452">
        <v>20</v>
      </c>
      <c r="AS248" s="452">
        <v>20</v>
      </c>
      <c r="AT248" s="452">
        <v>20</v>
      </c>
      <c r="AU248" s="409">
        <v>20</v>
      </c>
      <c r="AV248" s="409">
        <v>20</v>
      </c>
      <c r="AW248" s="409">
        <v>20</v>
      </c>
      <c r="AX248" s="409">
        <v>20</v>
      </c>
      <c r="AY248" s="409">
        <v>30</v>
      </c>
      <c r="AZ248" s="453">
        <f t="shared" si="79"/>
        <v>200</v>
      </c>
      <c r="BA248" s="452">
        <v>20</v>
      </c>
      <c r="BB248" s="452">
        <v>20</v>
      </c>
      <c r="BC248" s="452">
        <v>20</v>
      </c>
      <c r="BD248" s="452">
        <v>20</v>
      </c>
      <c r="BE248" s="452">
        <v>20</v>
      </c>
      <c r="BF248" s="452">
        <v>20</v>
      </c>
      <c r="BG248" s="452">
        <v>20</v>
      </c>
      <c r="BH248" s="409">
        <v>20</v>
      </c>
      <c r="BI248" s="409">
        <v>20</v>
      </c>
      <c r="BJ248" s="409">
        <v>20</v>
      </c>
      <c r="BK248" s="409">
        <v>20</v>
      </c>
      <c r="BL248" s="409">
        <v>180</v>
      </c>
      <c r="BM248" s="453">
        <f t="shared" si="80"/>
        <v>400</v>
      </c>
      <c r="BN248" s="452">
        <v>20</v>
      </c>
      <c r="BO248" s="452">
        <v>20</v>
      </c>
      <c r="BP248" s="452">
        <v>20</v>
      </c>
      <c r="BQ248" s="452">
        <v>20</v>
      </c>
      <c r="BR248" s="452">
        <v>20</v>
      </c>
      <c r="BS248" s="452">
        <v>20</v>
      </c>
      <c r="BT248" s="452">
        <v>20</v>
      </c>
      <c r="BU248" s="409">
        <v>20</v>
      </c>
      <c r="BV248" s="409">
        <v>20</v>
      </c>
      <c r="BW248" s="409">
        <v>20</v>
      </c>
      <c r="BX248" s="409">
        <v>70</v>
      </c>
      <c r="BY248" s="409">
        <v>180</v>
      </c>
      <c r="BZ248" s="453">
        <f t="shared" si="81"/>
        <v>450</v>
      </c>
      <c r="CA248" s="454">
        <f t="shared" si="82"/>
        <v>1050</v>
      </c>
      <c r="CB248" s="411"/>
      <c r="CC248" s="411"/>
      <c r="CD248" s="411"/>
      <c r="CE248" s="411"/>
      <c r="CF248" s="411"/>
      <c r="CG248" s="412"/>
      <c r="CH248" s="413"/>
      <c r="CI248" s="414" t="s">
        <v>1622</v>
      </c>
      <c r="CJ248" s="415">
        <v>0</v>
      </c>
      <c r="CK248" s="415">
        <v>0</v>
      </c>
      <c r="CL248" s="415">
        <v>0</v>
      </c>
      <c r="CM248" s="415">
        <v>0</v>
      </c>
      <c r="CN248" s="415">
        <v>0</v>
      </c>
      <c r="CO248" s="415">
        <v>0</v>
      </c>
      <c r="CP248" s="415">
        <v>0</v>
      </c>
      <c r="CQ248" s="415">
        <v>0</v>
      </c>
      <c r="CR248" s="415">
        <v>0</v>
      </c>
      <c r="CS248" s="415">
        <v>0</v>
      </c>
      <c r="CT248" s="415">
        <v>0</v>
      </c>
      <c r="CU248" s="415">
        <v>0</v>
      </c>
      <c r="CV248" s="410">
        <f t="shared" si="92"/>
        <v>0</v>
      </c>
      <c r="CW248" s="415">
        <v>0</v>
      </c>
      <c r="CX248" s="415">
        <v>0</v>
      </c>
      <c r="CY248" s="415">
        <v>0</v>
      </c>
      <c r="CZ248" s="415">
        <v>0</v>
      </c>
      <c r="DA248" s="415">
        <v>0</v>
      </c>
      <c r="DB248" s="415">
        <v>0</v>
      </c>
      <c r="DC248" s="415">
        <v>0</v>
      </c>
      <c r="DD248" s="415">
        <v>0</v>
      </c>
      <c r="DE248" s="415">
        <v>0</v>
      </c>
      <c r="DF248" s="415">
        <v>0</v>
      </c>
      <c r="DG248" s="415">
        <v>0</v>
      </c>
      <c r="DH248" s="415">
        <v>70</v>
      </c>
      <c r="DI248" s="410">
        <f t="shared" si="93"/>
        <v>70</v>
      </c>
      <c r="DJ248" s="415">
        <v>0</v>
      </c>
      <c r="DK248" s="415">
        <v>0</v>
      </c>
      <c r="DL248" s="415">
        <v>0</v>
      </c>
      <c r="DM248" s="415">
        <v>60</v>
      </c>
      <c r="DN248" s="415">
        <v>40</v>
      </c>
      <c r="DO248" s="415">
        <v>40</v>
      </c>
      <c r="DP248" s="415">
        <v>40</v>
      </c>
      <c r="DQ248" s="415">
        <v>40</v>
      </c>
      <c r="DR248" s="415">
        <v>40</v>
      </c>
      <c r="DS248" s="415">
        <v>40</v>
      </c>
      <c r="DT248" s="415">
        <v>40</v>
      </c>
      <c r="DU248" s="415">
        <v>60</v>
      </c>
      <c r="DV248" s="410">
        <f t="shared" si="94"/>
        <v>400</v>
      </c>
      <c r="DW248" s="415">
        <v>40</v>
      </c>
      <c r="DX248" s="415">
        <v>40</v>
      </c>
      <c r="DY248" s="415">
        <v>40</v>
      </c>
      <c r="DZ248" s="415">
        <v>40</v>
      </c>
      <c r="EA248" s="415">
        <v>40</v>
      </c>
      <c r="EB248" s="415">
        <v>40</v>
      </c>
      <c r="EC248" s="415">
        <v>40</v>
      </c>
      <c r="ED248" s="415">
        <v>40</v>
      </c>
      <c r="EE248" s="415">
        <v>40</v>
      </c>
      <c r="EF248" s="415">
        <v>40</v>
      </c>
      <c r="EG248" s="415">
        <v>40</v>
      </c>
      <c r="EH248" s="415">
        <v>360</v>
      </c>
      <c r="EI248" s="410">
        <f t="shared" si="95"/>
        <v>800</v>
      </c>
      <c r="EJ248" s="415">
        <v>40</v>
      </c>
      <c r="EK248" s="415">
        <v>40</v>
      </c>
      <c r="EL248" s="415">
        <v>40</v>
      </c>
      <c r="EM248" s="415">
        <v>40</v>
      </c>
      <c r="EN248" s="415">
        <v>40</v>
      </c>
      <c r="EO248" s="415">
        <v>40</v>
      </c>
      <c r="EP248" s="415">
        <v>40</v>
      </c>
      <c r="EQ248" s="415">
        <v>40</v>
      </c>
      <c r="ER248" s="415">
        <v>40</v>
      </c>
      <c r="ES248" s="415">
        <v>40</v>
      </c>
      <c r="ET248" s="415">
        <v>140</v>
      </c>
      <c r="EU248" s="415">
        <v>360</v>
      </c>
      <c r="EV248" s="410">
        <f t="shared" si="96"/>
        <v>900</v>
      </c>
      <c r="EW248" s="416">
        <f t="shared" si="97"/>
        <v>2170</v>
      </c>
      <c r="EX248" s="417">
        <f>IFERROR(VLOOKUP(H248,CEI_012018!$A$1:$U$509,9,FALSE),0)</f>
        <v>0</v>
      </c>
      <c r="EY248" s="417">
        <f>IFERROR(VLOOKUP(H248,CEI_022018!$A$1:$U$509,9,FALSE),0)</f>
        <v>0</v>
      </c>
      <c r="EZ248" s="417">
        <f>IFERROR(VLOOKUP(H248,CEI_032018!$A$1:$U$509,9,FALSE),0)</f>
        <v>0</v>
      </c>
      <c r="FA248" s="417">
        <f>IFERROR(VLOOKUP(H248,CEI_042018!$A$1:$U$491,9,FALSE),0)</f>
        <v>0</v>
      </c>
      <c r="FB248" s="417">
        <f>IFERROR(VLOOKUP(H248,CEI_052018!$A$1:$U$489,9,FALSE),0)</f>
        <v>0</v>
      </c>
      <c r="FC248" s="417">
        <f>IFERROR(VLOOKUP(H248,CEI_062018!$A$1:$U$489,9,FALSE),0)</f>
        <v>0</v>
      </c>
      <c r="FD248" s="417">
        <f>IFERROR(VLOOKUP(H248,CEI_072018!$A$1:$U$489,9,FALSE),0)</f>
        <v>0</v>
      </c>
      <c r="FE248" s="417">
        <f>IFERROR(VLOOKUP(H248,CEI_082018!$A$1:$U$489,9,FALSE),0)</f>
        <v>0</v>
      </c>
      <c r="FF248" s="417">
        <f>IFERROR(VLOOKUP(H248,CEI_092018!$A$1:$U$489,9,FALSE),0)</f>
        <v>0</v>
      </c>
      <c r="FG248" s="417"/>
      <c r="FH248" s="417"/>
      <c r="FI248" s="417"/>
      <c r="FJ248" s="418">
        <f>IFERROR(VLOOKUP(H248,CEI_092018!$A$1:$U$489,12,FALSE),0)</f>
        <v>0</v>
      </c>
      <c r="FK248" s="418">
        <f t="shared" si="99"/>
        <v>0</v>
      </c>
      <c r="FL248" s="418">
        <f t="shared" si="100"/>
        <v>0</v>
      </c>
      <c r="FM248" s="417"/>
      <c r="FN248" s="417"/>
      <c r="FO248" s="417"/>
      <c r="FP248" s="417"/>
      <c r="FQ248" s="417"/>
      <c r="FR248" s="417"/>
      <c r="FS248" s="417"/>
      <c r="FT248" s="417"/>
      <c r="FU248" s="417"/>
      <c r="FV248" s="417"/>
      <c r="FW248" s="417"/>
      <c r="FX248" s="417"/>
      <c r="FY248" s="418"/>
      <c r="FZ248" s="418"/>
      <c r="GA248" s="418"/>
      <c r="GB248" s="417"/>
      <c r="GC248" s="417"/>
      <c r="GD248" s="417"/>
      <c r="GE248" s="417"/>
      <c r="GF248" s="417"/>
      <c r="GG248" s="417"/>
      <c r="GH248" s="417"/>
      <c r="GI248" s="417"/>
      <c r="GJ248" s="417"/>
      <c r="GK248" s="417"/>
      <c r="GL248" s="417"/>
      <c r="GM248" s="417"/>
      <c r="GN248" s="418"/>
      <c r="GO248" s="418"/>
      <c r="GP248" s="418"/>
      <c r="GQ248" s="417"/>
      <c r="GR248" s="417"/>
      <c r="GS248" s="417"/>
      <c r="GT248" s="417"/>
      <c r="GU248" s="417"/>
      <c r="GV248" s="417"/>
      <c r="GW248" s="417"/>
      <c r="GX248" s="417"/>
      <c r="GY248" s="417"/>
      <c r="GZ248" s="417"/>
      <c r="HA248" s="417"/>
      <c r="HB248" s="417"/>
      <c r="HC248" s="418"/>
      <c r="HD248" s="418"/>
      <c r="HE248" s="418"/>
      <c r="HF248" s="417"/>
      <c r="HG248" s="417"/>
      <c r="HH248" s="417"/>
      <c r="HI248" s="417"/>
      <c r="HJ248" s="417"/>
      <c r="HK248" s="417"/>
      <c r="HL248" s="417"/>
      <c r="HM248" s="417"/>
      <c r="HN248" s="417"/>
      <c r="HO248" s="417"/>
      <c r="HP248" s="417"/>
      <c r="HQ248" s="417"/>
      <c r="HR248" s="418"/>
      <c r="HS248" s="418"/>
      <c r="HT248" s="418"/>
    </row>
    <row r="249" spans="1:228" s="387" customFormat="1" ht="12.75" customHeight="1" x14ac:dyDescent="0.2">
      <c r="A249" s="406" t="s">
        <v>55</v>
      </c>
      <c r="B249" s="407" t="s">
        <v>42</v>
      </c>
      <c r="C249" s="406" t="s">
        <v>1000</v>
      </c>
      <c r="D249" s="407" t="s">
        <v>1004</v>
      </c>
      <c r="E249" s="407" t="s">
        <v>1000</v>
      </c>
      <c r="F249" s="407" t="s">
        <v>1004</v>
      </c>
      <c r="G249" s="406" t="s">
        <v>54</v>
      </c>
      <c r="H249" s="408" t="s">
        <v>960</v>
      </c>
      <c r="I249" s="408" t="s">
        <v>57</v>
      </c>
      <c r="J249" s="406" t="s">
        <v>961</v>
      </c>
      <c r="K249" s="406"/>
      <c r="L249" s="406"/>
      <c r="M249" s="406" t="s">
        <v>1770</v>
      </c>
      <c r="N249" s="452">
        <v>0</v>
      </c>
      <c r="O249" s="452">
        <v>0</v>
      </c>
      <c r="P249" s="452">
        <v>0</v>
      </c>
      <c r="Q249" s="452">
        <v>0</v>
      </c>
      <c r="R249" s="452">
        <v>0</v>
      </c>
      <c r="S249" s="452">
        <v>0</v>
      </c>
      <c r="T249" s="452">
        <v>0</v>
      </c>
      <c r="U249" s="409">
        <v>0</v>
      </c>
      <c r="V249" s="409">
        <v>0</v>
      </c>
      <c r="W249" s="409">
        <v>0</v>
      </c>
      <c r="X249" s="409">
        <v>0</v>
      </c>
      <c r="Y249" s="409">
        <v>0</v>
      </c>
      <c r="Z249" s="453">
        <f t="shared" si="83"/>
        <v>0</v>
      </c>
      <c r="AA249" s="452">
        <v>0</v>
      </c>
      <c r="AB249" s="452">
        <v>0</v>
      </c>
      <c r="AC249" s="452">
        <v>0</v>
      </c>
      <c r="AD249" s="452">
        <v>0</v>
      </c>
      <c r="AE249" s="452">
        <v>0</v>
      </c>
      <c r="AF249" s="452">
        <v>0</v>
      </c>
      <c r="AG249" s="452">
        <v>0</v>
      </c>
      <c r="AH249" s="409">
        <v>0</v>
      </c>
      <c r="AI249" s="409">
        <v>0</v>
      </c>
      <c r="AJ249" s="409">
        <v>0</v>
      </c>
      <c r="AK249" s="409">
        <v>0</v>
      </c>
      <c r="AL249" s="409">
        <v>0</v>
      </c>
      <c r="AM249" s="453">
        <f t="shared" si="78"/>
        <v>0</v>
      </c>
      <c r="AN249" s="452">
        <v>0</v>
      </c>
      <c r="AO249" s="452">
        <v>0</v>
      </c>
      <c r="AP249" s="452">
        <v>150</v>
      </c>
      <c r="AQ249" s="452">
        <v>0</v>
      </c>
      <c r="AR249" s="452">
        <v>0</v>
      </c>
      <c r="AS249" s="452">
        <v>0</v>
      </c>
      <c r="AT249" s="452">
        <v>0</v>
      </c>
      <c r="AU249" s="409">
        <v>0</v>
      </c>
      <c r="AV249" s="409">
        <v>0</v>
      </c>
      <c r="AW249" s="409">
        <v>0</v>
      </c>
      <c r="AX249" s="409">
        <v>0</v>
      </c>
      <c r="AY249" s="409">
        <v>0</v>
      </c>
      <c r="AZ249" s="453">
        <f t="shared" si="79"/>
        <v>150</v>
      </c>
      <c r="BA249" s="452">
        <v>0</v>
      </c>
      <c r="BB249" s="452">
        <v>0</v>
      </c>
      <c r="BC249" s="452">
        <v>150</v>
      </c>
      <c r="BD249" s="452">
        <v>0</v>
      </c>
      <c r="BE249" s="452">
        <v>0</v>
      </c>
      <c r="BF249" s="452">
        <v>0</v>
      </c>
      <c r="BG249" s="452">
        <v>0</v>
      </c>
      <c r="BH249" s="409">
        <v>0</v>
      </c>
      <c r="BI249" s="409">
        <v>0</v>
      </c>
      <c r="BJ249" s="409">
        <v>0</v>
      </c>
      <c r="BK249" s="409">
        <v>0</v>
      </c>
      <c r="BL249" s="409">
        <v>0</v>
      </c>
      <c r="BM249" s="453">
        <f t="shared" si="80"/>
        <v>150</v>
      </c>
      <c r="BN249" s="452">
        <v>0</v>
      </c>
      <c r="BO249" s="452">
        <v>0</v>
      </c>
      <c r="BP249" s="452">
        <v>0</v>
      </c>
      <c r="BQ249" s="452">
        <v>0</v>
      </c>
      <c r="BR249" s="452">
        <v>0</v>
      </c>
      <c r="BS249" s="452">
        <v>0</v>
      </c>
      <c r="BT249" s="452">
        <v>0</v>
      </c>
      <c r="BU249" s="409">
        <v>0</v>
      </c>
      <c r="BV249" s="409">
        <v>0</v>
      </c>
      <c r="BW249" s="409">
        <v>0</v>
      </c>
      <c r="BX249" s="409">
        <v>0</v>
      </c>
      <c r="BY249" s="409">
        <v>0</v>
      </c>
      <c r="BZ249" s="453">
        <f t="shared" si="81"/>
        <v>0</v>
      </c>
      <c r="CA249" s="454">
        <f t="shared" si="82"/>
        <v>300</v>
      </c>
      <c r="CB249" s="411"/>
      <c r="CC249" s="411"/>
      <c r="CD249" s="411"/>
      <c r="CE249" s="411"/>
      <c r="CF249" s="411"/>
      <c r="CG249" s="412"/>
      <c r="CH249" s="413"/>
      <c r="CI249" s="414" t="s">
        <v>1621</v>
      </c>
      <c r="CJ249" s="415">
        <v>0</v>
      </c>
      <c r="CK249" s="415">
        <v>0</v>
      </c>
      <c r="CL249" s="415">
        <v>0</v>
      </c>
      <c r="CM249" s="415">
        <v>0</v>
      </c>
      <c r="CN249" s="415">
        <v>0</v>
      </c>
      <c r="CO249" s="415">
        <v>0</v>
      </c>
      <c r="CP249" s="415">
        <v>0</v>
      </c>
      <c r="CQ249" s="415">
        <v>0</v>
      </c>
      <c r="CR249" s="415">
        <v>0</v>
      </c>
      <c r="CS249" s="415">
        <v>0</v>
      </c>
      <c r="CT249" s="415">
        <v>0</v>
      </c>
      <c r="CU249" s="415">
        <v>0</v>
      </c>
      <c r="CV249" s="410">
        <f t="shared" si="92"/>
        <v>0</v>
      </c>
      <c r="CW249" s="415">
        <v>0</v>
      </c>
      <c r="CX249" s="415">
        <v>0</v>
      </c>
      <c r="CY249" s="415">
        <v>0</v>
      </c>
      <c r="CZ249" s="415">
        <v>0</v>
      </c>
      <c r="DA249" s="415">
        <v>0</v>
      </c>
      <c r="DB249" s="415">
        <v>0</v>
      </c>
      <c r="DC249" s="415">
        <v>0</v>
      </c>
      <c r="DD249" s="415">
        <v>0</v>
      </c>
      <c r="DE249" s="415">
        <v>0</v>
      </c>
      <c r="DF249" s="415">
        <v>0</v>
      </c>
      <c r="DG249" s="415">
        <v>0</v>
      </c>
      <c r="DH249" s="415">
        <v>0</v>
      </c>
      <c r="DI249" s="410">
        <f t="shared" si="93"/>
        <v>0</v>
      </c>
      <c r="DJ249" s="415">
        <v>0</v>
      </c>
      <c r="DK249" s="415">
        <v>0</v>
      </c>
      <c r="DL249" s="415">
        <v>1</v>
      </c>
      <c r="DM249" s="415">
        <v>0</v>
      </c>
      <c r="DN249" s="415">
        <v>0</v>
      </c>
      <c r="DO249" s="415">
        <v>0</v>
      </c>
      <c r="DP249" s="415">
        <v>0</v>
      </c>
      <c r="DQ249" s="415">
        <v>0</v>
      </c>
      <c r="DR249" s="415">
        <v>0</v>
      </c>
      <c r="DS249" s="415">
        <v>0</v>
      </c>
      <c r="DT249" s="415">
        <v>0</v>
      </c>
      <c r="DU249" s="415">
        <v>0</v>
      </c>
      <c r="DV249" s="410">
        <f t="shared" si="94"/>
        <v>1</v>
      </c>
      <c r="DW249" s="415">
        <v>0</v>
      </c>
      <c r="DX249" s="415">
        <v>0</v>
      </c>
      <c r="DY249" s="415">
        <v>1</v>
      </c>
      <c r="DZ249" s="415">
        <v>0</v>
      </c>
      <c r="EA249" s="415">
        <v>0</v>
      </c>
      <c r="EB249" s="415">
        <v>0</v>
      </c>
      <c r="EC249" s="415">
        <v>0</v>
      </c>
      <c r="ED249" s="415">
        <v>0</v>
      </c>
      <c r="EE249" s="415">
        <v>0</v>
      </c>
      <c r="EF249" s="415">
        <v>0</v>
      </c>
      <c r="EG249" s="415">
        <v>0</v>
      </c>
      <c r="EH249" s="415">
        <v>0</v>
      </c>
      <c r="EI249" s="410">
        <f t="shared" si="95"/>
        <v>1</v>
      </c>
      <c r="EJ249" s="415">
        <v>0</v>
      </c>
      <c r="EK249" s="415">
        <v>0</v>
      </c>
      <c r="EL249" s="415">
        <v>0</v>
      </c>
      <c r="EM249" s="415">
        <v>0</v>
      </c>
      <c r="EN249" s="415">
        <v>0</v>
      </c>
      <c r="EO249" s="415">
        <v>0</v>
      </c>
      <c r="EP249" s="415">
        <v>0</v>
      </c>
      <c r="EQ249" s="415">
        <v>0</v>
      </c>
      <c r="ER249" s="415">
        <v>0</v>
      </c>
      <c r="ES249" s="415">
        <v>0</v>
      </c>
      <c r="ET249" s="415">
        <v>0</v>
      </c>
      <c r="EU249" s="415">
        <v>0</v>
      </c>
      <c r="EV249" s="410">
        <f t="shared" si="96"/>
        <v>0</v>
      </c>
      <c r="EW249" s="416">
        <f t="shared" si="97"/>
        <v>2</v>
      </c>
      <c r="EX249" s="417">
        <f>IFERROR(VLOOKUP(H249,CEI_012018!$A$1:$U$509,9,FALSE),0)</f>
        <v>0</v>
      </c>
      <c r="EY249" s="417">
        <f>IFERROR(VLOOKUP(H249,CEI_022018!$A$1:$U$509,9,FALSE),0)</f>
        <v>0</v>
      </c>
      <c r="EZ249" s="417">
        <f>IFERROR(VLOOKUP(H249,CEI_032018!$A$1:$U$509,9,FALSE),0)</f>
        <v>0</v>
      </c>
      <c r="FA249" s="417">
        <f>IFERROR(VLOOKUP(H249,CEI_042018!$A$1:$U$491,9,FALSE),0)</f>
        <v>0</v>
      </c>
      <c r="FB249" s="417">
        <f>IFERROR(VLOOKUP(H249,CEI_052018!$A$1:$U$489,9,FALSE),0)</f>
        <v>0</v>
      </c>
      <c r="FC249" s="417">
        <f>IFERROR(VLOOKUP(H249,CEI_062018!$A$1:$U$489,9,FALSE),0)</f>
        <v>0</v>
      </c>
      <c r="FD249" s="417">
        <f>IFERROR(VLOOKUP(H249,CEI_072018!$A$1:$U$489,9,FALSE),0)</f>
        <v>0</v>
      </c>
      <c r="FE249" s="417">
        <f>IFERROR(VLOOKUP(H249,CEI_082018!$A$1:$U$489,9,FALSE),0)</f>
        <v>0</v>
      </c>
      <c r="FF249" s="417">
        <f>IFERROR(VLOOKUP(H249,CEI_092018!$A$1:$U$489,9,FALSE),0)</f>
        <v>0</v>
      </c>
      <c r="FG249" s="417"/>
      <c r="FH249" s="417"/>
      <c r="FI249" s="417"/>
      <c r="FJ249" s="418">
        <f>IFERROR(VLOOKUP(H249,CEI_092018!$A$1:$U$489,12,FALSE),0)</f>
        <v>0</v>
      </c>
      <c r="FK249" s="418">
        <f t="shared" si="99"/>
        <v>0</v>
      </c>
      <c r="FL249" s="418">
        <f t="shared" si="100"/>
        <v>0</v>
      </c>
      <c r="FM249" s="417"/>
      <c r="FN249" s="417"/>
      <c r="FO249" s="417"/>
      <c r="FP249" s="417"/>
      <c r="FQ249" s="417"/>
      <c r="FR249" s="417"/>
      <c r="FS249" s="417"/>
      <c r="FT249" s="417"/>
      <c r="FU249" s="417"/>
      <c r="FV249" s="417"/>
      <c r="FW249" s="417"/>
      <c r="FX249" s="417"/>
      <c r="FY249" s="418"/>
      <c r="FZ249" s="418"/>
      <c r="GA249" s="418"/>
      <c r="GB249" s="417"/>
      <c r="GC249" s="417"/>
      <c r="GD249" s="417"/>
      <c r="GE249" s="417"/>
      <c r="GF249" s="417"/>
      <c r="GG249" s="417"/>
      <c r="GH249" s="417"/>
      <c r="GI249" s="417"/>
      <c r="GJ249" s="417"/>
      <c r="GK249" s="417"/>
      <c r="GL249" s="417"/>
      <c r="GM249" s="417"/>
      <c r="GN249" s="418"/>
      <c r="GO249" s="418"/>
      <c r="GP249" s="418"/>
      <c r="GQ249" s="417"/>
      <c r="GR249" s="417"/>
      <c r="GS249" s="417"/>
      <c r="GT249" s="417"/>
      <c r="GU249" s="417"/>
      <c r="GV249" s="417"/>
      <c r="GW249" s="417"/>
      <c r="GX249" s="417"/>
      <c r="GY249" s="417"/>
      <c r="GZ249" s="417"/>
      <c r="HA249" s="417"/>
      <c r="HB249" s="417"/>
      <c r="HC249" s="418"/>
      <c r="HD249" s="418"/>
      <c r="HE249" s="418"/>
      <c r="HF249" s="417"/>
      <c r="HG249" s="417"/>
      <c r="HH249" s="417"/>
      <c r="HI249" s="417"/>
      <c r="HJ249" s="417"/>
      <c r="HK249" s="417"/>
      <c r="HL249" s="417"/>
      <c r="HM249" s="417"/>
      <c r="HN249" s="417"/>
      <c r="HO249" s="417"/>
      <c r="HP249" s="417"/>
      <c r="HQ249" s="417"/>
      <c r="HR249" s="418"/>
      <c r="HS249" s="418"/>
      <c r="HT249" s="418"/>
    </row>
    <row r="250" spans="1:228" s="387" customFormat="1" ht="12.75" customHeight="1" x14ac:dyDescent="0.2">
      <c r="A250" s="406" t="s">
        <v>55</v>
      </c>
      <c r="B250" s="407" t="s">
        <v>42</v>
      </c>
      <c r="C250" s="406" t="s">
        <v>1000</v>
      </c>
      <c r="D250" s="407" t="s">
        <v>1004</v>
      </c>
      <c r="E250" s="407" t="s">
        <v>1000</v>
      </c>
      <c r="F250" s="407" t="s">
        <v>1004</v>
      </c>
      <c r="G250" s="406" t="s">
        <v>54</v>
      </c>
      <c r="H250" s="408" t="s">
        <v>520</v>
      </c>
      <c r="I250" s="408" t="s">
        <v>57</v>
      </c>
      <c r="J250" s="406" t="s">
        <v>392</v>
      </c>
      <c r="K250" s="406" t="s">
        <v>393</v>
      </c>
      <c r="L250" s="406" t="s">
        <v>394</v>
      </c>
      <c r="M250" s="406" t="s">
        <v>1770</v>
      </c>
      <c r="N250" s="452">
        <v>0</v>
      </c>
      <c r="O250" s="452">
        <v>0</v>
      </c>
      <c r="P250" s="452">
        <v>0</v>
      </c>
      <c r="Q250" s="452">
        <v>0</v>
      </c>
      <c r="R250" s="452">
        <v>0</v>
      </c>
      <c r="S250" s="452">
        <v>0</v>
      </c>
      <c r="T250" s="452">
        <v>0</v>
      </c>
      <c r="U250" s="409">
        <v>0</v>
      </c>
      <c r="V250" s="409">
        <v>0</v>
      </c>
      <c r="W250" s="409">
        <v>0</v>
      </c>
      <c r="X250" s="409">
        <v>0</v>
      </c>
      <c r="Y250" s="409">
        <v>0</v>
      </c>
      <c r="Z250" s="453">
        <f t="shared" si="83"/>
        <v>0</v>
      </c>
      <c r="AA250" s="452">
        <v>0</v>
      </c>
      <c r="AB250" s="452">
        <v>0</v>
      </c>
      <c r="AC250" s="452">
        <v>0</v>
      </c>
      <c r="AD250" s="452">
        <v>0</v>
      </c>
      <c r="AE250" s="452">
        <v>0</v>
      </c>
      <c r="AF250" s="452">
        <v>0</v>
      </c>
      <c r="AG250" s="452">
        <v>0</v>
      </c>
      <c r="AH250" s="409">
        <v>0</v>
      </c>
      <c r="AI250" s="409">
        <v>0</v>
      </c>
      <c r="AJ250" s="409">
        <v>0</v>
      </c>
      <c r="AK250" s="409">
        <v>0</v>
      </c>
      <c r="AL250" s="409">
        <v>0</v>
      </c>
      <c r="AM250" s="453">
        <f t="shared" si="78"/>
        <v>0</v>
      </c>
      <c r="AN250" s="452">
        <v>0</v>
      </c>
      <c r="AO250" s="452">
        <v>0</v>
      </c>
      <c r="AP250" s="452">
        <v>0</v>
      </c>
      <c r="AQ250" s="452">
        <v>0</v>
      </c>
      <c r="AR250" s="452">
        <v>0</v>
      </c>
      <c r="AS250" s="452">
        <v>0</v>
      </c>
      <c r="AT250" s="452">
        <v>0</v>
      </c>
      <c r="AU250" s="409">
        <v>50</v>
      </c>
      <c r="AV250" s="409">
        <v>0</v>
      </c>
      <c r="AW250" s="409">
        <v>0</v>
      </c>
      <c r="AX250" s="409">
        <v>50</v>
      </c>
      <c r="AY250" s="409">
        <v>150</v>
      </c>
      <c r="AZ250" s="453">
        <f t="shared" si="79"/>
        <v>250</v>
      </c>
      <c r="BA250" s="452">
        <v>0</v>
      </c>
      <c r="BB250" s="452">
        <v>0</v>
      </c>
      <c r="BC250" s="452">
        <v>0</v>
      </c>
      <c r="BD250" s="452">
        <v>0</v>
      </c>
      <c r="BE250" s="452">
        <v>0</v>
      </c>
      <c r="BF250" s="452">
        <v>0</v>
      </c>
      <c r="BG250" s="452">
        <v>0</v>
      </c>
      <c r="BH250" s="409">
        <v>50</v>
      </c>
      <c r="BI250" s="409">
        <v>0</v>
      </c>
      <c r="BJ250" s="409">
        <v>0</v>
      </c>
      <c r="BK250" s="409">
        <v>50</v>
      </c>
      <c r="BL250" s="409">
        <v>150</v>
      </c>
      <c r="BM250" s="453">
        <f t="shared" si="80"/>
        <v>250</v>
      </c>
      <c r="BN250" s="452">
        <v>0</v>
      </c>
      <c r="BO250" s="452">
        <v>0</v>
      </c>
      <c r="BP250" s="452">
        <v>0</v>
      </c>
      <c r="BQ250" s="452">
        <v>0</v>
      </c>
      <c r="BR250" s="452">
        <v>0</v>
      </c>
      <c r="BS250" s="452">
        <v>0</v>
      </c>
      <c r="BT250" s="452">
        <v>0</v>
      </c>
      <c r="BU250" s="409">
        <v>0</v>
      </c>
      <c r="BV250" s="409">
        <v>0</v>
      </c>
      <c r="BW250" s="409">
        <v>0</v>
      </c>
      <c r="BX250" s="409">
        <v>0</v>
      </c>
      <c r="BY250" s="409">
        <v>0</v>
      </c>
      <c r="BZ250" s="453">
        <f t="shared" si="81"/>
        <v>0</v>
      </c>
      <c r="CA250" s="454">
        <f t="shared" si="82"/>
        <v>500</v>
      </c>
      <c r="CB250" s="411"/>
      <c r="CC250" s="411"/>
      <c r="CD250" s="411"/>
      <c r="CE250" s="411"/>
      <c r="CF250" s="411"/>
      <c r="CG250" s="412"/>
      <c r="CH250" s="413"/>
      <c r="CI250" s="414" t="s">
        <v>1621</v>
      </c>
      <c r="CJ250" s="415">
        <v>0</v>
      </c>
      <c r="CK250" s="415">
        <v>0</v>
      </c>
      <c r="CL250" s="415">
        <v>0</v>
      </c>
      <c r="CM250" s="415">
        <v>0</v>
      </c>
      <c r="CN250" s="415">
        <v>0</v>
      </c>
      <c r="CO250" s="415">
        <v>0</v>
      </c>
      <c r="CP250" s="415">
        <v>0</v>
      </c>
      <c r="CQ250" s="415">
        <v>0</v>
      </c>
      <c r="CR250" s="415">
        <v>0</v>
      </c>
      <c r="CS250" s="415">
        <v>0</v>
      </c>
      <c r="CT250" s="415">
        <v>0</v>
      </c>
      <c r="CU250" s="415">
        <v>0</v>
      </c>
      <c r="CV250" s="410">
        <f t="shared" si="92"/>
        <v>0</v>
      </c>
      <c r="CW250" s="415">
        <v>0</v>
      </c>
      <c r="CX250" s="415">
        <v>0</v>
      </c>
      <c r="CY250" s="415">
        <v>0</v>
      </c>
      <c r="CZ250" s="415">
        <v>0</v>
      </c>
      <c r="DA250" s="415">
        <v>0</v>
      </c>
      <c r="DB250" s="415">
        <v>0</v>
      </c>
      <c r="DC250" s="415">
        <v>0</v>
      </c>
      <c r="DD250" s="415">
        <v>0</v>
      </c>
      <c r="DE250" s="415">
        <v>0</v>
      </c>
      <c r="DF250" s="415">
        <v>0</v>
      </c>
      <c r="DG250" s="415">
        <v>0</v>
      </c>
      <c r="DH250" s="415">
        <v>0</v>
      </c>
      <c r="DI250" s="410">
        <f t="shared" si="93"/>
        <v>0</v>
      </c>
      <c r="DJ250" s="415">
        <v>0</v>
      </c>
      <c r="DK250" s="415">
        <v>0</v>
      </c>
      <c r="DL250" s="415">
        <v>0</v>
      </c>
      <c r="DM250" s="415">
        <v>0</v>
      </c>
      <c r="DN250" s="415">
        <v>0</v>
      </c>
      <c r="DO250" s="415">
        <v>0</v>
      </c>
      <c r="DP250" s="415">
        <v>0</v>
      </c>
      <c r="DQ250" s="415">
        <v>0</v>
      </c>
      <c r="DR250" s="415">
        <v>0</v>
      </c>
      <c r="DS250" s="415">
        <v>0</v>
      </c>
      <c r="DT250" s="415">
        <v>0</v>
      </c>
      <c r="DU250" s="415">
        <v>1</v>
      </c>
      <c r="DV250" s="410">
        <f t="shared" si="94"/>
        <v>1</v>
      </c>
      <c r="DW250" s="415">
        <v>0</v>
      </c>
      <c r="DX250" s="415">
        <v>0</v>
      </c>
      <c r="DY250" s="415">
        <v>0</v>
      </c>
      <c r="DZ250" s="415">
        <v>0</v>
      </c>
      <c r="EA250" s="415">
        <v>0</v>
      </c>
      <c r="EB250" s="415">
        <v>0</v>
      </c>
      <c r="EC250" s="415">
        <v>0</v>
      </c>
      <c r="ED250" s="415">
        <v>0</v>
      </c>
      <c r="EE250" s="415">
        <v>0</v>
      </c>
      <c r="EF250" s="415">
        <v>0</v>
      </c>
      <c r="EG250" s="415">
        <v>0</v>
      </c>
      <c r="EH250" s="415">
        <v>1</v>
      </c>
      <c r="EI250" s="410">
        <f t="shared" si="95"/>
        <v>1</v>
      </c>
      <c r="EJ250" s="415">
        <v>0</v>
      </c>
      <c r="EK250" s="415">
        <v>0</v>
      </c>
      <c r="EL250" s="415">
        <v>0</v>
      </c>
      <c r="EM250" s="415">
        <v>0</v>
      </c>
      <c r="EN250" s="415">
        <v>0</v>
      </c>
      <c r="EO250" s="415">
        <v>0</v>
      </c>
      <c r="EP250" s="415">
        <v>0</v>
      </c>
      <c r="EQ250" s="415">
        <v>0</v>
      </c>
      <c r="ER250" s="415">
        <v>0</v>
      </c>
      <c r="ES250" s="415">
        <v>0</v>
      </c>
      <c r="ET250" s="415">
        <v>0</v>
      </c>
      <c r="EU250" s="415">
        <v>0</v>
      </c>
      <c r="EV250" s="410">
        <f t="shared" si="96"/>
        <v>0</v>
      </c>
      <c r="EW250" s="416">
        <f t="shared" si="97"/>
        <v>2</v>
      </c>
      <c r="EX250" s="417">
        <f>IFERROR(VLOOKUP(H250,CEI_012018!$A$1:$U$509,9,FALSE),0)</f>
        <v>0</v>
      </c>
      <c r="EY250" s="417">
        <f>IFERROR(VLOOKUP(H250,CEI_022018!$A$1:$U$509,9,FALSE),0)</f>
        <v>0</v>
      </c>
      <c r="EZ250" s="417">
        <f>IFERROR(VLOOKUP(H250,CEI_032018!$A$1:$U$509,9,FALSE),0)</f>
        <v>0</v>
      </c>
      <c r="FA250" s="417">
        <f>IFERROR(VLOOKUP(H250,CEI_042018!$A$1:$U$491,9,FALSE),0)</f>
        <v>0</v>
      </c>
      <c r="FB250" s="417">
        <f>IFERROR(VLOOKUP(H250,CEI_052018!$A$1:$U$489,9,FALSE),0)</f>
        <v>0</v>
      </c>
      <c r="FC250" s="417">
        <f>IFERROR(VLOOKUP(H250,CEI_062018!$A$1:$U$489,9,FALSE),0)</f>
        <v>0</v>
      </c>
      <c r="FD250" s="417">
        <f>IFERROR(VLOOKUP(H250,CEI_072018!$A$1:$U$489,9,FALSE),0)</f>
        <v>0</v>
      </c>
      <c r="FE250" s="417">
        <f>IFERROR(VLOOKUP(H250,CEI_082018!$A$1:$U$489,9,FALSE),0)</f>
        <v>0</v>
      </c>
      <c r="FF250" s="417">
        <f>IFERROR(VLOOKUP(H250,CEI_092018!$A$1:$U$489,9,FALSE),0)</f>
        <v>0</v>
      </c>
      <c r="FG250" s="417"/>
      <c r="FH250" s="417"/>
      <c r="FI250" s="417"/>
      <c r="FJ250" s="418">
        <f>IFERROR(VLOOKUP(H250,CEI_092018!$A$1:$U$489,12,FALSE),0)</f>
        <v>0</v>
      </c>
      <c r="FK250" s="418">
        <f t="shared" si="99"/>
        <v>0</v>
      </c>
      <c r="FL250" s="418">
        <f t="shared" si="100"/>
        <v>0</v>
      </c>
      <c r="FM250" s="417"/>
      <c r="FN250" s="417"/>
      <c r="FO250" s="417"/>
      <c r="FP250" s="417"/>
      <c r="FQ250" s="417"/>
      <c r="FR250" s="417"/>
      <c r="FS250" s="417"/>
      <c r="FT250" s="417"/>
      <c r="FU250" s="417"/>
      <c r="FV250" s="417"/>
      <c r="FW250" s="417"/>
      <c r="FX250" s="417"/>
      <c r="FY250" s="418"/>
      <c r="FZ250" s="418"/>
      <c r="GA250" s="418"/>
      <c r="GB250" s="417"/>
      <c r="GC250" s="417"/>
      <c r="GD250" s="417"/>
      <c r="GE250" s="417"/>
      <c r="GF250" s="417"/>
      <c r="GG250" s="417"/>
      <c r="GH250" s="417"/>
      <c r="GI250" s="417"/>
      <c r="GJ250" s="417"/>
      <c r="GK250" s="417"/>
      <c r="GL250" s="417"/>
      <c r="GM250" s="417"/>
      <c r="GN250" s="418"/>
      <c r="GO250" s="418"/>
      <c r="GP250" s="418"/>
      <c r="GQ250" s="417"/>
      <c r="GR250" s="417"/>
      <c r="GS250" s="417"/>
      <c r="GT250" s="417"/>
      <c r="GU250" s="417"/>
      <c r="GV250" s="417"/>
      <c r="GW250" s="417"/>
      <c r="GX250" s="417"/>
      <c r="GY250" s="417"/>
      <c r="GZ250" s="417"/>
      <c r="HA250" s="417"/>
      <c r="HB250" s="417"/>
      <c r="HC250" s="418"/>
      <c r="HD250" s="418"/>
      <c r="HE250" s="418"/>
      <c r="HF250" s="417"/>
      <c r="HG250" s="417"/>
      <c r="HH250" s="417"/>
      <c r="HI250" s="417"/>
      <c r="HJ250" s="417"/>
      <c r="HK250" s="417"/>
      <c r="HL250" s="417"/>
      <c r="HM250" s="417"/>
      <c r="HN250" s="417"/>
      <c r="HO250" s="417"/>
      <c r="HP250" s="417"/>
      <c r="HQ250" s="417"/>
      <c r="HR250" s="418"/>
      <c r="HS250" s="418"/>
      <c r="HT250" s="418"/>
    </row>
    <row r="251" spans="1:228" s="387" customFormat="1" ht="12.75" customHeight="1" x14ac:dyDescent="0.2">
      <c r="A251" s="406" t="s">
        <v>55</v>
      </c>
      <c r="B251" s="407" t="s">
        <v>42</v>
      </c>
      <c r="C251" s="406" t="s">
        <v>1000</v>
      </c>
      <c r="D251" s="407" t="s">
        <v>1004</v>
      </c>
      <c r="E251" s="407" t="s">
        <v>1586</v>
      </c>
      <c r="F251" s="407" t="s">
        <v>1760</v>
      </c>
      <c r="G251" s="406" t="s">
        <v>60</v>
      </c>
      <c r="H251" s="408" t="s">
        <v>520</v>
      </c>
      <c r="I251" s="408" t="s">
        <v>57</v>
      </c>
      <c r="J251" s="406" t="s">
        <v>488</v>
      </c>
      <c r="K251" s="406" t="s">
        <v>489</v>
      </c>
      <c r="L251" s="406" t="s">
        <v>490</v>
      </c>
      <c r="M251" s="406" t="s">
        <v>1770</v>
      </c>
      <c r="N251" s="452">
        <v>0</v>
      </c>
      <c r="O251" s="452">
        <v>0</v>
      </c>
      <c r="P251" s="452">
        <v>0</v>
      </c>
      <c r="Q251" s="452">
        <v>0</v>
      </c>
      <c r="R251" s="452">
        <v>0</v>
      </c>
      <c r="S251" s="452">
        <v>0</v>
      </c>
      <c r="T251" s="452">
        <v>0</v>
      </c>
      <c r="U251" s="409">
        <v>0</v>
      </c>
      <c r="V251" s="409">
        <v>0</v>
      </c>
      <c r="W251" s="409">
        <v>0</v>
      </c>
      <c r="X251" s="409">
        <v>0</v>
      </c>
      <c r="Y251" s="409">
        <v>0</v>
      </c>
      <c r="Z251" s="453">
        <f t="shared" si="83"/>
        <v>0</v>
      </c>
      <c r="AA251" s="452">
        <v>0</v>
      </c>
      <c r="AB251" s="452">
        <v>0</v>
      </c>
      <c r="AC251" s="452">
        <v>0</v>
      </c>
      <c r="AD251" s="452">
        <v>200</v>
      </c>
      <c r="AE251" s="452">
        <v>0</v>
      </c>
      <c r="AF251" s="452">
        <v>150</v>
      </c>
      <c r="AG251" s="452">
        <v>0</v>
      </c>
      <c r="AH251" s="409">
        <v>0</v>
      </c>
      <c r="AI251" s="409">
        <v>0</v>
      </c>
      <c r="AJ251" s="409">
        <v>0</v>
      </c>
      <c r="AK251" s="409">
        <v>0</v>
      </c>
      <c r="AL251" s="409">
        <v>0</v>
      </c>
      <c r="AM251" s="453">
        <f t="shared" si="78"/>
        <v>350</v>
      </c>
      <c r="AN251" s="452">
        <v>0</v>
      </c>
      <c r="AO251" s="452">
        <v>0</v>
      </c>
      <c r="AP251" s="452">
        <v>0</v>
      </c>
      <c r="AQ251" s="452">
        <v>0</v>
      </c>
      <c r="AR251" s="452">
        <v>0</v>
      </c>
      <c r="AS251" s="452">
        <v>0</v>
      </c>
      <c r="AT251" s="452">
        <v>0</v>
      </c>
      <c r="AU251" s="409">
        <v>0</v>
      </c>
      <c r="AV251" s="409">
        <v>0</v>
      </c>
      <c r="AW251" s="409">
        <v>0</v>
      </c>
      <c r="AX251" s="409">
        <v>0</v>
      </c>
      <c r="AY251" s="409">
        <v>0</v>
      </c>
      <c r="AZ251" s="453">
        <f t="shared" si="79"/>
        <v>0</v>
      </c>
      <c r="BA251" s="452">
        <v>0</v>
      </c>
      <c r="BB251" s="452">
        <v>0</v>
      </c>
      <c r="BC251" s="452">
        <v>0</v>
      </c>
      <c r="BD251" s="452">
        <v>0</v>
      </c>
      <c r="BE251" s="452">
        <v>0</v>
      </c>
      <c r="BF251" s="452">
        <v>0</v>
      </c>
      <c r="BG251" s="452">
        <v>0</v>
      </c>
      <c r="BH251" s="409">
        <v>0</v>
      </c>
      <c r="BI251" s="409">
        <v>0</v>
      </c>
      <c r="BJ251" s="409">
        <v>0</v>
      </c>
      <c r="BK251" s="409">
        <v>0</v>
      </c>
      <c r="BL251" s="409">
        <v>0</v>
      </c>
      <c r="BM251" s="453">
        <f t="shared" si="80"/>
        <v>0</v>
      </c>
      <c r="BN251" s="452">
        <v>0</v>
      </c>
      <c r="BO251" s="452">
        <v>0</v>
      </c>
      <c r="BP251" s="452">
        <v>0</v>
      </c>
      <c r="BQ251" s="452">
        <v>0</v>
      </c>
      <c r="BR251" s="452">
        <v>0</v>
      </c>
      <c r="BS251" s="452">
        <v>0</v>
      </c>
      <c r="BT251" s="452">
        <v>0</v>
      </c>
      <c r="BU251" s="409">
        <v>0</v>
      </c>
      <c r="BV251" s="409">
        <v>0</v>
      </c>
      <c r="BW251" s="409">
        <v>0</v>
      </c>
      <c r="BX251" s="409">
        <v>0</v>
      </c>
      <c r="BY251" s="409">
        <v>0</v>
      </c>
      <c r="BZ251" s="453">
        <f t="shared" si="81"/>
        <v>0</v>
      </c>
      <c r="CA251" s="454">
        <f t="shared" si="82"/>
        <v>350</v>
      </c>
      <c r="CB251" s="411"/>
      <c r="CC251" s="411"/>
      <c r="CD251" s="411"/>
      <c r="CE251" s="411"/>
      <c r="CF251" s="411"/>
      <c r="CG251" s="412"/>
      <c r="CH251" s="413"/>
      <c r="CI251" s="414" t="s">
        <v>1621</v>
      </c>
      <c r="CJ251" s="415">
        <v>0</v>
      </c>
      <c r="CK251" s="415">
        <v>0</v>
      </c>
      <c r="CL251" s="415">
        <v>0</v>
      </c>
      <c r="CM251" s="415">
        <v>0</v>
      </c>
      <c r="CN251" s="415">
        <v>0</v>
      </c>
      <c r="CO251" s="415">
        <v>0</v>
      </c>
      <c r="CP251" s="415">
        <v>0</v>
      </c>
      <c r="CQ251" s="415">
        <v>0</v>
      </c>
      <c r="CR251" s="415">
        <v>0</v>
      </c>
      <c r="CS251" s="415">
        <v>0</v>
      </c>
      <c r="CT251" s="415">
        <v>0</v>
      </c>
      <c r="CU251" s="415">
        <v>0</v>
      </c>
      <c r="CV251" s="410">
        <f t="shared" si="92"/>
        <v>0</v>
      </c>
      <c r="CW251" s="415">
        <v>0</v>
      </c>
      <c r="CX251" s="415">
        <v>0</v>
      </c>
      <c r="CY251" s="415">
        <v>0</v>
      </c>
      <c r="CZ251" s="415">
        <v>0</v>
      </c>
      <c r="DA251" s="415">
        <v>0</v>
      </c>
      <c r="DB251" s="415">
        <v>1</v>
      </c>
      <c r="DC251" s="415">
        <v>0</v>
      </c>
      <c r="DD251" s="415">
        <v>0</v>
      </c>
      <c r="DE251" s="415">
        <v>0</v>
      </c>
      <c r="DF251" s="415">
        <v>0</v>
      </c>
      <c r="DG251" s="415">
        <v>0</v>
      </c>
      <c r="DH251" s="415">
        <v>0</v>
      </c>
      <c r="DI251" s="410">
        <f t="shared" si="93"/>
        <v>1</v>
      </c>
      <c r="DJ251" s="415">
        <v>0</v>
      </c>
      <c r="DK251" s="415">
        <v>0</v>
      </c>
      <c r="DL251" s="415">
        <v>0</v>
      </c>
      <c r="DM251" s="415">
        <v>0</v>
      </c>
      <c r="DN251" s="415">
        <v>0</v>
      </c>
      <c r="DO251" s="415">
        <v>0</v>
      </c>
      <c r="DP251" s="415">
        <v>0</v>
      </c>
      <c r="DQ251" s="415">
        <v>0</v>
      </c>
      <c r="DR251" s="415">
        <v>0</v>
      </c>
      <c r="DS251" s="415">
        <v>0</v>
      </c>
      <c r="DT251" s="415">
        <v>0</v>
      </c>
      <c r="DU251" s="415">
        <v>0</v>
      </c>
      <c r="DV251" s="410">
        <f t="shared" si="94"/>
        <v>0</v>
      </c>
      <c r="DW251" s="415">
        <v>0</v>
      </c>
      <c r="DX251" s="415">
        <v>0</v>
      </c>
      <c r="DY251" s="415">
        <v>0</v>
      </c>
      <c r="DZ251" s="415">
        <v>0</v>
      </c>
      <c r="EA251" s="415">
        <v>0</v>
      </c>
      <c r="EB251" s="415">
        <v>0</v>
      </c>
      <c r="EC251" s="415">
        <v>0</v>
      </c>
      <c r="ED251" s="415">
        <v>0</v>
      </c>
      <c r="EE251" s="415">
        <v>0</v>
      </c>
      <c r="EF251" s="415">
        <v>0</v>
      </c>
      <c r="EG251" s="415">
        <v>0</v>
      </c>
      <c r="EH251" s="415">
        <v>0</v>
      </c>
      <c r="EI251" s="410">
        <f t="shared" si="95"/>
        <v>0</v>
      </c>
      <c r="EJ251" s="415">
        <v>0</v>
      </c>
      <c r="EK251" s="415">
        <v>0</v>
      </c>
      <c r="EL251" s="415">
        <v>0</v>
      </c>
      <c r="EM251" s="415">
        <v>0</v>
      </c>
      <c r="EN251" s="415">
        <v>0</v>
      </c>
      <c r="EO251" s="415">
        <v>0</v>
      </c>
      <c r="EP251" s="415">
        <v>0</v>
      </c>
      <c r="EQ251" s="415">
        <v>0</v>
      </c>
      <c r="ER251" s="415">
        <v>0</v>
      </c>
      <c r="ES251" s="415">
        <v>0</v>
      </c>
      <c r="ET251" s="415">
        <v>0</v>
      </c>
      <c r="EU251" s="415">
        <v>0</v>
      </c>
      <c r="EV251" s="410">
        <f t="shared" si="96"/>
        <v>0</v>
      </c>
      <c r="EW251" s="416">
        <f t="shared" si="97"/>
        <v>1</v>
      </c>
      <c r="EX251" s="417">
        <f>IFERROR(VLOOKUP(H251,CEI_012018!$A$1:$U$509,9,FALSE),0)</f>
        <v>0</v>
      </c>
      <c r="EY251" s="417">
        <f>IFERROR(VLOOKUP(H251,CEI_022018!$A$1:$U$509,9,FALSE),0)</f>
        <v>0</v>
      </c>
      <c r="EZ251" s="417">
        <f>IFERROR(VLOOKUP(H251,CEI_032018!$A$1:$U$509,9,FALSE),0)</f>
        <v>0</v>
      </c>
      <c r="FA251" s="417">
        <f>IFERROR(VLOOKUP(H251,CEI_042018!$A$1:$U$491,9,FALSE),0)</f>
        <v>0</v>
      </c>
      <c r="FB251" s="417">
        <f>IFERROR(VLOOKUP(H251,CEI_052018!$A$1:$U$489,9,FALSE),0)</f>
        <v>0</v>
      </c>
      <c r="FC251" s="417">
        <f>IFERROR(VLOOKUP(H251,CEI_062018!$A$1:$U$489,9,FALSE),0)</f>
        <v>0</v>
      </c>
      <c r="FD251" s="417">
        <f>IFERROR(VLOOKUP(H251,CEI_072018!$A$1:$U$489,9,FALSE),0)</f>
        <v>0</v>
      </c>
      <c r="FE251" s="417">
        <f>IFERROR(VLOOKUP(H251,CEI_082018!$A$1:$U$489,9,FALSE),0)</f>
        <v>0</v>
      </c>
      <c r="FF251" s="417">
        <f>IFERROR(VLOOKUP(H251,CEI_092018!$A$1:$U$489,9,FALSE),0)</f>
        <v>0</v>
      </c>
      <c r="FG251" s="417"/>
      <c r="FH251" s="417"/>
      <c r="FI251" s="417"/>
      <c r="FJ251" s="418">
        <f>IFERROR(VLOOKUP(H251,CEI_092018!$A$1:$U$489,12,FALSE),0)</f>
        <v>0</v>
      </c>
      <c r="FK251" s="418">
        <f t="shared" si="99"/>
        <v>0</v>
      </c>
      <c r="FL251" s="418">
        <f t="shared" si="100"/>
        <v>0</v>
      </c>
      <c r="FM251" s="417"/>
      <c r="FN251" s="417"/>
      <c r="FO251" s="417"/>
      <c r="FP251" s="417"/>
      <c r="FQ251" s="417"/>
      <c r="FR251" s="417"/>
      <c r="FS251" s="417"/>
      <c r="FT251" s="417"/>
      <c r="FU251" s="417"/>
      <c r="FV251" s="417"/>
      <c r="FW251" s="417"/>
      <c r="FX251" s="417"/>
      <c r="FY251" s="418"/>
      <c r="FZ251" s="418"/>
      <c r="GA251" s="418"/>
      <c r="GB251" s="417"/>
      <c r="GC251" s="417"/>
      <c r="GD251" s="417"/>
      <c r="GE251" s="417"/>
      <c r="GF251" s="417"/>
      <c r="GG251" s="417"/>
      <c r="GH251" s="417"/>
      <c r="GI251" s="417"/>
      <c r="GJ251" s="417"/>
      <c r="GK251" s="417"/>
      <c r="GL251" s="417"/>
      <c r="GM251" s="417"/>
      <c r="GN251" s="418"/>
      <c r="GO251" s="418"/>
      <c r="GP251" s="418"/>
      <c r="GQ251" s="417"/>
      <c r="GR251" s="417"/>
      <c r="GS251" s="417"/>
      <c r="GT251" s="417"/>
      <c r="GU251" s="417"/>
      <c r="GV251" s="417"/>
      <c r="GW251" s="417"/>
      <c r="GX251" s="417"/>
      <c r="GY251" s="417"/>
      <c r="GZ251" s="417"/>
      <c r="HA251" s="417"/>
      <c r="HB251" s="417"/>
      <c r="HC251" s="418"/>
      <c r="HD251" s="418"/>
      <c r="HE251" s="418"/>
      <c r="HF251" s="417"/>
      <c r="HG251" s="417"/>
      <c r="HH251" s="417"/>
      <c r="HI251" s="417"/>
      <c r="HJ251" s="417"/>
      <c r="HK251" s="417"/>
      <c r="HL251" s="417"/>
      <c r="HM251" s="417"/>
      <c r="HN251" s="417"/>
      <c r="HO251" s="417"/>
      <c r="HP251" s="417"/>
      <c r="HQ251" s="417"/>
      <c r="HR251" s="418"/>
      <c r="HS251" s="418"/>
      <c r="HT251" s="418"/>
    </row>
    <row r="252" spans="1:228" s="387" customFormat="1" ht="12.75" customHeight="1" x14ac:dyDescent="0.2">
      <c r="A252" s="406" t="s">
        <v>55</v>
      </c>
      <c r="B252" s="407" t="s">
        <v>42</v>
      </c>
      <c r="C252" s="406" t="s">
        <v>1000</v>
      </c>
      <c r="D252" s="407" t="s">
        <v>1004</v>
      </c>
      <c r="E252" s="407" t="s">
        <v>1000</v>
      </c>
      <c r="F252" s="407" t="s">
        <v>1004</v>
      </c>
      <c r="G252" s="406" t="s">
        <v>54</v>
      </c>
      <c r="H252" s="408" t="s">
        <v>520</v>
      </c>
      <c r="I252" s="408" t="s">
        <v>57</v>
      </c>
      <c r="J252" s="406" t="s">
        <v>1698</v>
      </c>
      <c r="K252" s="406"/>
      <c r="L252" s="406"/>
      <c r="M252" s="406" t="s">
        <v>1778</v>
      </c>
      <c r="N252" s="452">
        <v>0</v>
      </c>
      <c r="O252" s="452">
        <v>0</v>
      </c>
      <c r="P252" s="452">
        <v>0</v>
      </c>
      <c r="Q252" s="452">
        <v>0</v>
      </c>
      <c r="R252" s="452">
        <v>0</v>
      </c>
      <c r="S252" s="452">
        <v>0</v>
      </c>
      <c r="T252" s="452">
        <v>0</v>
      </c>
      <c r="U252" s="409">
        <v>0</v>
      </c>
      <c r="V252" s="409">
        <v>0</v>
      </c>
      <c r="W252" s="409">
        <v>0</v>
      </c>
      <c r="X252" s="409">
        <v>0</v>
      </c>
      <c r="Y252" s="409">
        <v>0</v>
      </c>
      <c r="Z252" s="453">
        <f t="shared" si="83"/>
        <v>0</v>
      </c>
      <c r="AA252" s="452">
        <v>0</v>
      </c>
      <c r="AB252" s="452">
        <v>0</v>
      </c>
      <c r="AC252" s="452">
        <v>0</v>
      </c>
      <c r="AD252" s="452">
        <v>0</v>
      </c>
      <c r="AE252" s="452">
        <v>0</v>
      </c>
      <c r="AF252" s="452">
        <v>0</v>
      </c>
      <c r="AG252" s="452">
        <v>0</v>
      </c>
      <c r="AH252" s="409">
        <v>0</v>
      </c>
      <c r="AI252" s="409">
        <v>0</v>
      </c>
      <c r="AJ252" s="409">
        <v>0</v>
      </c>
      <c r="AK252" s="409">
        <v>20</v>
      </c>
      <c r="AL252" s="409">
        <v>21</v>
      </c>
      <c r="AM252" s="453">
        <f t="shared" si="78"/>
        <v>41</v>
      </c>
      <c r="AN252" s="452">
        <v>0</v>
      </c>
      <c r="AO252" s="452">
        <v>100</v>
      </c>
      <c r="AP252" s="452">
        <v>0</v>
      </c>
      <c r="AQ252" s="452">
        <v>200</v>
      </c>
      <c r="AR252" s="452">
        <v>0</v>
      </c>
      <c r="AS252" s="452">
        <v>100</v>
      </c>
      <c r="AT252" s="452">
        <v>0</v>
      </c>
      <c r="AU252" s="409">
        <v>0</v>
      </c>
      <c r="AV252" s="409">
        <v>51</v>
      </c>
      <c r="AW252" s="409">
        <v>0</v>
      </c>
      <c r="AX252" s="409">
        <v>0</v>
      </c>
      <c r="AY252" s="409">
        <v>100</v>
      </c>
      <c r="AZ252" s="453">
        <f t="shared" si="79"/>
        <v>551</v>
      </c>
      <c r="BA252" s="452">
        <v>0</v>
      </c>
      <c r="BB252" s="452">
        <v>0</v>
      </c>
      <c r="BC252" s="452">
        <v>35</v>
      </c>
      <c r="BD252" s="452">
        <v>25</v>
      </c>
      <c r="BE252" s="452">
        <v>25</v>
      </c>
      <c r="BF252" s="452">
        <v>100</v>
      </c>
      <c r="BG252" s="452">
        <v>50</v>
      </c>
      <c r="BH252" s="409">
        <v>50</v>
      </c>
      <c r="BI252" s="409">
        <v>50</v>
      </c>
      <c r="BJ252" s="409">
        <v>50</v>
      </c>
      <c r="BK252" s="409">
        <v>50</v>
      </c>
      <c r="BL252" s="409">
        <v>100</v>
      </c>
      <c r="BM252" s="453">
        <f t="shared" si="80"/>
        <v>535</v>
      </c>
      <c r="BN252" s="452">
        <v>100</v>
      </c>
      <c r="BO252" s="452">
        <v>100</v>
      </c>
      <c r="BP252" s="452">
        <v>100</v>
      </c>
      <c r="BQ252" s="452">
        <v>200</v>
      </c>
      <c r="BR252" s="452">
        <v>91</v>
      </c>
      <c r="BS252" s="452">
        <v>0</v>
      </c>
      <c r="BT252" s="452">
        <v>0</v>
      </c>
      <c r="BU252" s="409">
        <v>0</v>
      </c>
      <c r="BV252" s="409">
        <v>0</v>
      </c>
      <c r="BW252" s="409">
        <v>0</v>
      </c>
      <c r="BX252" s="409">
        <v>0</v>
      </c>
      <c r="BY252" s="409">
        <v>0</v>
      </c>
      <c r="BZ252" s="453">
        <f t="shared" si="81"/>
        <v>591</v>
      </c>
      <c r="CA252" s="454">
        <f t="shared" si="82"/>
        <v>1718</v>
      </c>
      <c r="CB252" s="411"/>
      <c r="CC252" s="411"/>
      <c r="CD252" s="411"/>
      <c r="CE252" s="411"/>
      <c r="CF252" s="411"/>
      <c r="CG252" s="412"/>
      <c r="CH252" s="413"/>
      <c r="CI252" s="414" t="s">
        <v>1621</v>
      </c>
      <c r="CJ252" s="415">
        <v>0</v>
      </c>
      <c r="CK252" s="415">
        <v>0</v>
      </c>
      <c r="CL252" s="415">
        <v>0</v>
      </c>
      <c r="CM252" s="415">
        <v>0</v>
      </c>
      <c r="CN252" s="415">
        <v>0</v>
      </c>
      <c r="CO252" s="415">
        <v>0</v>
      </c>
      <c r="CP252" s="415">
        <v>0</v>
      </c>
      <c r="CQ252" s="415">
        <v>0</v>
      </c>
      <c r="CR252" s="415">
        <v>0</v>
      </c>
      <c r="CS252" s="415">
        <v>0</v>
      </c>
      <c r="CT252" s="415">
        <v>0</v>
      </c>
      <c r="CU252" s="415">
        <v>0</v>
      </c>
      <c r="CV252" s="410">
        <f t="shared" si="92"/>
        <v>0</v>
      </c>
      <c r="CW252" s="415">
        <v>0</v>
      </c>
      <c r="CX252" s="415">
        <v>0</v>
      </c>
      <c r="CY252" s="415">
        <v>0</v>
      </c>
      <c r="CZ252" s="415">
        <v>0</v>
      </c>
      <c r="DA252" s="415">
        <v>0</v>
      </c>
      <c r="DB252" s="415">
        <v>0</v>
      </c>
      <c r="DC252" s="415">
        <v>0</v>
      </c>
      <c r="DD252" s="415">
        <v>0</v>
      </c>
      <c r="DE252" s="415">
        <v>0</v>
      </c>
      <c r="DF252" s="415">
        <v>0</v>
      </c>
      <c r="DG252" s="415">
        <v>1</v>
      </c>
      <c r="DH252" s="415">
        <v>0</v>
      </c>
      <c r="DI252" s="410">
        <f t="shared" si="93"/>
        <v>1</v>
      </c>
      <c r="DJ252" s="415">
        <v>0</v>
      </c>
      <c r="DK252" s="415">
        <v>0</v>
      </c>
      <c r="DL252" s="415">
        <v>0</v>
      </c>
      <c r="DM252" s="415">
        <v>0</v>
      </c>
      <c r="DN252" s="415">
        <v>0</v>
      </c>
      <c r="DO252" s="415">
        <v>0</v>
      </c>
      <c r="DP252" s="415">
        <v>0</v>
      </c>
      <c r="DQ252" s="415">
        <v>0</v>
      </c>
      <c r="DR252" s="415">
        <v>0</v>
      </c>
      <c r="DS252" s="415">
        <v>0</v>
      </c>
      <c r="DT252" s="415">
        <v>0</v>
      </c>
      <c r="DU252" s="415">
        <v>1</v>
      </c>
      <c r="DV252" s="410">
        <f t="shared" si="94"/>
        <v>1</v>
      </c>
      <c r="DW252" s="415">
        <v>0</v>
      </c>
      <c r="DX252" s="415">
        <v>0</v>
      </c>
      <c r="DY252" s="415">
        <v>0</v>
      </c>
      <c r="DZ252" s="415">
        <v>0</v>
      </c>
      <c r="EA252" s="415">
        <v>0</v>
      </c>
      <c r="EB252" s="415">
        <v>0</v>
      </c>
      <c r="EC252" s="415">
        <v>0</v>
      </c>
      <c r="ED252" s="415">
        <v>0</v>
      </c>
      <c r="EE252" s="415">
        <v>0</v>
      </c>
      <c r="EF252" s="415">
        <v>0</v>
      </c>
      <c r="EG252" s="415">
        <v>0</v>
      </c>
      <c r="EH252" s="415">
        <v>1</v>
      </c>
      <c r="EI252" s="410">
        <f t="shared" si="95"/>
        <v>1</v>
      </c>
      <c r="EJ252" s="415">
        <v>0</v>
      </c>
      <c r="EK252" s="415">
        <v>0</v>
      </c>
      <c r="EL252" s="415">
        <v>0</v>
      </c>
      <c r="EM252" s="415">
        <v>1</v>
      </c>
      <c r="EN252" s="415">
        <v>0</v>
      </c>
      <c r="EO252" s="415">
        <v>0</v>
      </c>
      <c r="EP252" s="415">
        <v>0</v>
      </c>
      <c r="EQ252" s="415">
        <v>0</v>
      </c>
      <c r="ER252" s="415">
        <v>0</v>
      </c>
      <c r="ES252" s="415">
        <v>0</v>
      </c>
      <c r="ET252" s="415">
        <v>0</v>
      </c>
      <c r="EU252" s="415">
        <v>0</v>
      </c>
      <c r="EV252" s="410">
        <f t="shared" si="96"/>
        <v>1</v>
      </c>
      <c r="EW252" s="416">
        <f t="shared" si="97"/>
        <v>4</v>
      </c>
      <c r="EX252" s="417">
        <f>IFERROR(VLOOKUP(H252,CEI_012018!$A$1:$U$509,9,FALSE),0)</f>
        <v>0</v>
      </c>
      <c r="EY252" s="417">
        <f>IFERROR(VLOOKUP(H252,CEI_022018!$A$1:$U$509,9,FALSE),0)</f>
        <v>0</v>
      </c>
      <c r="EZ252" s="417">
        <f>IFERROR(VLOOKUP(H252,CEI_032018!$A$1:$U$509,9,FALSE),0)</f>
        <v>0</v>
      </c>
      <c r="FA252" s="417">
        <f>IFERROR(VLOOKUP(H252,CEI_042018!$A$1:$U$491,9,FALSE),0)</f>
        <v>0</v>
      </c>
      <c r="FB252" s="417">
        <f>IFERROR(VLOOKUP(H252,CEI_052018!$A$1:$U$489,9,FALSE),0)</f>
        <v>0</v>
      </c>
      <c r="FC252" s="417">
        <f>IFERROR(VLOOKUP(H252,CEI_062018!$A$1:$U$489,9,FALSE),0)</f>
        <v>0</v>
      </c>
      <c r="FD252" s="417">
        <f>IFERROR(VLOOKUP(H252,CEI_072018!$A$1:$U$489,9,FALSE),0)</f>
        <v>0</v>
      </c>
      <c r="FE252" s="417">
        <f>IFERROR(VLOOKUP(H252,CEI_082018!$A$1:$U$489,9,FALSE),0)</f>
        <v>0</v>
      </c>
      <c r="FF252" s="417">
        <f>IFERROR(VLOOKUP(H252,CEI_092018!$A$1:$U$489,9,FALSE),0)</f>
        <v>0</v>
      </c>
      <c r="FG252" s="417"/>
      <c r="FH252" s="417"/>
      <c r="FI252" s="417"/>
      <c r="FJ252" s="418">
        <f>IFERROR(VLOOKUP(H252,CEI_092018!$A$1:$U$489,12,FALSE),0)</f>
        <v>0</v>
      </c>
      <c r="FK252" s="418">
        <f t="shared" si="99"/>
        <v>0</v>
      </c>
      <c r="FL252" s="418">
        <f t="shared" si="100"/>
        <v>0</v>
      </c>
      <c r="FM252" s="417"/>
      <c r="FN252" s="417"/>
      <c r="FO252" s="417"/>
      <c r="FP252" s="417"/>
      <c r="FQ252" s="417"/>
      <c r="FR252" s="417"/>
      <c r="FS252" s="417"/>
      <c r="FT252" s="417"/>
      <c r="FU252" s="417"/>
      <c r="FV252" s="417"/>
      <c r="FW252" s="417"/>
      <c r="FX252" s="417"/>
      <c r="FY252" s="418"/>
      <c r="FZ252" s="418"/>
      <c r="GA252" s="418"/>
      <c r="GB252" s="417"/>
      <c r="GC252" s="417"/>
      <c r="GD252" s="417"/>
      <c r="GE252" s="417"/>
      <c r="GF252" s="417"/>
      <c r="GG252" s="417"/>
      <c r="GH252" s="417"/>
      <c r="GI252" s="417"/>
      <c r="GJ252" s="417"/>
      <c r="GK252" s="417"/>
      <c r="GL252" s="417"/>
      <c r="GM252" s="417"/>
      <c r="GN252" s="418"/>
      <c r="GO252" s="418"/>
      <c r="GP252" s="418"/>
      <c r="GQ252" s="417"/>
      <c r="GR252" s="417"/>
      <c r="GS252" s="417"/>
      <c r="GT252" s="417"/>
      <c r="GU252" s="417"/>
      <c r="GV252" s="417"/>
      <c r="GW252" s="417"/>
      <c r="GX252" s="417"/>
      <c r="GY252" s="417"/>
      <c r="GZ252" s="417"/>
      <c r="HA252" s="417"/>
      <c r="HB252" s="417"/>
      <c r="HC252" s="418"/>
      <c r="HD252" s="418"/>
      <c r="HE252" s="418"/>
      <c r="HF252" s="417"/>
      <c r="HG252" s="417"/>
      <c r="HH252" s="417"/>
      <c r="HI252" s="417"/>
      <c r="HJ252" s="417"/>
      <c r="HK252" s="417"/>
      <c r="HL252" s="417"/>
      <c r="HM252" s="417"/>
      <c r="HN252" s="417"/>
      <c r="HO252" s="417"/>
      <c r="HP252" s="417"/>
      <c r="HQ252" s="417"/>
      <c r="HR252" s="418"/>
      <c r="HS252" s="418"/>
      <c r="HT252" s="418"/>
    </row>
    <row r="253" spans="1:228" s="388" customFormat="1" ht="12.75" customHeight="1" x14ac:dyDescent="0.2">
      <c r="A253" s="406" t="s">
        <v>55</v>
      </c>
      <c r="B253" s="407" t="s">
        <v>42</v>
      </c>
      <c r="C253" s="406" t="s">
        <v>1000</v>
      </c>
      <c r="D253" s="407" t="s">
        <v>1004</v>
      </c>
      <c r="E253" s="407" t="s">
        <v>474</v>
      </c>
      <c r="F253" s="407" t="s">
        <v>475</v>
      </c>
      <c r="G253" s="406" t="s">
        <v>60</v>
      </c>
      <c r="H253" s="408" t="s">
        <v>520</v>
      </c>
      <c r="I253" s="408" t="s">
        <v>57</v>
      </c>
      <c r="J253" s="406" t="s">
        <v>806</v>
      </c>
      <c r="K253" s="406" t="s">
        <v>807</v>
      </c>
      <c r="L253" s="406" t="s">
        <v>808</v>
      </c>
      <c r="M253" s="406" t="s">
        <v>57</v>
      </c>
      <c r="N253" s="452">
        <v>0</v>
      </c>
      <c r="O253" s="452">
        <v>0</v>
      </c>
      <c r="P253" s="452">
        <v>0</v>
      </c>
      <c r="Q253" s="452">
        <v>0</v>
      </c>
      <c r="R253" s="452">
        <v>0</v>
      </c>
      <c r="S253" s="452">
        <v>0</v>
      </c>
      <c r="T253" s="452">
        <v>0</v>
      </c>
      <c r="U253" s="409">
        <v>0</v>
      </c>
      <c r="V253" s="409">
        <v>0</v>
      </c>
      <c r="W253" s="409">
        <v>0</v>
      </c>
      <c r="X253" s="409">
        <v>0</v>
      </c>
      <c r="Y253" s="409">
        <v>0</v>
      </c>
      <c r="Z253" s="453">
        <f t="shared" si="83"/>
        <v>0</v>
      </c>
      <c r="AA253" s="452">
        <v>0</v>
      </c>
      <c r="AB253" s="452">
        <v>0</v>
      </c>
      <c r="AC253" s="452">
        <v>25</v>
      </c>
      <c r="AD253" s="452">
        <v>50</v>
      </c>
      <c r="AE253" s="452">
        <v>50</v>
      </c>
      <c r="AF253" s="452">
        <v>50</v>
      </c>
      <c r="AG253" s="452">
        <v>25</v>
      </c>
      <c r="AH253" s="409">
        <v>0</v>
      </c>
      <c r="AI253" s="409">
        <v>0</v>
      </c>
      <c r="AJ253" s="409">
        <v>0</v>
      </c>
      <c r="AK253" s="409">
        <v>0</v>
      </c>
      <c r="AL253" s="409">
        <v>0</v>
      </c>
      <c r="AM253" s="453">
        <f t="shared" si="78"/>
        <v>200</v>
      </c>
      <c r="AN253" s="452">
        <v>0</v>
      </c>
      <c r="AO253" s="452">
        <v>0</v>
      </c>
      <c r="AP253" s="452">
        <v>0</v>
      </c>
      <c r="AQ253" s="452">
        <v>0</v>
      </c>
      <c r="AR253" s="452">
        <v>0</v>
      </c>
      <c r="AS253" s="452">
        <v>0</v>
      </c>
      <c r="AT253" s="452">
        <v>0</v>
      </c>
      <c r="AU253" s="409">
        <v>0</v>
      </c>
      <c r="AV253" s="409">
        <v>0</v>
      </c>
      <c r="AW253" s="409">
        <v>0</v>
      </c>
      <c r="AX253" s="409">
        <v>0</v>
      </c>
      <c r="AY253" s="409">
        <v>0</v>
      </c>
      <c r="AZ253" s="453">
        <f t="shared" si="79"/>
        <v>0</v>
      </c>
      <c r="BA253" s="452">
        <v>0</v>
      </c>
      <c r="BB253" s="452">
        <v>0</v>
      </c>
      <c r="BC253" s="452">
        <v>0</v>
      </c>
      <c r="BD253" s="452">
        <v>0</v>
      </c>
      <c r="BE253" s="452">
        <v>0</v>
      </c>
      <c r="BF253" s="452">
        <v>0</v>
      </c>
      <c r="BG253" s="452">
        <v>0</v>
      </c>
      <c r="BH253" s="409">
        <v>0</v>
      </c>
      <c r="BI253" s="409">
        <v>0</v>
      </c>
      <c r="BJ253" s="409">
        <v>0</v>
      </c>
      <c r="BK253" s="409">
        <v>0</v>
      </c>
      <c r="BL253" s="409">
        <v>0</v>
      </c>
      <c r="BM253" s="453">
        <f t="shared" si="80"/>
        <v>0</v>
      </c>
      <c r="BN253" s="452">
        <v>0</v>
      </c>
      <c r="BO253" s="452">
        <v>0</v>
      </c>
      <c r="BP253" s="452">
        <v>0</v>
      </c>
      <c r="BQ253" s="452">
        <v>0</v>
      </c>
      <c r="BR253" s="452">
        <v>0</v>
      </c>
      <c r="BS253" s="452">
        <v>0</v>
      </c>
      <c r="BT253" s="452">
        <v>0</v>
      </c>
      <c r="BU253" s="409">
        <v>0</v>
      </c>
      <c r="BV253" s="409">
        <v>0</v>
      </c>
      <c r="BW253" s="409">
        <v>0</v>
      </c>
      <c r="BX253" s="409">
        <v>0</v>
      </c>
      <c r="BY253" s="409">
        <v>0</v>
      </c>
      <c r="BZ253" s="453">
        <f t="shared" si="81"/>
        <v>0</v>
      </c>
      <c r="CA253" s="454">
        <f t="shared" si="82"/>
        <v>200</v>
      </c>
      <c r="CB253" s="419"/>
      <c r="CC253" s="419">
        <v>-1</v>
      </c>
      <c r="CD253" s="419">
        <v>-1</v>
      </c>
      <c r="CE253" s="419">
        <v>-1</v>
      </c>
      <c r="CF253" s="419">
        <v>-1</v>
      </c>
      <c r="CG253" s="420">
        <f>IFERROR((FE253/Z253%),0)</f>
        <v>0</v>
      </c>
      <c r="CH253" s="421">
        <f>IFERROR((FK253/Z253%),0)</f>
        <v>0</v>
      </c>
      <c r="CI253" s="414" t="s">
        <v>1621</v>
      </c>
      <c r="CJ253" s="415">
        <v>0</v>
      </c>
      <c r="CK253" s="415">
        <v>0</v>
      </c>
      <c r="CL253" s="415">
        <v>0</v>
      </c>
      <c r="CM253" s="415">
        <v>0</v>
      </c>
      <c r="CN253" s="415">
        <v>0</v>
      </c>
      <c r="CO253" s="415">
        <v>0</v>
      </c>
      <c r="CP253" s="415">
        <v>0</v>
      </c>
      <c r="CQ253" s="415">
        <v>0</v>
      </c>
      <c r="CR253" s="415">
        <v>0</v>
      </c>
      <c r="CS253" s="415">
        <v>0</v>
      </c>
      <c r="CT253" s="415">
        <v>0</v>
      </c>
      <c r="CU253" s="415">
        <v>1</v>
      </c>
      <c r="CV253" s="410">
        <f t="shared" si="92"/>
        <v>1</v>
      </c>
      <c r="CW253" s="415">
        <v>0</v>
      </c>
      <c r="CX253" s="415">
        <v>0</v>
      </c>
      <c r="CY253" s="415">
        <v>0</v>
      </c>
      <c r="CZ253" s="415">
        <v>0</v>
      </c>
      <c r="DA253" s="415">
        <v>0</v>
      </c>
      <c r="DB253" s="415">
        <v>0</v>
      </c>
      <c r="DC253" s="415">
        <v>0</v>
      </c>
      <c r="DD253" s="415">
        <v>0</v>
      </c>
      <c r="DE253" s="415">
        <v>0</v>
      </c>
      <c r="DF253" s="415">
        <v>0</v>
      </c>
      <c r="DG253" s="415">
        <v>0</v>
      </c>
      <c r="DH253" s="415">
        <v>0</v>
      </c>
      <c r="DI253" s="410">
        <f t="shared" si="93"/>
        <v>0</v>
      </c>
      <c r="DJ253" s="415">
        <v>0</v>
      </c>
      <c r="DK253" s="415">
        <v>0</v>
      </c>
      <c r="DL253" s="415">
        <v>0</v>
      </c>
      <c r="DM253" s="415">
        <v>0</v>
      </c>
      <c r="DN253" s="415">
        <v>0</v>
      </c>
      <c r="DO253" s="415">
        <v>0</v>
      </c>
      <c r="DP253" s="415">
        <v>0</v>
      </c>
      <c r="DQ253" s="415">
        <v>0</v>
      </c>
      <c r="DR253" s="415">
        <v>0</v>
      </c>
      <c r="DS253" s="415">
        <v>0</v>
      </c>
      <c r="DT253" s="415">
        <v>0</v>
      </c>
      <c r="DU253" s="415">
        <v>0</v>
      </c>
      <c r="DV253" s="410">
        <f t="shared" si="94"/>
        <v>0</v>
      </c>
      <c r="DW253" s="415">
        <v>0</v>
      </c>
      <c r="DX253" s="415">
        <v>0</v>
      </c>
      <c r="DY253" s="415">
        <v>0</v>
      </c>
      <c r="DZ253" s="415">
        <v>0</v>
      </c>
      <c r="EA253" s="415">
        <v>0</v>
      </c>
      <c r="EB253" s="415">
        <v>0</v>
      </c>
      <c r="EC253" s="415">
        <v>0</v>
      </c>
      <c r="ED253" s="415">
        <v>0</v>
      </c>
      <c r="EE253" s="415">
        <v>0</v>
      </c>
      <c r="EF253" s="415">
        <v>0</v>
      </c>
      <c r="EG253" s="415">
        <v>0</v>
      </c>
      <c r="EH253" s="415">
        <v>0</v>
      </c>
      <c r="EI253" s="410">
        <f t="shared" si="95"/>
        <v>0</v>
      </c>
      <c r="EJ253" s="415">
        <v>0</v>
      </c>
      <c r="EK253" s="415">
        <v>0</v>
      </c>
      <c r="EL253" s="415">
        <v>0</v>
      </c>
      <c r="EM253" s="415">
        <v>0</v>
      </c>
      <c r="EN253" s="415">
        <v>0</v>
      </c>
      <c r="EO253" s="415">
        <v>0</v>
      </c>
      <c r="EP253" s="415">
        <v>0</v>
      </c>
      <c r="EQ253" s="415">
        <v>0</v>
      </c>
      <c r="ER253" s="415">
        <v>0</v>
      </c>
      <c r="ES253" s="415">
        <v>0</v>
      </c>
      <c r="ET253" s="415">
        <v>0</v>
      </c>
      <c r="EU253" s="415">
        <v>0</v>
      </c>
      <c r="EV253" s="410">
        <f t="shared" si="96"/>
        <v>0</v>
      </c>
      <c r="EW253" s="416">
        <f t="shared" si="97"/>
        <v>1</v>
      </c>
      <c r="EX253" s="417">
        <f>IFERROR(VLOOKUP(H253,CEI_012018!$A$1:$U$509,9,FALSE),0)</f>
        <v>0</v>
      </c>
      <c r="EY253" s="417">
        <f>IFERROR(VLOOKUP(H253,CEI_022018!$A$1:$U$509,9,FALSE),0)</f>
        <v>0</v>
      </c>
      <c r="EZ253" s="417">
        <f>IFERROR(VLOOKUP(H253,CEI_032018!$A$1:$U$509,9,FALSE),0)</f>
        <v>0</v>
      </c>
      <c r="FA253" s="417">
        <f>IFERROR(VLOOKUP(H253,CEI_042018!$A$1:$U$491,9,FALSE),0)</f>
        <v>0</v>
      </c>
      <c r="FB253" s="417">
        <f>IFERROR(VLOOKUP(H253,CEI_052018!$A$1:$U$489,9,FALSE),0)</f>
        <v>0</v>
      </c>
      <c r="FC253" s="417">
        <f>IFERROR(VLOOKUP(H253,CEI_062018!$A$1:$U$489,9,FALSE),0)</f>
        <v>0</v>
      </c>
      <c r="FD253" s="417">
        <f>IFERROR(VLOOKUP(H253,CEI_072018!$A$1:$U$489,9,FALSE),0)</f>
        <v>0</v>
      </c>
      <c r="FE253" s="417">
        <f>IFERROR(VLOOKUP(H253,CEI_082018!$A$1:$U$489,9,FALSE),0)</f>
        <v>0</v>
      </c>
      <c r="FF253" s="417">
        <f>IFERROR(VLOOKUP(H253,CEI_092018!$A$1:$U$489,9,FALSE),0)</f>
        <v>0</v>
      </c>
      <c r="FG253" s="417"/>
      <c r="FH253" s="417"/>
      <c r="FI253" s="417"/>
      <c r="FJ253" s="418">
        <f>IFERROR(VLOOKUP(H253,CEI_092018!$A$1:$U$489,12,FALSE),0)</f>
        <v>0</v>
      </c>
      <c r="FK253" s="418">
        <f t="shared" si="99"/>
        <v>0</v>
      </c>
      <c r="FL253" s="418">
        <f t="shared" si="100"/>
        <v>0</v>
      </c>
      <c r="FM253" s="417"/>
      <c r="FN253" s="417"/>
      <c r="FO253" s="417"/>
      <c r="FP253" s="417"/>
      <c r="FQ253" s="417"/>
      <c r="FR253" s="417"/>
      <c r="FS253" s="417"/>
      <c r="FT253" s="417"/>
      <c r="FU253" s="417"/>
      <c r="FV253" s="417"/>
      <c r="FW253" s="417"/>
      <c r="FX253" s="417"/>
      <c r="FY253" s="418"/>
      <c r="FZ253" s="418"/>
      <c r="GA253" s="418"/>
      <c r="GB253" s="417"/>
      <c r="GC253" s="417"/>
      <c r="GD253" s="417"/>
      <c r="GE253" s="417"/>
      <c r="GF253" s="417"/>
      <c r="GG253" s="417"/>
      <c r="GH253" s="417"/>
      <c r="GI253" s="417"/>
      <c r="GJ253" s="417"/>
      <c r="GK253" s="417"/>
      <c r="GL253" s="417"/>
      <c r="GM253" s="417"/>
      <c r="GN253" s="418"/>
      <c r="GO253" s="418"/>
      <c r="GP253" s="418"/>
      <c r="GQ253" s="417"/>
      <c r="GR253" s="417"/>
      <c r="GS253" s="417"/>
      <c r="GT253" s="417"/>
      <c r="GU253" s="417"/>
      <c r="GV253" s="417"/>
      <c r="GW253" s="417"/>
      <c r="GX253" s="417"/>
      <c r="GY253" s="417"/>
      <c r="GZ253" s="417"/>
      <c r="HA253" s="417"/>
      <c r="HB253" s="417"/>
      <c r="HC253" s="418"/>
      <c r="HD253" s="418"/>
      <c r="HE253" s="418"/>
      <c r="HF253" s="417"/>
      <c r="HG253" s="417"/>
      <c r="HH253" s="417"/>
      <c r="HI253" s="417"/>
      <c r="HJ253" s="417"/>
      <c r="HK253" s="417"/>
      <c r="HL253" s="417"/>
      <c r="HM253" s="417"/>
      <c r="HN253" s="417"/>
      <c r="HO253" s="417"/>
      <c r="HP253" s="417"/>
      <c r="HQ253" s="417"/>
      <c r="HR253" s="418"/>
      <c r="HS253" s="418"/>
      <c r="HT253" s="418"/>
    </row>
    <row r="254" spans="1:228" s="388" customFormat="1" ht="12.75" customHeight="1" x14ac:dyDescent="0.2">
      <c r="A254" s="406" t="s">
        <v>55</v>
      </c>
      <c r="B254" s="407" t="s">
        <v>42</v>
      </c>
      <c r="C254" s="406" t="s">
        <v>1000</v>
      </c>
      <c r="D254" s="407" t="s">
        <v>1006</v>
      </c>
      <c r="E254" s="407" t="s">
        <v>1000</v>
      </c>
      <c r="F254" s="407" t="s">
        <v>1006</v>
      </c>
      <c r="G254" s="406" t="s">
        <v>54</v>
      </c>
      <c r="H254" s="408" t="s">
        <v>521</v>
      </c>
      <c r="I254" s="408" t="s">
        <v>1313</v>
      </c>
      <c r="J254" s="406" t="s">
        <v>657</v>
      </c>
      <c r="K254" s="406" t="s">
        <v>658</v>
      </c>
      <c r="L254" s="406" t="s">
        <v>659</v>
      </c>
      <c r="M254" s="406" t="s">
        <v>57</v>
      </c>
      <c r="N254" s="452">
        <v>0</v>
      </c>
      <c r="O254" s="452">
        <v>0</v>
      </c>
      <c r="P254" s="452">
        <v>0</v>
      </c>
      <c r="Q254" s="452">
        <v>0</v>
      </c>
      <c r="R254" s="452">
        <v>0</v>
      </c>
      <c r="S254" s="452">
        <v>0</v>
      </c>
      <c r="T254" s="452">
        <v>0</v>
      </c>
      <c r="U254" s="409">
        <v>0</v>
      </c>
      <c r="V254" s="409">
        <v>0</v>
      </c>
      <c r="W254" s="409">
        <v>0</v>
      </c>
      <c r="X254" s="409">
        <v>0</v>
      </c>
      <c r="Y254" s="409">
        <v>149</v>
      </c>
      <c r="Z254" s="453">
        <f t="shared" si="83"/>
        <v>149</v>
      </c>
      <c r="AA254" s="452">
        <v>60</v>
      </c>
      <c r="AB254" s="452">
        <v>60</v>
      </c>
      <c r="AC254" s="452">
        <v>60</v>
      </c>
      <c r="AD254" s="452">
        <v>60</v>
      </c>
      <c r="AE254" s="452">
        <v>60</v>
      </c>
      <c r="AF254" s="452">
        <v>0</v>
      </c>
      <c r="AG254" s="452">
        <v>0</v>
      </c>
      <c r="AH254" s="409">
        <v>0</v>
      </c>
      <c r="AI254" s="409">
        <v>0</v>
      </c>
      <c r="AJ254" s="409">
        <v>0</v>
      </c>
      <c r="AK254" s="409">
        <v>0</v>
      </c>
      <c r="AL254" s="409">
        <v>0</v>
      </c>
      <c r="AM254" s="453">
        <f t="shared" si="78"/>
        <v>300</v>
      </c>
      <c r="AN254" s="452">
        <v>0</v>
      </c>
      <c r="AO254" s="452">
        <v>0</v>
      </c>
      <c r="AP254" s="452">
        <v>0</v>
      </c>
      <c r="AQ254" s="452">
        <v>0</v>
      </c>
      <c r="AR254" s="452">
        <v>0</v>
      </c>
      <c r="AS254" s="452">
        <v>0</v>
      </c>
      <c r="AT254" s="452">
        <v>0</v>
      </c>
      <c r="AU254" s="409">
        <v>0</v>
      </c>
      <c r="AV254" s="409">
        <v>0</v>
      </c>
      <c r="AW254" s="409">
        <v>0</v>
      </c>
      <c r="AX254" s="409">
        <v>0</v>
      </c>
      <c r="AY254" s="409">
        <v>0</v>
      </c>
      <c r="AZ254" s="453">
        <f t="shared" si="79"/>
        <v>0</v>
      </c>
      <c r="BA254" s="452">
        <v>0</v>
      </c>
      <c r="BB254" s="452">
        <v>0</v>
      </c>
      <c r="BC254" s="452">
        <v>0</v>
      </c>
      <c r="BD254" s="452">
        <v>0</v>
      </c>
      <c r="BE254" s="452">
        <v>0</v>
      </c>
      <c r="BF254" s="452">
        <v>0</v>
      </c>
      <c r="BG254" s="452">
        <v>0</v>
      </c>
      <c r="BH254" s="409">
        <v>0</v>
      </c>
      <c r="BI254" s="409">
        <v>0</v>
      </c>
      <c r="BJ254" s="409">
        <v>0</v>
      </c>
      <c r="BK254" s="409">
        <v>0</v>
      </c>
      <c r="BL254" s="409">
        <v>0</v>
      </c>
      <c r="BM254" s="453">
        <f t="shared" si="80"/>
        <v>0</v>
      </c>
      <c r="BN254" s="452">
        <v>0</v>
      </c>
      <c r="BO254" s="452">
        <v>0</v>
      </c>
      <c r="BP254" s="452">
        <v>0</v>
      </c>
      <c r="BQ254" s="452">
        <v>0</v>
      </c>
      <c r="BR254" s="452">
        <v>0</v>
      </c>
      <c r="BS254" s="452">
        <v>0</v>
      </c>
      <c r="BT254" s="452">
        <v>0</v>
      </c>
      <c r="BU254" s="409">
        <v>0</v>
      </c>
      <c r="BV254" s="409">
        <v>0</v>
      </c>
      <c r="BW254" s="409">
        <v>0</v>
      </c>
      <c r="BX254" s="409">
        <v>0</v>
      </c>
      <c r="BY254" s="409">
        <v>0</v>
      </c>
      <c r="BZ254" s="453">
        <f t="shared" si="81"/>
        <v>0</v>
      </c>
      <c r="CA254" s="454">
        <f t="shared" si="82"/>
        <v>449</v>
      </c>
      <c r="CB254" s="419"/>
      <c r="CC254" s="419">
        <v>1</v>
      </c>
      <c r="CD254" s="419">
        <v>1</v>
      </c>
      <c r="CE254" s="419">
        <v>1</v>
      </c>
      <c r="CF254" s="419">
        <v>1</v>
      </c>
      <c r="CG254" s="420">
        <f>IFERROR((FE254/Z254%),0)</f>
        <v>0</v>
      </c>
      <c r="CH254" s="421">
        <f>IFERROR((FK254/Z254%),0)</f>
        <v>99.803356196256289</v>
      </c>
      <c r="CI254" s="414" t="s">
        <v>1621</v>
      </c>
      <c r="CJ254" s="415">
        <v>0</v>
      </c>
      <c r="CK254" s="415">
        <v>0</v>
      </c>
      <c r="CL254" s="415">
        <v>0</v>
      </c>
      <c r="CM254" s="415">
        <v>0</v>
      </c>
      <c r="CN254" s="415">
        <v>0</v>
      </c>
      <c r="CO254" s="415">
        <v>0</v>
      </c>
      <c r="CP254" s="415">
        <v>0</v>
      </c>
      <c r="CQ254" s="415">
        <v>0</v>
      </c>
      <c r="CR254" s="415">
        <v>0</v>
      </c>
      <c r="CS254" s="415">
        <v>0</v>
      </c>
      <c r="CT254" s="415">
        <v>0</v>
      </c>
      <c r="CU254" s="415">
        <v>1</v>
      </c>
      <c r="CV254" s="410">
        <f t="shared" si="92"/>
        <v>1</v>
      </c>
      <c r="CW254" s="415">
        <v>0</v>
      </c>
      <c r="CX254" s="415">
        <v>0</v>
      </c>
      <c r="CY254" s="415">
        <v>0</v>
      </c>
      <c r="CZ254" s="415">
        <v>0</v>
      </c>
      <c r="DA254" s="415">
        <v>0</v>
      </c>
      <c r="DB254" s="415">
        <v>0</v>
      </c>
      <c r="DC254" s="415">
        <v>0</v>
      </c>
      <c r="DD254" s="415">
        <v>0</v>
      </c>
      <c r="DE254" s="415">
        <v>0</v>
      </c>
      <c r="DF254" s="415">
        <v>0</v>
      </c>
      <c r="DG254" s="415">
        <v>0</v>
      </c>
      <c r="DH254" s="415">
        <v>0</v>
      </c>
      <c r="DI254" s="410">
        <f t="shared" si="93"/>
        <v>0</v>
      </c>
      <c r="DJ254" s="415">
        <v>0</v>
      </c>
      <c r="DK254" s="415">
        <v>0</v>
      </c>
      <c r="DL254" s="415">
        <v>0</v>
      </c>
      <c r="DM254" s="415">
        <v>0</v>
      </c>
      <c r="DN254" s="415">
        <v>0</v>
      </c>
      <c r="DO254" s="415">
        <v>0</v>
      </c>
      <c r="DP254" s="415">
        <v>0</v>
      </c>
      <c r="DQ254" s="415">
        <v>0</v>
      </c>
      <c r="DR254" s="415">
        <v>0</v>
      </c>
      <c r="DS254" s="415">
        <v>0</v>
      </c>
      <c r="DT254" s="415">
        <v>0</v>
      </c>
      <c r="DU254" s="415">
        <v>0</v>
      </c>
      <c r="DV254" s="410">
        <f t="shared" si="94"/>
        <v>0</v>
      </c>
      <c r="DW254" s="415">
        <v>0</v>
      </c>
      <c r="DX254" s="415">
        <v>0</v>
      </c>
      <c r="DY254" s="415">
        <v>0</v>
      </c>
      <c r="DZ254" s="415">
        <v>0</v>
      </c>
      <c r="EA254" s="415">
        <v>0</v>
      </c>
      <c r="EB254" s="415">
        <v>0</v>
      </c>
      <c r="EC254" s="415">
        <v>0</v>
      </c>
      <c r="ED254" s="415">
        <v>0</v>
      </c>
      <c r="EE254" s="415">
        <v>0</v>
      </c>
      <c r="EF254" s="415">
        <v>0</v>
      </c>
      <c r="EG254" s="415">
        <v>0</v>
      </c>
      <c r="EH254" s="415">
        <v>0</v>
      </c>
      <c r="EI254" s="410">
        <f t="shared" si="95"/>
        <v>0</v>
      </c>
      <c r="EJ254" s="415">
        <v>0</v>
      </c>
      <c r="EK254" s="415">
        <v>0</v>
      </c>
      <c r="EL254" s="415">
        <v>0</v>
      </c>
      <c r="EM254" s="415">
        <v>0</v>
      </c>
      <c r="EN254" s="415">
        <v>0</v>
      </c>
      <c r="EO254" s="415">
        <v>0</v>
      </c>
      <c r="EP254" s="415">
        <v>0</v>
      </c>
      <c r="EQ254" s="415">
        <v>0</v>
      </c>
      <c r="ER254" s="415">
        <v>0</v>
      </c>
      <c r="ES254" s="415">
        <v>0</v>
      </c>
      <c r="ET254" s="415">
        <v>0</v>
      </c>
      <c r="EU254" s="415">
        <v>0</v>
      </c>
      <c r="EV254" s="410">
        <f t="shared" si="96"/>
        <v>0</v>
      </c>
      <c r="EW254" s="416">
        <f t="shared" si="97"/>
        <v>1</v>
      </c>
      <c r="EX254" s="417">
        <f>IFERROR(VLOOKUP(H254,CEI_012018!$A$1:$U$509,9,FALSE),0)</f>
        <v>0</v>
      </c>
      <c r="EY254" s="417">
        <f>IFERROR(VLOOKUP(H254,CEI_022018!$A$1:$U$509,9,FALSE),0)</f>
        <v>0</v>
      </c>
      <c r="EZ254" s="417">
        <f>IFERROR(VLOOKUP(H254,CEI_032018!$A$1:$U$509,9,FALSE),0)</f>
        <v>0</v>
      </c>
      <c r="FA254" s="417">
        <f>IFERROR(VLOOKUP(H254,CEI_042018!$A$1:$U$491,9,FALSE),0)</f>
        <v>0</v>
      </c>
      <c r="FB254" s="417">
        <f>IFERROR(VLOOKUP(H254,CEI_052018!$A$1:$U$489,9,FALSE),0)</f>
        <v>0</v>
      </c>
      <c r="FC254" s="417">
        <f>IFERROR(VLOOKUP(H254,CEI_062018!$A$1:$U$489,9,FALSE),0)</f>
        <v>0</v>
      </c>
      <c r="FD254" s="417">
        <f>IFERROR(VLOOKUP(H254,CEI_072018!$A$1:$U$489,9,FALSE),0)</f>
        <v>0</v>
      </c>
      <c r="FE254" s="417">
        <f>IFERROR(VLOOKUP(H254,CEI_082018!$A$1:$U$489,9,FALSE),0)</f>
        <v>0</v>
      </c>
      <c r="FF254" s="417">
        <f>IFERROR(VLOOKUP(H254,CEI_092018!$A$1:$U$489,9,FALSE),0)</f>
        <v>0</v>
      </c>
      <c r="FG254" s="417"/>
      <c r="FH254" s="417"/>
      <c r="FI254" s="417"/>
      <c r="FJ254" s="418">
        <f>IFERROR(VLOOKUP(H254,CEI_092018!$A$1:$U$489,12,FALSE),0)</f>
        <v>148.70700073242187</v>
      </c>
      <c r="FK254" s="418">
        <f t="shared" si="99"/>
        <v>148.70700073242187</v>
      </c>
      <c r="FL254" s="418">
        <f t="shared" si="100"/>
        <v>0.292999267578125</v>
      </c>
      <c r="FM254" s="417"/>
      <c r="FN254" s="417"/>
      <c r="FO254" s="417"/>
      <c r="FP254" s="417"/>
      <c r="FQ254" s="417"/>
      <c r="FR254" s="417"/>
      <c r="FS254" s="417"/>
      <c r="FT254" s="417"/>
      <c r="FU254" s="417"/>
      <c r="FV254" s="417"/>
      <c r="FW254" s="417"/>
      <c r="FX254" s="417"/>
      <c r="FY254" s="418"/>
      <c r="FZ254" s="418"/>
      <c r="GA254" s="418"/>
      <c r="GB254" s="417"/>
      <c r="GC254" s="417"/>
      <c r="GD254" s="417"/>
      <c r="GE254" s="417"/>
      <c r="GF254" s="417"/>
      <c r="GG254" s="417"/>
      <c r="GH254" s="417"/>
      <c r="GI254" s="417"/>
      <c r="GJ254" s="417"/>
      <c r="GK254" s="417"/>
      <c r="GL254" s="417"/>
      <c r="GM254" s="417"/>
      <c r="GN254" s="418"/>
      <c r="GO254" s="418"/>
      <c r="GP254" s="418"/>
      <c r="GQ254" s="417"/>
      <c r="GR254" s="417"/>
      <c r="GS254" s="417"/>
      <c r="GT254" s="417"/>
      <c r="GU254" s="417"/>
      <c r="GV254" s="417"/>
      <c r="GW254" s="417"/>
      <c r="GX254" s="417"/>
      <c r="GY254" s="417"/>
      <c r="GZ254" s="417"/>
      <c r="HA254" s="417"/>
      <c r="HB254" s="417"/>
      <c r="HC254" s="418"/>
      <c r="HD254" s="418"/>
      <c r="HE254" s="418"/>
      <c r="HF254" s="417"/>
      <c r="HG254" s="417"/>
      <c r="HH254" s="417"/>
      <c r="HI254" s="417"/>
      <c r="HJ254" s="417"/>
      <c r="HK254" s="417"/>
      <c r="HL254" s="417"/>
      <c r="HM254" s="417"/>
      <c r="HN254" s="417"/>
      <c r="HO254" s="417"/>
      <c r="HP254" s="417"/>
      <c r="HQ254" s="417"/>
      <c r="HR254" s="418"/>
      <c r="HS254" s="418"/>
      <c r="HT254" s="418"/>
    </row>
    <row r="255" spans="1:228" s="387" customFormat="1" ht="12.75" customHeight="1" x14ac:dyDescent="0.2">
      <c r="A255" s="406" t="s">
        <v>55</v>
      </c>
      <c r="B255" s="407" t="s">
        <v>42</v>
      </c>
      <c r="C255" s="406" t="s">
        <v>1000</v>
      </c>
      <c r="D255" s="407" t="s">
        <v>1004</v>
      </c>
      <c r="E255" s="407" t="s">
        <v>1000</v>
      </c>
      <c r="F255" s="407" t="s">
        <v>1004</v>
      </c>
      <c r="G255" s="406" t="s">
        <v>54</v>
      </c>
      <c r="H255" s="408" t="s">
        <v>520</v>
      </c>
      <c r="I255" s="408" t="s">
        <v>57</v>
      </c>
      <c r="J255" s="406" t="s">
        <v>958</v>
      </c>
      <c r="K255" s="406" t="s">
        <v>959</v>
      </c>
      <c r="L255" s="406"/>
      <c r="M255" s="406" t="s">
        <v>1770</v>
      </c>
      <c r="N255" s="452">
        <v>0</v>
      </c>
      <c r="O255" s="452">
        <v>0</v>
      </c>
      <c r="P255" s="452">
        <v>0</v>
      </c>
      <c r="Q255" s="452">
        <v>0</v>
      </c>
      <c r="R255" s="452">
        <v>0</v>
      </c>
      <c r="S255" s="452">
        <v>0</v>
      </c>
      <c r="T255" s="452">
        <v>0</v>
      </c>
      <c r="U255" s="409">
        <v>0</v>
      </c>
      <c r="V255" s="409">
        <v>0</v>
      </c>
      <c r="W255" s="409">
        <v>0</v>
      </c>
      <c r="X255" s="409">
        <v>0</v>
      </c>
      <c r="Y255" s="409">
        <v>0</v>
      </c>
      <c r="Z255" s="453">
        <f t="shared" si="83"/>
        <v>0</v>
      </c>
      <c r="AA255" s="452">
        <v>0</v>
      </c>
      <c r="AB255" s="452">
        <v>0</v>
      </c>
      <c r="AC255" s="452">
        <v>0</v>
      </c>
      <c r="AD255" s="452">
        <v>0</v>
      </c>
      <c r="AE255" s="452">
        <v>0</v>
      </c>
      <c r="AF255" s="452">
        <v>0</v>
      </c>
      <c r="AG255" s="452">
        <v>0</v>
      </c>
      <c r="AH255" s="409">
        <v>0</v>
      </c>
      <c r="AI255" s="409">
        <v>0</v>
      </c>
      <c r="AJ255" s="409">
        <v>0</v>
      </c>
      <c r="AK255" s="409">
        <v>0</v>
      </c>
      <c r="AL255" s="409">
        <v>0</v>
      </c>
      <c r="AM255" s="453">
        <f t="shared" si="78"/>
        <v>0</v>
      </c>
      <c r="AN255" s="452">
        <v>0</v>
      </c>
      <c r="AO255" s="452">
        <v>0</v>
      </c>
      <c r="AP255" s="452">
        <v>20</v>
      </c>
      <c r="AQ255" s="452">
        <v>0</v>
      </c>
      <c r="AR255" s="452">
        <v>0</v>
      </c>
      <c r="AS255" s="452">
        <v>20</v>
      </c>
      <c r="AT255" s="452">
        <v>0</v>
      </c>
      <c r="AU255" s="409">
        <v>30</v>
      </c>
      <c r="AV255" s="409">
        <v>0</v>
      </c>
      <c r="AW255" s="409">
        <v>30</v>
      </c>
      <c r="AX255" s="409">
        <v>30</v>
      </c>
      <c r="AY255" s="409">
        <v>50</v>
      </c>
      <c r="AZ255" s="453">
        <f t="shared" si="79"/>
        <v>180</v>
      </c>
      <c r="BA255" s="452">
        <v>0</v>
      </c>
      <c r="BB255" s="452">
        <v>0</v>
      </c>
      <c r="BC255" s="452">
        <v>20</v>
      </c>
      <c r="BD255" s="452">
        <v>0</v>
      </c>
      <c r="BE255" s="452">
        <v>0</v>
      </c>
      <c r="BF255" s="452">
        <v>20</v>
      </c>
      <c r="BG255" s="452">
        <v>0</v>
      </c>
      <c r="BH255" s="409">
        <v>30</v>
      </c>
      <c r="BI255" s="409">
        <v>0</v>
      </c>
      <c r="BJ255" s="409">
        <v>30</v>
      </c>
      <c r="BK255" s="409">
        <v>25</v>
      </c>
      <c r="BL255" s="409">
        <v>50</v>
      </c>
      <c r="BM255" s="453">
        <f t="shared" si="80"/>
        <v>175</v>
      </c>
      <c r="BN255" s="452">
        <v>0</v>
      </c>
      <c r="BO255" s="452">
        <v>0</v>
      </c>
      <c r="BP255" s="452">
        <v>20</v>
      </c>
      <c r="BQ255" s="452">
        <v>30</v>
      </c>
      <c r="BR255" s="452">
        <v>0</v>
      </c>
      <c r="BS255" s="452">
        <v>20</v>
      </c>
      <c r="BT255" s="452">
        <v>0</v>
      </c>
      <c r="BU255" s="409">
        <v>30</v>
      </c>
      <c r="BV255" s="409">
        <v>0</v>
      </c>
      <c r="BW255" s="409">
        <v>0</v>
      </c>
      <c r="BX255" s="409">
        <v>25</v>
      </c>
      <c r="BY255" s="409">
        <v>50</v>
      </c>
      <c r="BZ255" s="453">
        <f t="shared" si="81"/>
        <v>175</v>
      </c>
      <c r="CA255" s="454">
        <f t="shared" si="82"/>
        <v>530</v>
      </c>
      <c r="CB255" s="411"/>
      <c r="CC255" s="411"/>
      <c r="CD255" s="411"/>
      <c r="CE255" s="411"/>
      <c r="CF255" s="411"/>
      <c r="CG255" s="412"/>
      <c r="CH255" s="413"/>
      <c r="CI255" s="414" t="s">
        <v>1622</v>
      </c>
      <c r="CJ255" s="415">
        <v>0</v>
      </c>
      <c r="CK255" s="415">
        <v>0</v>
      </c>
      <c r="CL255" s="415">
        <v>0</v>
      </c>
      <c r="CM255" s="415">
        <v>0</v>
      </c>
      <c r="CN255" s="415">
        <v>0</v>
      </c>
      <c r="CO255" s="415">
        <v>0</v>
      </c>
      <c r="CP255" s="415">
        <v>0</v>
      </c>
      <c r="CQ255" s="415">
        <v>0</v>
      </c>
      <c r="CR255" s="415">
        <v>0</v>
      </c>
      <c r="CS255" s="415">
        <v>0</v>
      </c>
      <c r="CT255" s="415">
        <v>0</v>
      </c>
      <c r="CU255" s="415">
        <v>0</v>
      </c>
      <c r="CV255" s="410">
        <f t="shared" si="92"/>
        <v>0</v>
      </c>
      <c r="CW255" s="415">
        <v>0</v>
      </c>
      <c r="CX255" s="415">
        <v>0</v>
      </c>
      <c r="CY255" s="415">
        <v>0</v>
      </c>
      <c r="CZ255" s="415">
        <v>0</v>
      </c>
      <c r="DA255" s="415">
        <v>0</v>
      </c>
      <c r="DB255" s="415">
        <v>0</v>
      </c>
      <c r="DC255" s="415">
        <v>0</v>
      </c>
      <c r="DD255" s="415">
        <v>0</v>
      </c>
      <c r="DE255" s="415">
        <v>0</v>
      </c>
      <c r="DF255" s="415">
        <v>0</v>
      </c>
      <c r="DG255" s="415">
        <v>0</v>
      </c>
      <c r="DH255" s="415">
        <v>0</v>
      </c>
      <c r="DI255" s="410">
        <f t="shared" si="93"/>
        <v>0</v>
      </c>
      <c r="DJ255" s="415">
        <v>0</v>
      </c>
      <c r="DK255" s="415">
        <v>0</v>
      </c>
      <c r="DL255" s="415">
        <v>57.142857142857146</v>
      </c>
      <c r="DM255" s="415">
        <v>0</v>
      </c>
      <c r="DN255" s="415">
        <v>0</v>
      </c>
      <c r="DO255" s="415">
        <v>57.142857142857146</v>
      </c>
      <c r="DP255" s="415">
        <v>0</v>
      </c>
      <c r="DQ255" s="415">
        <v>85.714285714285722</v>
      </c>
      <c r="DR255" s="415">
        <v>0</v>
      </c>
      <c r="DS255" s="415">
        <v>85.714285714285722</v>
      </c>
      <c r="DT255" s="415">
        <v>85.714285714285722</v>
      </c>
      <c r="DU255" s="415">
        <v>142.85714285714286</v>
      </c>
      <c r="DV255" s="410">
        <f t="shared" si="94"/>
        <v>514.28571428571433</v>
      </c>
      <c r="DW255" s="415">
        <v>0</v>
      </c>
      <c r="DX255" s="415">
        <v>0</v>
      </c>
      <c r="DY255" s="415">
        <v>57.142857142857146</v>
      </c>
      <c r="DZ255" s="415">
        <v>0</v>
      </c>
      <c r="EA255" s="415">
        <v>0</v>
      </c>
      <c r="EB255" s="415">
        <v>57.142857142857146</v>
      </c>
      <c r="EC255" s="415">
        <v>0</v>
      </c>
      <c r="ED255" s="415">
        <v>85.714285714285722</v>
      </c>
      <c r="EE255" s="415">
        <v>0</v>
      </c>
      <c r="EF255" s="415">
        <v>85.714285714285722</v>
      </c>
      <c r="EG255" s="415">
        <v>71.428571428571431</v>
      </c>
      <c r="EH255" s="415">
        <v>142.85714285714286</v>
      </c>
      <c r="EI255" s="410">
        <f t="shared" si="95"/>
        <v>500</v>
      </c>
      <c r="EJ255" s="415">
        <v>0</v>
      </c>
      <c r="EK255" s="415">
        <v>0</v>
      </c>
      <c r="EL255" s="415">
        <v>57.142857142857146</v>
      </c>
      <c r="EM255" s="415">
        <v>85.714285714285722</v>
      </c>
      <c r="EN255" s="415">
        <v>0</v>
      </c>
      <c r="EO255" s="415">
        <v>57.142857142857146</v>
      </c>
      <c r="EP255" s="415">
        <v>0</v>
      </c>
      <c r="EQ255" s="415">
        <v>85.714285714285722</v>
      </c>
      <c r="ER255" s="415">
        <v>0</v>
      </c>
      <c r="ES255" s="415">
        <v>0</v>
      </c>
      <c r="ET255" s="415">
        <v>71.428571428571431</v>
      </c>
      <c r="EU255" s="415">
        <v>142.85714285714286</v>
      </c>
      <c r="EV255" s="410">
        <f t="shared" si="96"/>
        <v>500</v>
      </c>
      <c r="EW255" s="416">
        <f t="shared" si="97"/>
        <v>1514.2857142857142</v>
      </c>
      <c r="EX255" s="417">
        <f>IFERROR(VLOOKUP(H255,CEI_012018!$A$1:$U$509,9,FALSE),0)</f>
        <v>0</v>
      </c>
      <c r="EY255" s="417">
        <f>IFERROR(VLOOKUP(H255,CEI_022018!$A$1:$U$509,9,FALSE),0)</f>
        <v>0</v>
      </c>
      <c r="EZ255" s="417">
        <f>IFERROR(VLOOKUP(H255,CEI_032018!$A$1:$U$509,9,FALSE),0)</f>
        <v>0</v>
      </c>
      <c r="FA255" s="417">
        <f>IFERROR(VLOOKUP(H255,CEI_042018!$A$1:$U$491,9,FALSE),0)</f>
        <v>0</v>
      </c>
      <c r="FB255" s="417">
        <f>IFERROR(VLOOKUP(H255,CEI_052018!$A$1:$U$489,9,FALSE),0)</f>
        <v>0</v>
      </c>
      <c r="FC255" s="417">
        <f>IFERROR(VLOOKUP(H255,CEI_062018!$A$1:$U$489,9,FALSE),0)</f>
        <v>0</v>
      </c>
      <c r="FD255" s="417">
        <f>IFERROR(VLOOKUP(H255,CEI_072018!$A$1:$U$489,9,FALSE),0)</f>
        <v>0</v>
      </c>
      <c r="FE255" s="417">
        <f>IFERROR(VLOOKUP(H255,CEI_082018!$A$1:$U$489,9,FALSE),0)</f>
        <v>0</v>
      </c>
      <c r="FF255" s="417">
        <f>IFERROR(VLOOKUP(H255,CEI_092018!$A$1:$U$489,9,FALSE),0)</f>
        <v>0</v>
      </c>
      <c r="FG255" s="417"/>
      <c r="FH255" s="417"/>
      <c r="FI255" s="417"/>
      <c r="FJ255" s="418">
        <f>IFERROR(VLOOKUP(H255,CEI_092018!$A$1:$U$489,12,FALSE),0)</f>
        <v>0</v>
      </c>
      <c r="FK255" s="418">
        <f t="shared" si="99"/>
        <v>0</v>
      </c>
      <c r="FL255" s="418">
        <f t="shared" si="100"/>
        <v>0</v>
      </c>
      <c r="FM255" s="417"/>
      <c r="FN255" s="417"/>
      <c r="FO255" s="417"/>
      <c r="FP255" s="417"/>
      <c r="FQ255" s="417"/>
      <c r="FR255" s="417"/>
      <c r="FS255" s="417"/>
      <c r="FT255" s="417"/>
      <c r="FU255" s="417"/>
      <c r="FV255" s="417"/>
      <c r="FW255" s="417"/>
      <c r="FX255" s="417"/>
      <c r="FY255" s="418"/>
      <c r="FZ255" s="418"/>
      <c r="GA255" s="418"/>
      <c r="GB255" s="417"/>
      <c r="GC255" s="417"/>
      <c r="GD255" s="417"/>
      <c r="GE255" s="417"/>
      <c r="GF255" s="417"/>
      <c r="GG255" s="417"/>
      <c r="GH255" s="417"/>
      <c r="GI255" s="417"/>
      <c r="GJ255" s="417"/>
      <c r="GK255" s="417"/>
      <c r="GL255" s="417"/>
      <c r="GM255" s="417"/>
      <c r="GN255" s="418"/>
      <c r="GO255" s="418"/>
      <c r="GP255" s="418"/>
      <c r="GQ255" s="417"/>
      <c r="GR255" s="417"/>
      <c r="GS255" s="417"/>
      <c r="GT255" s="417"/>
      <c r="GU255" s="417"/>
      <c r="GV255" s="417"/>
      <c r="GW255" s="417"/>
      <c r="GX255" s="417"/>
      <c r="GY255" s="417"/>
      <c r="GZ255" s="417"/>
      <c r="HA255" s="417"/>
      <c r="HB255" s="417"/>
      <c r="HC255" s="418"/>
      <c r="HD255" s="418"/>
      <c r="HE255" s="418"/>
      <c r="HF255" s="417"/>
      <c r="HG255" s="417"/>
      <c r="HH255" s="417"/>
      <c r="HI255" s="417"/>
      <c r="HJ255" s="417"/>
      <c r="HK255" s="417"/>
      <c r="HL255" s="417"/>
      <c r="HM255" s="417"/>
      <c r="HN255" s="417"/>
      <c r="HO255" s="417"/>
      <c r="HP255" s="417"/>
      <c r="HQ255" s="417"/>
      <c r="HR255" s="418"/>
      <c r="HS255" s="418"/>
      <c r="HT255" s="418"/>
    </row>
    <row r="256" spans="1:228" s="387" customFormat="1" ht="12.75" customHeight="1" x14ac:dyDescent="0.2">
      <c r="A256" s="406" t="s">
        <v>55</v>
      </c>
      <c r="B256" s="407" t="s">
        <v>42</v>
      </c>
      <c r="C256" s="406" t="s">
        <v>1000</v>
      </c>
      <c r="D256" s="407" t="s">
        <v>1004</v>
      </c>
      <c r="E256" s="407" t="s">
        <v>1586</v>
      </c>
      <c r="F256" s="407" t="s">
        <v>1760</v>
      </c>
      <c r="G256" s="406" t="s">
        <v>60</v>
      </c>
      <c r="H256" s="408" t="s">
        <v>520</v>
      </c>
      <c r="I256" s="408" t="s">
        <v>57</v>
      </c>
      <c r="J256" s="406" t="s">
        <v>500</v>
      </c>
      <c r="K256" s="406" t="s">
        <v>501</v>
      </c>
      <c r="L256" s="406" t="s">
        <v>502</v>
      </c>
      <c r="M256" s="406" t="s">
        <v>1770</v>
      </c>
      <c r="N256" s="452">
        <v>0</v>
      </c>
      <c r="O256" s="452">
        <v>0</v>
      </c>
      <c r="P256" s="452">
        <v>0</v>
      </c>
      <c r="Q256" s="452">
        <v>0</v>
      </c>
      <c r="R256" s="452">
        <v>0</v>
      </c>
      <c r="S256" s="452">
        <v>0</v>
      </c>
      <c r="T256" s="452">
        <v>0</v>
      </c>
      <c r="U256" s="409">
        <v>0</v>
      </c>
      <c r="V256" s="409">
        <v>0</v>
      </c>
      <c r="W256" s="409">
        <v>0</v>
      </c>
      <c r="X256" s="409">
        <v>0</v>
      </c>
      <c r="Y256" s="409">
        <v>0</v>
      </c>
      <c r="Z256" s="453">
        <f t="shared" si="83"/>
        <v>0</v>
      </c>
      <c r="AA256" s="452">
        <v>0</v>
      </c>
      <c r="AB256" s="452">
        <v>0</v>
      </c>
      <c r="AC256" s="452">
        <v>0</v>
      </c>
      <c r="AD256" s="452">
        <v>0</v>
      </c>
      <c r="AE256" s="452">
        <v>0</v>
      </c>
      <c r="AF256" s="452">
        <v>300</v>
      </c>
      <c r="AG256" s="452">
        <v>0</v>
      </c>
      <c r="AH256" s="409">
        <v>0</v>
      </c>
      <c r="AI256" s="409">
        <v>0</v>
      </c>
      <c r="AJ256" s="409">
        <v>0</v>
      </c>
      <c r="AK256" s="409">
        <v>0</v>
      </c>
      <c r="AL256" s="409">
        <v>200</v>
      </c>
      <c r="AM256" s="453">
        <f t="shared" si="78"/>
        <v>500</v>
      </c>
      <c r="AN256" s="452">
        <v>0</v>
      </c>
      <c r="AO256" s="452">
        <v>0</v>
      </c>
      <c r="AP256" s="452">
        <v>0</v>
      </c>
      <c r="AQ256" s="452">
        <v>0</v>
      </c>
      <c r="AR256" s="452">
        <v>0</v>
      </c>
      <c r="AS256" s="452">
        <v>0</v>
      </c>
      <c r="AT256" s="452">
        <v>0</v>
      </c>
      <c r="AU256" s="409">
        <v>0</v>
      </c>
      <c r="AV256" s="409">
        <v>0</v>
      </c>
      <c r="AW256" s="409">
        <v>0</v>
      </c>
      <c r="AX256" s="409">
        <v>0</v>
      </c>
      <c r="AY256" s="409">
        <v>0</v>
      </c>
      <c r="AZ256" s="453">
        <f t="shared" si="79"/>
        <v>0</v>
      </c>
      <c r="BA256" s="452">
        <v>0</v>
      </c>
      <c r="BB256" s="452">
        <v>0</v>
      </c>
      <c r="BC256" s="452">
        <v>0</v>
      </c>
      <c r="BD256" s="452">
        <v>0</v>
      </c>
      <c r="BE256" s="452">
        <v>0</v>
      </c>
      <c r="BF256" s="452">
        <v>0</v>
      </c>
      <c r="BG256" s="452">
        <v>0</v>
      </c>
      <c r="BH256" s="409">
        <v>0</v>
      </c>
      <c r="BI256" s="409">
        <v>0</v>
      </c>
      <c r="BJ256" s="409">
        <v>0</v>
      </c>
      <c r="BK256" s="409">
        <v>0</v>
      </c>
      <c r="BL256" s="409">
        <v>0</v>
      </c>
      <c r="BM256" s="453">
        <f t="shared" si="80"/>
        <v>0</v>
      </c>
      <c r="BN256" s="452">
        <v>0</v>
      </c>
      <c r="BO256" s="452">
        <v>0</v>
      </c>
      <c r="BP256" s="452">
        <v>0</v>
      </c>
      <c r="BQ256" s="452">
        <v>0</v>
      </c>
      <c r="BR256" s="452">
        <v>0</v>
      </c>
      <c r="BS256" s="452">
        <v>0</v>
      </c>
      <c r="BT256" s="452">
        <v>0</v>
      </c>
      <c r="BU256" s="409">
        <v>0</v>
      </c>
      <c r="BV256" s="409">
        <v>0</v>
      </c>
      <c r="BW256" s="409">
        <v>0</v>
      </c>
      <c r="BX256" s="409">
        <v>0</v>
      </c>
      <c r="BY256" s="409">
        <v>0</v>
      </c>
      <c r="BZ256" s="453">
        <f t="shared" si="81"/>
        <v>0</v>
      </c>
      <c r="CA256" s="454">
        <f t="shared" si="82"/>
        <v>500</v>
      </c>
      <c r="CB256" s="411"/>
      <c r="CC256" s="411"/>
      <c r="CD256" s="411"/>
      <c r="CE256" s="411"/>
      <c r="CF256" s="411"/>
      <c r="CG256" s="412"/>
      <c r="CH256" s="413"/>
      <c r="CI256" s="414" t="s">
        <v>1621</v>
      </c>
      <c r="CJ256" s="415">
        <v>0</v>
      </c>
      <c r="CK256" s="415">
        <v>0</v>
      </c>
      <c r="CL256" s="415">
        <v>0</v>
      </c>
      <c r="CM256" s="415">
        <v>0</v>
      </c>
      <c r="CN256" s="415">
        <v>0</v>
      </c>
      <c r="CO256" s="415">
        <v>0</v>
      </c>
      <c r="CP256" s="415">
        <v>0</v>
      </c>
      <c r="CQ256" s="415">
        <v>0</v>
      </c>
      <c r="CR256" s="415">
        <v>0</v>
      </c>
      <c r="CS256" s="415">
        <v>0</v>
      </c>
      <c r="CT256" s="415">
        <v>0</v>
      </c>
      <c r="CU256" s="415">
        <v>0</v>
      </c>
      <c r="CV256" s="410">
        <f t="shared" si="92"/>
        <v>0</v>
      </c>
      <c r="CW256" s="415">
        <v>0</v>
      </c>
      <c r="CX256" s="415">
        <v>0</v>
      </c>
      <c r="CY256" s="415">
        <v>0</v>
      </c>
      <c r="CZ256" s="415">
        <v>0</v>
      </c>
      <c r="DA256" s="415">
        <v>0</v>
      </c>
      <c r="DB256" s="415">
        <v>0</v>
      </c>
      <c r="DC256" s="415">
        <v>0</v>
      </c>
      <c r="DD256" s="415">
        <v>0</v>
      </c>
      <c r="DE256" s="415">
        <v>0</v>
      </c>
      <c r="DF256" s="415">
        <v>0</v>
      </c>
      <c r="DG256" s="415">
        <v>0</v>
      </c>
      <c r="DH256" s="415">
        <v>1</v>
      </c>
      <c r="DI256" s="410">
        <f t="shared" si="93"/>
        <v>1</v>
      </c>
      <c r="DJ256" s="415">
        <v>0</v>
      </c>
      <c r="DK256" s="415">
        <v>0</v>
      </c>
      <c r="DL256" s="415">
        <v>0</v>
      </c>
      <c r="DM256" s="415">
        <v>0</v>
      </c>
      <c r="DN256" s="415">
        <v>0</v>
      </c>
      <c r="DO256" s="415">
        <v>0</v>
      </c>
      <c r="DP256" s="415">
        <v>0</v>
      </c>
      <c r="DQ256" s="415">
        <v>0</v>
      </c>
      <c r="DR256" s="415">
        <v>0</v>
      </c>
      <c r="DS256" s="415">
        <v>0</v>
      </c>
      <c r="DT256" s="415">
        <v>0</v>
      </c>
      <c r="DU256" s="415">
        <v>0</v>
      </c>
      <c r="DV256" s="410">
        <f t="shared" si="94"/>
        <v>0</v>
      </c>
      <c r="DW256" s="415">
        <v>0</v>
      </c>
      <c r="DX256" s="415">
        <v>0</v>
      </c>
      <c r="DY256" s="415">
        <v>0</v>
      </c>
      <c r="DZ256" s="415">
        <v>0</v>
      </c>
      <c r="EA256" s="415">
        <v>0</v>
      </c>
      <c r="EB256" s="415">
        <v>0</v>
      </c>
      <c r="EC256" s="415">
        <v>0</v>
      </c>
      <c r="ED256" s="415">
        <v>0</v>
      </c>
      <c r="EE256" s="415">
        <v>0</v>
      </c>
      <c r="EF256" s="415">
        <v>0</v>
      </c>
      <c r="EG256" s="415">
        <v>0</v>
      </c>
      <c r="EH256" s="415">
        <v>0</v>
      </c>
      <c r="EI256" s="410">
        <f t="shared" si="95"/>
        <v>0</v>
      </c>
      <c r="EJ256" s="415">
        <v>0</v>
      </c>
      <c r="EK256" s="415">
        <v>0</v>
      </c>
      <c r="EL256" s="415">
        <v>0</v>
      </c>
      <c r="EM256" s="415">
        <v>0</v>
      </c>
      <c r="EN256" s="415">
        <v>0</v>
      </c>
      <c r="EO256" s="415">
        <v>0</v>
      </c>
      <c r="EP256" s="415">
        <v>0</v>
      </c>
      <c r="EQ256" s="415">
        <v>0</v>
      </c>
      <c r="ER256" s="415">
        <v>0</v>
      </c>
      <c r="ES256" s="415">
        <v>0</v>
      </c>
      <c r="ET256" s="415">
        <v>0</v>
      </c>
      <c r="EU256" s="415">
        <v>0</v>
      </c>
      <c r="EV256" s="410">
        <f t="shared" si="96"/>
        <v>0</v>
      </c>
      <c r="EW256" s="416">
        <f t="shared" si="97"/>
        <v>1</v>
      </c>
      <c r="EX256" s="417">
        <f>IFERROR(VLOOKUP(H256,CEI_012018!$A$1:$U$509,9,FALSE),0)</f>
        <v>0</v>
      </c>
      <c r="EY256" s="417">
        <f>IFERROR(VLOOKUP(H256,CEI_022018!$A$1:$U$509,9,FALSE),0)</f>
        <v>0</v>
      </c>
      <c r="EZ256" s="417">
        <f>IFERROR(VLOOKUP(H256,CEI_032018!$A$1:$U$509,9,FALSE),0)</f>
        <v>0</v>
      </c>
      <c r="FA256" s="417">
        <f>IFERROR(VLOOKUP(H256,CEI_042018!$A$1:$U$491,9,FALSE),0)</f>
        <v>0</v>
      </c>
      <c r="FB256" s="417">
        <f>IFERROR(VLOOKUP(H256,CEI_052018!$A$1:$U$489,9,FALSE),0)</f>
        <v>0</v>
      </c>
      <c r="FC256" s="417">
        <f>IFERROR(VLOOKUP(H256,CEI_062018!$A$1:$U$489,9,FALSE),0)</f>
        <v>0</v>
      </c>
      <c r="FD256" s="417">
        <f>IFERROR(VLOOKUP(H256,CEI_072018!$A$1:$U$489,9,FALSE),0)</f>
        <v>0</v>
      </c>
      <c r="FE256" s="417">
        <f>IFERROR(VLOOKUP(H256,CEI_082018!$A$1:$U$489,9,FALSE),0)</f>
        <v>0</v>
      </c>
      <c r="FF256" s="417">
        <f>IFERROR(VLOOKUP(H256,CEI_092018!$A$1:$U$489,9,FALSE),0)</f>
        <v>0</v>
      </c>
      <c r="FG256" s="417"/>
      <c r="FH256" s="417"/>
      <c r="FI256" s="417"/>
      <c r="FJ256" s="418">
        <f>IFERROR(VLOOKUP(H256,CEI_092018!$A$1:$U$489,12,FALSE),0)</f>
        <v>0</v>
      </c>
      <c r="FK256" s="418">
        <f t="shared" si="99"/>
        <v>0</v>
      </c>
      <c r="FL256" s="418">
        <f t="shared" si="100"/>
        <v>0</v>
      </c>
      <c r="FM256" s="417"/>
      <c r="FN256" s="417"/>
      <c r="FO256" s="417"/>
      <c r="FP256" s="417"/>
      <c r="FQ256" s="417"/>
      <c r="FR256" s="417"/>
      <c r="FS256" s="417"/>
      <c r="FT256" s="417"/>
      <c r="FU256" s="417"/>
      <c r="FV256" s="417"/>
      <c r="FW256" s="417"/>
      <c r="FX256" s="417"/>
      <c r="FY256" s="418"/>
      <c r="FZ256" s="418"/>
      <c r="GA256" s="418"/>
      <c r="GB256" s="417"/>
      <c r="GC256" s="417"/>
      <c r="GD256" s="417"/>
      <c r="GE256" s="417"/>
      <c r="GF256" s="417"/>
      <c r="GG256" s="417"/>
      <c r="GH256" s="417"/>
      <c r="GI256" s="417"/>
      <c r="GJ256" s="417"/>
      <c r="GK256" s="417"/>
      <c r="GL256" s="417"/>
      <c r="GM256" s="417"/>
      <c r="GN256" s="418"/>
      <c r="GO256" s="418"/>
      <c r="GP256" s="418"/>
      <c r="GQ256" s="417"/>
      <c r="GR256" s="417"/>
      <c r="GS256" s="417"/>
      <c r="GT256" s="417"/>
      <c r="GU256" s="417"/>
      <c r="GV256" s="417"/>
      <c r="GW256" s="417"/>
      <c r="GX256" s="417"/>
      <c r="GY256" s="417"/>
      <c r="GZ256" s="417"/>
      <c r="HA256" s="417"/>
      <c r="HB256" s="417"/>
      <c r="HC256" s="418"/>
      <c r="HD256" s="418"/>
      <c r="HE256" s="418"/>
      <c r="HF256" s="417"/>
      <c r="HG256" s="417"/>
      <c r="HH256" s="417"/>
      <c r="HI256" s="417"/>
      <c r="HJ256" s="417"/>
      <c r="HK256" s="417"/>
      <c r="HL256" s="417"/>
      <c r="HM256" s="417"/>
      <c r="HN256" s="417"/>
      <c r="HO256" s="417"/>
      <c r="HP256" s="417"/>
      <c r="HQ256" s="417"/>
      <c r="HR256" s="418"/>
      <c r="HS256" s="418"/>
      <c r="HT256" s="418"/>
    </row>
    <row r="257" spans="1:228" s="387" customFormat="1" ht="12.75" customHeight="1" x14ac:dyDescent="0.2">
      <c r="A257" s="406" t="s">
        <v>55</v>
      </c>
      <c r="B257" s="407" t="s">
        <v>42</v>
      </c>
      <c r="C257" s="406" t="s">
        <v>1000</v>
      </c>
      <c r="D257" s="407" t="s">
        <v>1006</v>
      </c>
      <c r="E257" s="407" t="s">
        <v>1000</v>
      </c>
      <c r="F257" s="407" t="s">
        <v>1006</v>
      </c>
      <c r="G257" s="406" t="s">
        <v>54</v>
      </c>
      <c r="H257" s="408" t="s">
        <v>1307</v>
      </c>
      <c r="I257" s="408" t="s">
        <v>1309</v>
      </c>
      <c r="J257" s="406" t="s">
        <v>481</v>
      </c>
      <c r="K257" s="406" t="s">
        <v>482</v>
      </c>
      <c r="L257" s="406" t="s">
        <v>483</v>
      </c>
      <c r="M257" s="406" t="s">
        <v>1778</v>
      </c>
      <c r="N257" s="452">
        <v>0</v>
      </c>
      <c r="O257" s="452">
        <v>22.68235969543457</v>
      </c>
      <c r="P257" s="452">
        <v>0</v>
      </c>
      <c r="Q257" s="452">
        <v>19.350000381469727</v>
      </c>
      <c r="R257" s="452">
        <v>27.477239608764648</v>
      </c>
      <c r="S257" s="452">
        <v>0</v>
      </c>
      <c r="T257" s="452">
        <v>0</v>
      </c>
      <c r="U257" s="409">
        <v>4.1387500762939453</v>
      </c>
      <c r="V257" s="409">
        <v>0</v>
      </c>
      <c r="W257" s="409">
        <v>0</v>
      </c>
      <c r="X257" s="409">
        <v>0</v>
      </c>
      <c r="Y257" s="409">
        <v>45.861249999999998</v>
      </c>
      <c r="Z257" s="453">
        <f t="shared" si="83"/>
        <v>119.50959976196289</v>
      </c>
      <c r="AA257" s="452">
        <v>0</v>
      </c>
      <c r="AB257" s="452">
        <v>0</v>
      </c>
      <c r="AC257" s="452">
        <v>100</v>
      </c>
      <c r="AD257" s="452">
        <v>0</v>
      </c>
      <c r="AE257" s="452">
        <v>0</v>
      </c>
      <c r="AF257" s="452">
        <v>100</v>
      </c>
      <c r="AG257" s="452">
        <v>0</v>
      </c>
      <c r="AH257" s="409">
        <v>0</v>
      </c>
      <c r="AI257" s="409">
        <v>0</v>
      </c>
      <c r="AJ257" s="409">
        <v>130</v>
      </c>
      <c r="AK257" s="409">
        <v>0</v>
      </c>
      <c r="AL257" s="409">
        <v>350</v>
      </c>
      <c r="AM257" s="453">
        <f t="shared" si="78"/>
        <v>680</v>
      </c>
      <c r="AN257" s="452">
        <v>50</v>
      </c>
      <c r="AO257" s="452">
        <v>50</v>
      </c>
      <c r="AP257" s="452">
        <v>0</v>
      </c>
      <c r="AQ257" s="452">
        <v>0</v>
      </c>
      <c r="AR257" s="452">
        <v>0</v>
      </c>
      <c r="AS257" s="452">
        <v>0</v>
      </c>
      <c r="AT257" s="452">
        <v>0</v>
      </c>
      <c r="AU257" s="409">
        <v>0</v>
      </c>
      <c r="AV257" s="409">
        <v>0</v>
      </c>
      <c r="AW257" s="409">
        <v>0</v>
      </c>
      <c r="AX257" s="409">
        <v>0</v>
      </c>
      <c r="AY257" s="409">
        <v>0</v>
      </c>
      <c r="AZ257" s="453">
        <f t="shared" si="79"/>
        <v>100</v>
      </c>
      <c r="BA257" s="452">
        <v>0</v>
      </c>
      <c r="BB257" s="452">
        <v>0</v>
      </c>
      <c r="BC257" s="452">
        <v>0</v>
      </c>
      <c r="BD257" s="452">
        <v>0</v>
      </c>
      <c r="BE257" s="452">
        <v>0</v>
      </c>
      <c r="BF257" s="452">
        <v>0</v>
      </c>
      <c r="BG257" s="452">
        <v>0</v>
      </c>
      <c r="BH257" s="409">
        <v>0</v>
      </c>
      <c r="BI257" s="409">
        <v>0</v>
      </c>
      <c r="BJ257" s="409">
        <v>0</v>
      </c>
      <c r="BK257" s="409">
        <v>0</v>
      </c>
      <c r="BL257" s="409">
        <v>0</v>
      </c>
      <c r="BM257" s="453">
        <f t="shared" si="80"/>
        <v>0</v>
      </c>
      <c r="BN257" s="452">
        <v>0</v>
      </c>
      <c r="BO257" s="452">
        <v>0</v>
      </c>
      <c r="BP257" s="452">
        <v>0</v>
      </c>
      <c r="BQ257" s="452">
        <v>0</v>
      </c>
      <c r="BR257" s="452">
        <v>0</v>
      </c>
      <c r="BS257" s="452">
        <v>0</v>
      </c>
      <c r="BT257" s="452">
        <v>0</v>
      </c>
      <c r="BU257" s="409">
        <v>0</v>
      </c>
      <c r="BV257" s="409">
        <v>0</v>
      </c>
      <c r="BW257" s="409">
        <v>0</v>
      </c>
      <c r="BX257" s="409">
        <v>0</v>
      </c>
      <c r="BY257" s="409">
        <v>0</v>
      </c>
      <c r="BZ257" s="453">
        <f t="shared" si="81"/>
        <v>0</v>
      </c>
      <c r="CA257" s="454">
        <f t="shared" si="82"/>
        <v>899.50959976196293</v>
      </c>
      <c r="CB257" s="419"/>
      <c r="CC257" s="419">
        <v>1</v>
      </c>
      <c r="CD257" s="419">
        <v>1</v>
      </c>
      <c r="CE257" s="419">
        <v>1</v>
      </c>
      <c r="CF257" s="419">
        <v>1</v>
      </c>
      <c r="CG257" s="420">
        <f>IFERROR((FE257/Z257%),0)</f>
        <v>61.62546766841691</v>
      </c>
      <c r="CH257" s="421">
        <f>IFERROR((FK257/Z257%),0)</f>
        <v>209.23494972849281</v>
      </c>
      <c r="CI257" s="414" t="s">
        <v>1621</v>
      </c>
      <c r="CJ257" s="415">
        <v>0</v>
      </c>
      <c r="CK257" s="415">
        <v>0</v>
      </c>
      <c r="CL257" s="415">
        <v>0</v>
      </c>
      <c r="CM257" s="415">
        <v>0</v>
      </c>
      <c r="CN257" s="415">
        <v>0</v>
      </c>
      <c r="CO257" s="415">
        <v>0</v>
      </c>
      <c r="CP257" s="415">
        <v>0</v>
      </c>
      <c r="CQ257" s="415">
        <v>0</v>
      </c>
      <c r="CR257" s="415">
        <v>0</v>
      </c>
      <c r="CS257" s="415">
        <v>0</v>
      </c>
      <c r="CT257" s="415">
        <v>0</v>
      </c>
      <c r="CU257" s="415">
        <v>1</v>
      </c>
      <c r="CV257" s="410">
        <f t="shared" si="92"/>
        <v>1</v>
      </c>
      <c r="CW257" s="415">
        <v>0</v>
      </c>
      <c r="CX257" s="415">
        <v>0</v>
      </c>
      <c r="CY257" s="415">
        <v>0</v>
      </c>
      <c r="CZ257" s="415">
        <v>0</v>
      </c>
      <c r="DA257" s="415">
        <v>0</v>
      </c>
      <c r="DB257" s="415">
        <v>0</v>
      </c>
      <c r="DC257" s="415">
        <v>0</v>
      </c>
      <c r="DD257" s="415">
        <v>0</v>
      </c>
      <c r="DE257" s="415">
        <v>0</v>
      </c>
      <c r="DF257" s="415">
        <v>0</v>
      </c>
      <c r="DG257" s="415">
        <v>0</v>
      </c>
      <c r="DH257" s="415">
        <v>1</v>
      </c>
      <c r="DI257" s="410">
        <f t="shared" si="93"/>
        <v>1</v>
      </c>
      <c r="DJ257" s="415">
        <v>0</v>
      </c>
      <c r="DK257" s="415">
        <v>1</v>
      </c>
      <c r="DL257" s="415">
        <v>0</v>
      </c>
      <c r="DM257" s="415">
        <v>0</v>
      </c>
      <c r="DN257" s="415">
        <v>0</v>
      </c>
      <c r="DO257" s="415">
        <v>0</v>
      </c>
      <c r="DP257" s="415">
        <v>0</v>
      </c>
      <c r="DQ257" s="415">
        <v>0</v>
      </c>
      <c r="DR257" s="415">
        <v>0</v>
      </c>
      <c r="DS257" s="415">
        <v>0</v>
      </c>
      <c r="DT257" s="415">
        <v>0</v>
      </c>
      <c r="DU257" s="415">
        <v>0</v>
      </c>
      <c r="DV257" s="410">
        <f t="shared" si="94"/>
        <v>1</v>
      </c>
      <c r="DW257" s="415">
        <v>0</v>
      </c>
      <c r="DX257" s="415">
        <v>0</v>
      </c>
      <c r="DY257" s="415">
        <v>0</v>
      </c>
      <c r="DZ257" s="415">
        <v>0</v>
      </c>
      <c r="EA257" s="415">
        <v>0</v>
      </c>
      <c r="EB257" s="415">
        <v>0</v>
      </c>
      <c r="EC257" s="415">
        <v>0</v>
      </c>
      <c r="ED257" s="415">
        <v>0</v>
      </c>
      <c r="EE257" s="415">
        <v>0</v>
      </c>
      <c r="EF257" s="415">
        <v>0</v>
      </c>
      <c r="EG257" s="415">
        <v>0</v>
      </c>
      <c r="EH257" s="415">
        <v>0</v>
      </c>
      <c r="EI257" s="410">
        <f t="shared" si="95"/>
        <v>0</v>
      </c>
      <c r="EJ257" s="415">
        <v>0</v>
      </c>
      <c r="EK257" s="415">
        <v>0</v>
      </c>
      <c r="EL257" s="415">
        <v>0</v>
      </c>
      <c r="EM257" s="415">
        <v>0</v>
      </c>
      <c r="EN257" s="415">
        <v>0</v>
      </c>
      <c r="EO257" s="415">
        <v>0</v>
      </c>
      <c r="EP257" s="415">
        <v>0</v>
      </c>
      <c r="EQ257" s="415">
        <v>0</v>
      </c>
      <c r="ER257" s="415">
        <v>0</v>
      </c>
      <c r="ES257" s="415">
        <v>0</v>
      </c>
      <c r="ET257" s="415">
        <v>0</v>
      </c>
      <c r="EU257" s="415">
        <v>0</v>
      </c>
      <c r="EV257" s="410">
        <f t="shared" si="96"/>
        <v>0</v>
      </c>
      <c r="EW257" s="416">
        <f t="shared" si="97"/>
        <v>3</v>
      </c>
      <c r="EX257" s="417">
        <f>IFERROR(VLOOKUP(H257,CEI_012018!$A$1:$U$509,9,FALSE),0)</f>
        <v>0</v>
      </c>
      <c r="EY257" s="417">
        <f>IFERROR(VLOOKUP(H257,CEI_022018!$A$1:$U$509,9,FALSE),0)</f>
        <v>22.68235969543457</v>
      </c>
      <c r="EZ257" s="417">
        <f>IFERROR(VLOOKUP(H257,CEI_032018!$A$1:$U$509,9,FALSE),0)</f>
        <v>22.68235969543457</v>
      </c>
      <c r="FA257" s="417">
        <f>IFERROR(VLOOKUP(H257,CEI_042018!$A$1:$U$491,9,FALSE),0)</f>
        <v>42.032360076904297</v>
      </c>
      <c r="FB257" s="417">
        <f>IFERROR(VLOOKUP(H257,CEI_052018!$A$1:$U$489,9,FALSE),0)</f>
        <v>69.509599685668945</v>
      </c>
      <c r="FC257" s="417">
        <f>IFERROR(VLOOKUP(H257,CEI_062018!$A$1:$U$489,9,FALSE),0)</f>
        <v>69.509599685668945</v>
      </c>
      <c r="FD257" s="417">
        <f>IFERROR(VLOOKUP(H257,CEI_072018!$A$1:$U$489,9,FALSE),0)</f>
        <v>69.509599685668945</v>
      </c>
      <c r="FE257" s="417">
        <f>IFERROR(VLOOKUP(H257,CEI_082018!$A$1:$U$489,9,FALSE),0)</f>
        <v>73.648349761962891</v>
      </c>
      <c r="FF257" s="417">
        <f>IFERROR(VLOOKUP(H257,CEI_092018!$A$1:$U$489,9,FALSE),0)</f>
        <v>73.648349761962891</v>
      </c>
      <c r="FG257" s="417"/>
      <c r="FH257" s="417"/>
      <c r="FI257" s="417"/>
      <c r="FJ257" s="418">
        <f>IFERROR(VLOOKUP(H257,CEI_092018!$A$1:$U$489,12,FALSE),0)</f>
        <v>176.40750122070312</v>
      </c>
      <c r="FK257" s="418">
        <f t="shared" si="99"/>
        <v>250.05585098266602</v>
      </c>
      <c r="FL257" s="418">
        <f t="shared" si="100"/>
        <v>-130.54625122070314</v>
      </c>
      <c r="FM257" s="417"/>
      <c r="FN257" s="417"/>
      <c r="FO257" s="417"/>
      <c r="FP257" s="417"/>
      <c r="FQ257" s="417"/>
      <c r="FR257" s="417"/>
      <c r="FS257" s="417"/>
      <c r="FT257" s="417"/>
      <c r="FU257" s="417"/>
      <c r="FV257" s="417"/>
      <c r="FW257" s="417"/>
      <c r="FX257" s="417"/>
      <c r="FY257" s="418"/>
      <c r="FZ257" s="418"/>
      <c r="GA257" s="418"/>
      <c r="GB257" s="417"/>
      <c r="GC257" s="417"/>
      <c r="GD257" s="417"/>
      <c r="GE257" s="417"/>
      <c r="GF257" s="417"/>
      <c r="GG257" s="417"/>
      <c r="GH257" s="417"/>
      <c r="GI257" s="417"/>
      <c r="GJ257" s="417"/>
      <c r="GK257" s="417"/>
      <c r="GL257" s="417"/>
      <c r="GM257" s="417"/>
      <c r="GN257" s="418"/>
      <c r="GO257" s="418"/>
      <c r="GP257" s="418"/>
      <c r="GQ257" s="417"/>
      <c r="GR257" s="417"/>
      <c r="GS257" s="417"/>
      <c r="GT257" s="417"/>
      <c r="GU257" s="417"/>
      <c r="GV257" s="417"/>
      <c r="GW257" s="417"/>
      <c r="GX257" s="417"/>
      <c r="GY257" s="417"/>
      <c r="GZ257" s="417"/>
      <c r="HA257" s="417"/>
      <c r="HB257" s="417"/>
      <c r="HC257" s="418"/>
      <c r="HD257" s="418"/>
      <c r="HE257" s="418"/>
      <c r="HF257" s="417"/>
      <c r="HG257" s="417"/>
      <c r="HH257" s="417"/>
      <c r="HI257" s="417"/>
      <c r="HJ257" s="417"/>
      <c r="HK257" s="417"/>
      <c r="HL257" s="417"/>
      <c r="HM257" s="417"/>
      <c r="HN257" s="417"/>
      <c r="HO257" s="417"/>
      <c r="HP257" s="417"/>
      <c r="HQ257" s="417"/>
      <c r="HR257" s="418"/>
      <c r="HS257" s="418"/>
      <c r="HT257" s="418"/>
    </row>
    <row r="258" spans="1:228" s="387" customFormat="1" ht="12.75" customHeight="1" x14ac:dyDescent="0.2">
      <c r="A258" s="406" t="s">
        <v>55</v>
      </c>
      <c r="B258" s="407" t="s">
        <v>42</v>
      </c>
      <c r="C258" s="406" t="s">
        <v>1000</v>
      </c>
      <c r="D258" s="407" t="s">
        <v>1004</v>
      </c>
      <c r="E258" s="407" t="s">
        <v>1586</v>
      </c>
      <c r="F258" s="407" t="s">
        <v>1760</v>
      </c>
      <c r="G258" s="406" t="s">
        <v>60</v>
      </c>
      <c r="H258" s="408" t="s">
        <v>520</v>
      </c>
      <c r="I258" s="408" t="s">
        <v>57</v>
      </c>
      <c r="J258" s="406" t="s">
        <v>494</v>
      </c>
      <c r="K258" s="406" t="s">
        <v>495</v>
      </c>
      <c r="L258" s="406" t="s">
        <v>496</v>
      </c>
      <c r="M258" s="406" t="s">
        <v>57</v>
      </c>
      <c r="N258" s="452">
        <v>0</v>
      </c>
      <c r="O258" s="452">
        <v>0</v>
      </c>
      <c r="P258" s="452">
        <v>0</v>
      </c>
      <c r="Q258" s="452">
        <v>0</v>
      </c>
      <c r="R258" s="452">
        <v>0</v>
      </c>
      <c r="S258" s="452">
        <v>0</v>
      </c>
      <c r="T258" s="452">
        <v>0</v>
      </c>
      <c r="U258" s="409">
        <v>0</v>
      </c>
      <c r="V258" s="409">
        <v>0</v>
      </c>
      <c r="W258" s="409">
        <v>0</v>
      </c>
      <c r="X258" s="409">
        <v>0</v>
      </c>
      <c r="Y258" s="409">
        <v>0</v>
      </c>
      <c r="Z258" s="453">
        <f t="shared" si="83"/>
        <v>0</v>
      </c>
      <c r="AA258" s="452">
        <v>50</v>
      </c>
      <c r="AB258" s="452">
        <v>50</v>
      </c>
      <c r="AC258" s="452">
        <v>100</v>
      </c>
      <c r="AD258" s="452">
        <v>100</v>
      </c>
      <c r="AE258" s="452">
        <v>150</v>
      </c>
      <c r="AF258" s="452">
        <v>300</v>
      </c>
      <c r="AG258" s="452">
        <v>300</v>
      </c>
      <c r="AH258" s="409">
        <v>300</v>
      </c>
      <c r="AI258" s="409">
        <v>300</v>
      </c>
      <c r="AJ258" s="409">
        <v>350</v>
      </c>
      <c r="AK258" s="409">
        <v>350</v>
      </c>
      <c r="AL258" s="409">
        <v>150</v>
      </c>
      <c r="AM258" s="453">
        <f t="shared" ref="AM258:AM315" si="103">SUM(AA258:AL258)</f>
        <v>2500</v>
      </c>
      <c r="AN258" s="452">
        <v>100</v>
      </c>
      <c r="AO258" s="452">
        <v>100</v>
      </c>
      <c r="AP258" s="452">
        <v>200</v>
      </c>
      <c r="AQ258" s="452">
        <v>100</v>
      </c>
      <c r="AR258" s="452">
        <v>200</v>
      </c>
      <c r="AS258" s="452">
        <v>200</v>
      </c>
      <c r="AT258" s="452">
        <v>100</v>
      </c>
      <c r="AU258" s="409">
        <v>200</v>
      </c>
      <c r="AV258" s="409">
        <v>200</v>
      </c>
      <c r="AW258" s="409">
        <v>200</v>
      </c>
      <c r="AX258" s="409">
        <v>200</v>
      </c>
      <c r="AY258" s="409">
        <v>200</v>
      </c>
      <c r="AZ258" s="453">
        <f t="shared" ref="AZ258:AZ315" si="104">SUM(AN258:AY258)</f>
        <v>2000</v>
      </c>
      <c r="BA258" s="452">
        <v>0</v>
      </c>
      <c r="BB258" s="452">
        <v>0</v>
      </c>
      <c r="BC258" s="452">
        <v>0</v>
      </c>
      <c r="BD258" s="452">
        <v>0</v>
      </c>
      <c r="BE258" s="452">
        <v>0</v>
      </c>
      <c r="BF258" s="452">
        <v>0</v>
      </c>
      <c r="BG258" s="452">
        <v>0</v>
      </c>
      <c r="BH258" s="409">
        <v>0</v>
      </c>
      <c r="BI258" s="409">
        <v>0</v>
      </c>
      <c r="BJ258" s="409">
        <v>0</v>
      </c>
      <c r="BK258" s="409">
        <v>0</v>
      </c>
      <c r="BL258" s="409">
        <v>0</v>
      </c>
      <c r="BM258" s="453">
        <f t="shared" ref="BM258:BM315" si="105">SUM(BA258:BL258)</f>
        <v>0</v>
      </c>
      <c r="BN258" s="452">
        <v>0</v>
      </c>
      <c r="BO258" s="452">
        <v>0</v>
      </c>
      <c r="BP258" s="452">
        <v>0</v>
      </c>
      <c r="BQ258" s="452">
        <v>0</v>
      </c>
      <c r="BR258" s="452">
        <v>0</v>
      </c>
      <c r="BS258" s="452">
        <v>0</v>
      </c>
      <c r="BT258" s="452">
        <v>0</v>
      </c>
      <c r="BU258" s="409">
        <v>0</v>
      </c>
      <c r="BV258" s="409">
        <v>0</v>
      </c>
      <c r="BW258" s="409">
        <v>0</v>
      </c>
      <c r="BX258" s="409">
        <v>0</v>
      </c>
      <c r="BY258" s="409">
        <v>0</v>
      </c>
      <c r="BZ258" s="453">
        <f t="shared" ref="BZ258:BZ315" si="106">SUM(BN258:BY258)</f>
        <v>0</v>
      </c>
      <c r="CA258" s="454">
        <f t="shared" ref="CA258:CA315" si="107">SUM(BZ258,BM258,AZ258,AM258,Z258)</f>
        <v>4500</v>
      </c>
      <c r="CB258" s="411"/>
      <c r="CC258" s="411"/>
      <c r="CD258" s="411"/>
      <c r="CE258" s="411"/>
      <c r="CF258" s="411"/>
      <c r="CG258" s="412"/>
      <c r="CH258" s="413"/>
      <c r="CI258" s="414" t="s">
        <v>1621</v>
      </c>
      <c r="CJ258" s="415">
        <v>0</v>
      </c>
      <c r="CK258" s="415">
        <v>0</v>
      </c>
      <c r="CL258" s="415">
        <v>0</v>
      </c>
      <c r="CM258" s="415">
        <v>0</v>
      </c>
      <c r="CN258" s="415">
        <v>0</v>
      </c>
      <c r="CO258" s="415">
        <v>0</v>
      </c>
      <c r="CP258" s="415">
        <v>0</v>
      </c>
      <c r="CQ258" s="415">
        <v>0</v>
      </c>
      <c r="CR258" s="415">
        <v>0</v>
      </c>
      <c r="CS258" s="415">
        <v>0</v>
      </c>
      <c r="CT258" s="415">
        <v>0</v>
      </c>
      <c r="CU258" s="415">
        <v>0</v>
      </c>
      <c r="CV258" s="410">
        <f t="shared" si="92"/>
        <v>0</v>
      </c>
      <c r="CW258" s="415">
        <v>0</v>
      </c>
      <c r="CX258" s="415">
        <v>0</v>
      </c>
      <c r="CY258" s="415">
        <v>0</v>
      </c>
      <c r="CZ258" s="415">
        <v>0</v>
      </c>
      <c r="DA258" s="415">
        <v>0</v>
      </c>
      <c r="DB258" s="415">
        <v>0</v>
      </c>
      <c r="DC258" s="415">
        <v>0</v>
      </c>
      <c r="DD258" s="415">
        <v>0</v>
      </c>
      <c r="DE258" s="415">
        <v>0</v>
      </c>
      <c r="DF258" s="415">
        <v>0</v>
      </c>
      <c r="DG258" s="415">
        <v>0</v>
      </c>
      <c r="DH258" s="415">
        <v>1</v>
      </c>
      <c r="DI258" s="410">
        <f t="shared" si="93"/>
        <v>1</v>
      </c>
      <c r="DJ258" s="415">
        <v>0</v>
      </c>
      <c r="DK258" s="415">
        <v>0</v>
      </c>
      <c r="DL258" s="415">
        <v>0</v>
      </c>
      <c r="DM258" s="415">
        <v>0</v>
      </c>
      <c r="DN258" s="415">
        <v>0</v>
      </c>
      <c r="DO258" s="415">
        <v>0</v>
      </c>
      <c r="DP258" s="415">
        <v>0</v>
      </c>
      <c r="DQ258" s="415">
        <v>0</v>
      </c>
      <c r="DR258" s="415">
        <v>0</v>
      </c>
      <c r="DS258" s="415">
        <v>0</v>
      </c>
      <c r="DT258" s="415">
        <v>0</v>
      </c>
      <c r="DU258" s="415">
        <v>1</v>
      </c>
      <c r="DV258" s="410">
        <f t="shared" si="94"/>
        <v>1</v>
      </c>
      <c r="DW258" s="415">
        <v>0</v>
      </c>
      <c r="DX258" s="415">
        <v>0</v>
      </c>
      <c r="DY258" s="415">
        <v>0</v>
      </c>
      <c r="DZ258" s="415">
        <v>0</v>
      </c>
      <c r="EA258" s="415">
        <v>0</v>
      </c>
      <c r="EB258" s="415">
        <v>0</v>
      </c>
      <c r="EC258" s="415">
        <v>0</v>
      </c>
      <c r="ED258" s="415">
        <v>0</v>
      </c>
      <c r="EE258" s="415">
        <v>0</v>
      </c>
      <c r="EF258" s="415">
        <v>0</v>
      </c>
      <c r="EG258" s="415">
        <v>0</v>
      </c>
      <c r="EH258" s="415">
        <v>0</v>
      </c>
      <c r="EI258" s="410">
        <f t="shared" si="95"/>
        <v>0</v>
      </c>
      <c r="EJ258" s="415">
        <v>0</v>
      </c>
      <c r="EK258" s="415">
        <v>0</v>
      </c>
      <c r="EL258" s="415">
        <v>0</v>
      </c>
      <c r="EM258" s="415">
        <v>0</v>
      </c>
      <c r="EN258" s="415">
        <v>0</v>
      </c>
      <c r="EO258" s="415">
        <v>0</v>
      </c>
      <c r="EP258" s="415">
        <v>0</v>
      </c>
      <c r="EQ258" s="415">
        <v>0</v>
      </c>
      <c r="ER258" s="415">
        <v>0</v>
      </c>
      <c r="ES258" s="415">
        <v>0</v>
      </c>
      <c r="ET258" s="415">
        <v>0</v>
      </c>
      <c r="EU258" s="415">
        <v>0</v>
      </c>
      <c r="EV258" s="410">
        <f t="shared" si="96"/>
        <v>0</v>
      </c>
      <c r="EW258" s="416">
        <f t="shared" si="97"/>
        <v>2</v>
      </c>
      <c r="EX258" s="417">
        <f>IFERROR(VLOOKUP(H258,CEI_012018!$A$1:$U$509,9,FALSE),0)</f>
        <v>0</v>
      </c>
      <c r="EY258" s="417">
        <f>IFERROR(VLOOKUP(H258,CEI_022018!$A$1:$U$509,9,FALSE),0)</f>
        <v>0</v>
      </c>
      <c r="EZ258" s="417">
        <f>IFERROR(VLOOKUP(H258,CEI_032018!$A$1:$U$509,9,FALSE),0)</f>
        <v>0</v>
      </c>
      <c r="FA258" s="417">
        <f>IFERROR(VLOOKUP(H258,CEI_042018!$A$1:$U$491,9,FALSE),0)</f>
        <v>0</v>
      </c>
      <c r="FB258" s="417">
        <f>IFERROR(VLOOKUP(H258,CEI_052018!$A$1:$U$489,9,FALSE),0)</f>
        <v>0</v>
      </c>
      <c r="FC258" s="417">
        <f>IFERROR(VLOOKUP(H258,CEI_062018!$A$1:$U$489,9,FALSE),0)</f>
        <v>0</v>
      </c>
      <c r="FD258" s="417">
        <f>IFERROR(VLOOKUP(H258,CEI_072018!$A$1:$U$489,9,FALSE),0)</f>
        <v>0</v>
      </c>
      <c r="FE258" s="417">
        <f>IFERROR(VLOOKUP(H258,CEI_082018!$A$1:$U$489,9,FALSE),0)</f>
        <v>0</v>
      </c>
      <c r="FF258" s="417">
        <f>IFERROR(VLOOKUP(H258,CEI_092018!$A$1:$U$489,9,FALSE),0)</f>
        <v>0</v>
      </c>
      <c r="FG258" s="417"/>
      <c r="FH258" s="417"/>
      <c r="FI258" s="417"/>
      <c r="FJ258" s="418">
        <f>IFERROR(VLOOKUP(H258,CEI_092018!$A$1:$U$489,12,FALSE),0)</f>
        <v>0</v>
      </c>
      <c r="FK258" s="418">
        <f t="shared" si="99"/>
        <v>0</v>
      </c>
      <c r="FL258" s="418">
        <f t="shared" si="100"/>
        <v>0</v>
      </c>
      <c r="FM258" s="417"/>
      <c r="FN258" s="417"/>
      <c r="FO258" s="417"/>
      <c r="FP258" s="417"/>
      <c r="FQ258" s="417"/>
      <c r="FR258" s="417"/>
      <c r="FS258" s="417"/>
      <c r="FT258" s="417"/>
      <c r="FU258" s="417"/>
      <c r="FV258" s="417"/>
      <c r="FW258" s="417"/>
      <c r="FX258" s="417"/>
      <c r="FY258" s="418"/>
      <c r="FZ258" s="418"/>
      <c r="GA258" s="418"/>
      <c r="GB258" s="417"/>
      <c r="GC258" s="417"/>
      <c r="GD258" s="417"/>
      <c r="GE258" s="417"/>
      <c r="GF258" s="417"/>
      <c r="GG258" s="417"/>
      <c r="GH258" s="417"/>
      <c r="GI258" s="417"/>
      <c r="GJ258" s="417"/>
      <c r="GK258" s="417"/>
      <c r="GL258" s="417"/>
      <c r="GM258" s="417"/>
      <c r="GN258" s="418"/>
      <c r="GO258" s="418"/>
      <c r="GP258" s="418"/>
      <c r="GQ258" s="417"/>
      <c r="GR258" s="417"/>
      <c r="GS258" s="417"/>
      <c r="GT258" s="417"/>
      <c r="GU258" s="417"/>
      <c r="GV258" s="417"/>
      <c r="GW258" s="417"/>
      <c r="GX258" s="417"/>
      <c r="GY258" s="417"/>
      <c r="GZ258" s="417"/>
      <c r="HA258" s="417"/>
      <c r="HB258" s="417"/>
      <c r="HC258" s="418"/>
      <c r="HD258" s="418"/>
      <c r="HE258" s="418"/>
      <c r="HF258" s="417"/>
      <c r="HG258" s="417"/>
      <c r="HH258" s="417"/>
      <c r="HI258" s="417"/>
      <c r="HJ258" s="417"/>
      <c r="HK258" s="417"/>
      <c r="HL258" s="417"/>
      <c r="HM258" s="417"/>
      <c r="HN258" s="417"/>
      <c r="HO258" s="417"/>
      <c r="HP258" s="417"/>
      <c r="HQ258" s="417"/>
      <c r="HR258" s="418"/>
      <c r="HS258" s="418"/>
      <c r="HT258" s="418"/>
    </row>
    <row r="259" spans="1:228" s="387" customFormat="1" ht="12.75" customHeight="1" x14ac:dyDescent="0.2">
      <c r="A259" s="406" t="s">
        <v>55</v>
      </c>
      <c r="B259" s="407" t="s">
        <v>42</v>
      </c>
      <c r="C259" s="406" t="s">
        <v>1000</v>
      </c>
      <c r="D259" s="407" t="s">
        <v>1004</v>
      </c>
      <c r="E259" s="407" t="s">
        <v>1586</v>
      </c>
      <c r="F259" s="407" t="s">
        <v>1761</v>
      </c>
      <c r="G259" s="406" t="s">
        <v>60</v>
      </c>
      <c r="H259" s="408" t="s">
        <v>1821</v>
      </c>
      <c r="I259" s="408" t="s">
        <v>1823</v>
      </c>
      <c r="J259" s="406" t="s">
        <v>491</v>
      </c>
      <c r="K259" s="406" t="s">
        <v>492</v>
      </c>
      <c r="L259" s="406" t="s">
        <v>493</v>
      </c>
      <c r="M259" s="406" t="s">
        <v>57</v>
      </c>
      <c r="N259" s="452">
        <v>0</v>
      </c>
      <c r="O259" s="452">
        <v>0</v>
      </c>
      <c r="P259" s="452">
        <v>0</v>
      </c>
      <c r="Q259" s="452">
        <v>0</v>
      </c>
      <c r="R259" s="452">
        <v>0</v>
      </c>
      <c r="S259" s="452">
        <v>0</v>
      </c>
      <c r="T259" s="452">
        <v>0</v>
      </c>
      <c r="U259" s="409">
        <v>0</v>
      </c>
      <c r="V259" s="409">
        <v>0</v>
      </c>
      <c r="W259" s="409">
        <v>0</v>
      </c>
      <c r="X259" s="409">
        <v>485</v>
      </c>
      <c r="Y259" s="409">
        <v>0</v>
      </c>
      <c r="Z259" s="453">
        <f t="shared" ref="Z259:Z315" si="108">SUM(N259:Y259)</f>
        <v>485</v>
      </c>
      <c r="AA259" s="452">
        <v>0</v>
      </c>
      <c r="AB259" s="452">
        <v>0</v>
      </c>
      <c r="AC259" s="452">
        <v>0</v>
      </c>
      <c r="AD259" s="452">
        <v>0</v>
      </c>
      <c r="AE259" s="452">
        <v>0</v>
      </c>
      <c r="AF259" s="452">
        <v>0</v>
      </c>
      <c r="AG259" s="452">
        <v>0</v>
      </c>
      <c r="AH259" s="409">
        <v>0</v>
      </c>
      <c r="AI259" s="409">
        <v>0</v>
      </c>
      <c r="AJ259" s="409">
        <v>0</v>
      </c>
      <c r="AK259" s="409">
        <v>0</v>
      </c>
      <c r="AL259" s="409">
        <v>0</v>
      </c>
      <c r="AM259" s="453">
        <f t="shared" si="103"/>
        <v>0</v>
      </c>
      <c r="AN259" s="452">
        <v>0</v>
      </c>
      <c r="AO259" s="452">
        <v>0</v>
      </c>
      <c r="AP259" s="452">
        <v>0</v>
      </c>
      <c r="AQ259" s="452">
        <v>0</v>
      </c>
      <c r="AR259" s="452">
        <v>0</v>
      </c>
      <c r="AS259" s="452">
        <v>0</v>
      </c>
      <c r="AT259" s="452">
        <v>0</v>
      </c>
      <c r="AU259" s="409">
        <v>0</v>
      </c>
      <c r="AV259" s="409">
        <v>0</v>
      </c>
      <c r="AW259" s="409">
        <v>0</v>
      </c>
      <c r="AX259" s="409">
        <v>0</v>
      </c>
      <c r="AY259" s="409">
        <v>0</v>
      </c>
      <c r="AZ259" s="453">
        <f t="shared" si="104"/>
        <v>0</v>
      </c>
      <c r="BA259" s="452">
        <v>0</v>
      </c>
      <c r="BB259" s="452">
        <v>0</v>
      </c>
      <c r="BC259" s="452">
        <v>0</v>
      </c>
      <c r="BD259" s="452">
        <v>0</v>
      </c>
      <c r="BE259" s="452">
        <v>0</v>
      </c>
      <c r="BF259" s="452">
        <v>0</v>
      </c>
      <c r="BG259" s="452">
        <v>0</v>
      </c>
      <c r="BH259" s="409">
        <v>0</v>
      </c>
      <c r="BI259" s="409">
        <v>0</v>
      </c>
      <c r="BJ259" s="409">
        <v>0</v>
      </c>
      <c r="BK259" s="409">
        <v>0</v>
      </c>
      <c r="BL259" s="409">
        <v>0</v>
      </c>
      <c r="BM259" s="453">
        <f t="shared" si="105"/>
        <v>0</v>
      </c>
      <c r="BN259" s="452">
        <v>0</v>
      </c>
      <c r="BO259" s="452">
        <v>0</v>
      </c>
      <c r="BP259" s="452">
        <v>0</v>
      </c>
      <c r="BQ259" s="452">
        <v>0</v>
      </c>
      <c r="BR259" s="452">
        <v>0</v>
      </c>
      <c r="BS259" s="452">
        <v>0</v>
      </c>
      <c r="BT259" s="452">
        <v>0</v>
      </c>
      <c r="BU259" s="409">
        <v>0</v>
      </c>
      <c r="BV259" s="409">
        <v>0</v>
      </c>
      <c r="BW259" s="409">
        <v>0</v>
      </c>
      <c r="BX259" s="409">
        <v>0</v>
      </c>
      <c r="BY259" s="409">
        <v>0</v>
      </c>
      <c r="BZ259" s="453">
        <f t="shared" si="106"/>
        <v>0</v>
      </c>
      <c r="CA259" s="454">
        <f t="shared" si="107"/>
        <v>485</v>
      </c>
      <c r="CB259" s="419"/>
      <c r="CC259" s="419">
        <v>1</v>
      </c>
      <c r="CD259" s="419">
        <v>1</v>
      </c>
      <c r="CE259" s="419">
        <v>1</v>
      </c>
      <c r="CF259" s="419">
        <v>1</v>
      </c>
      <c r="CG259" s="420">
        <f>IFERROR((FE259/Z259%),0)</f>
        <v>0</v>
      </c>
      <c r="CH259" s="421">
        <f>IFERROR((FK259/Z259%),0)</f>
        <v>100.00000000000001</v>
      </c>
      <c r="CI259" s="414" t="s">
        <v>1621</v>
      </c>
      <c r="CJ259" s="415">
        <v>0</v>
      </c>
      <c r="CK259" s="415">
        <v>0</v>
      </c>
      <c r="CL259" s="415">
        <v>0</v>
      </c>
      <c r="CM259" s="415">
        <v>0</v>
      </c>
      <c r="CN259" s="415">
        <v>0</v>
      </c>
      <c r="CO259" s="415">
        <v>0</v>
      </c>
      <c r="CP259" s="415">
        <v>0</v>
      </c>
      <c r="CQ259" s="415">
        <v>0</v>
      </c>
      <c r="CR259" s="415">
        <v>0</v>
      </c>
      <c r="CS259" s="415">
        <v>1</v>
      </c>
      <c r="CT259" s="415">
        <v>0</v>
      </c>
      <c r="CU259" s="415">
        <v>0</v>
      </c>
      <c r="CV259" s="410">
        <f t="shared" si="92"/>
        <v>1</v>
      </c>
      <c r="CW259" s="415">
        <v>0</v>
      </c>
      <c r="CX259" s="415">
        <v>0</v>
      </c>
      <c r="CY259" s="415">
        <v>0</v>
      </c>
      <c r="CZ259" s="415">
        <v>0</v>
      </c>
      <c r="DA259" s="415">
        <v>0</v>
      </c>
      <c r="DB259" s="415">
        <v>0</v>
      </c>
      <c r="DC259" s="415">
        <v>0</v>
      </c>
      <c r="DD259" s="415">
        <v>0</v>
      </c>
      <c r="DE259" s="415">
        <v>0</v>
      </c>
      <c r="DF259" s="415">
        <v>0</v>
      </c>
      <c r="DG259" s="415">
        <v>0</v>
      </c>
      <c r="DH259" s="415">
        <v>0</v>
      </c>
      <c r="DI259" s="410">
        <f t="shared" si="93"/>
        <v>0</v>
      </c>
      <c r="DJ259" s="415">
        <v>0</v>
      </c>
      <c r="DK259" s="415">
        <v>0</v>
      </c>
      <c r="DL259" s="415">
        <v>0</v>
      </c>
      <c r="DM259" s="415">
        <v>0</v>
      </c>
      <c r="DN259" s="415">
        <v>0</v>
      </c>
      <c r="DO259" s="415">
        <v>0</v>
      </c>
      <c r="DP259" s="415">
        <v>0</v>
      </c>
      <c r="DQ259" s="415">
        <v>0</v>
      </c>
      <c r="DR259" s="415">
        <v>0</v>
      </c>
      <c r="DS259" s="415">
        <v>0</v>
      </c>
      <c r="DT259" s="415">
        <v>0</v>
      </c>
      <c r="DU259" s="415">
        <v>0</v>
      </c>
      <c r="DV259" s="410">
        <f t="shared" si="94"/>
        <v>0</v>
      </c>
      <c r="DW259" s="415">
        <v>0</v>
      </c>
      <c r="DX259" s="415">
        <v>0</v>
      </c>
      <c r="DY259" s="415">
        <v>0</v>
      </c>
      <c r="DZ259" s="415">
        <v>0</v>
      </c>
      <c r="EA259" s="415">
        <v>0</v>
      </c>
      <c r="EB259" s="415">
        <v>0</v>
      </c>
      <c r="EC259" s="415">
        <v>0</v>
      </c>
      <c r="ED259" s="415">
        <v>0</v>
      </c>
      <c r="EE259" s="415">
        <v>0</v>
      </c>
      <c r="EF259" s="415">
        <v>0</v>
      </c>
      <c r="EG259" s="415">
        <v>0</v>
      </c>
      <c r="EH259" s="415">
        <v>0</v>
      </c>
      <c r="EI259" s="410">
        <f t="shared" si="95"/>
        <v>0</v>
      </c>
      <c r="EJ259" s="415">
        <v>0</v>
      </c>
      <c r="EK259" s="415">
        <v>0</v>
      </c>
      <c r="EL259" s="415">
        <v>0</v>
      </c>
      <c r="EM259" s="415">
        <v>0</v>
      </c>
      <c r="EN259" s="415">
        <v>0</v>
      </c>
      <c r="EO259" s="415">
        <v>0</v>
      </c>
      <c r="EP259" s="415">
        <v>0</v>
      </c>
      <c r="EQ259" s="415">
        <v>0</v>
      </c>
      <c r="ER259" s="415">
        <v>0</v>
      </c>
      <c r="ES259" s="415">
        <v>0</v>
      </c>
      <c r="ET259" s="415">
        <v>0</v>
      </c>
      <c r="EU259" s="415">
        <v>0</v>
      </c>
      <c r="EV259" s="410">
        <f t="shared" si="96"/>
        <v>0</v>
      </c>
      <c r="EW259" s="416">
        <f t="shared" si="97"/>
        <v>1</v>
      </c>
      <c r="EX259" s="417">
        <f>IFERROR(VLOOKUP(H259,CEI_012018!$A$1:$U$509,9,FALSE),0)</f>
        <v>0</v>
      </c>
      <c r="EY259" s="417">
        <f>IFERROR(VLOOKUP(H259,CEI_022018!$A$1:$U$509,9,FALSE),0)</f>
        <v>0</v>
      </c>
      <c r="EZ259" s="417">
        <f>IFERROR(VLOOKUP(H259,CEI_032018!$A$1:$U$509,9,FALSE),0)</f>
        <v>0</v>
      </c>
      <c r="FA259" s="417">
        <f>IFERROR(VLOOKUP(H259,CEI_042018!$A$1:$U$491,9,FALSE),0)</f>
        <v>0</v>
      </c>
      <c r="FB259" s="417">
        <f>IFERROR(VLOOKUP(H259,CEI_052018!$A$1:$U$489,9,FALSE),0)</f>
        <v>0</v>
      </c>
      <c r="FC259" s="417">
        <f>IFERROR(VLOOKUP(H259,CEI_062018!$A$1:$U$489,9,FALSE),0)</f>
        <v>0</v>
      </c>
      <c r="FD259" s="417">
        <f>IFERROR(VLOOKUP(H259,CEI_072018!$A$1:$U$489,9,FALSE),0)</f>
        <v>0</v>
      </c>
      <c r="FE259" s="417">
        <f>IFERROR(VLOOKUP(H259,CEI_082018!$A$1:$U$489,9,FALSE),0)</f>
        <v>0</v>
      </c>
      <c r="FF259" s="417">
        <f>IFERROR(VLOOKUP(H259,CEI_092018!$A$1:$U$489,9,FALSE),0)</f>
        <v>0</v>
      </c>
      <c r="FG259" s="417"/>
      <c r="FH259" s="417"/>
      <c r="FI259" s="417"/>
      <c r="FJ259" s="418">
        <f>IFERROR(VLOOKUP(H259,CEI_092018!$A$1:$U$489,12,FALSE),0)</f>
        <v>485</v>
      </c>
      <c r="FK259" s="418">
        <f t="shared" si="99"/>
        <v>485</v>
      </c>
      <c r="FL259" s="418">
        <f t="shared" si="100"/>
        <v>0</v>
      </c>
      <c r="FM259" s="417"/>
      <c r="FN259" s="417"/>
      <c r="FO259" s="417"/>
      <c r="FP259" s="417"/>
      <c r="FQ259" s="417"/>
      <c r="FR259" s="417"/>
      <c r="FS259" s="417"/>
      <c r="FT259" s="417"/>
      <c r="FU259" s="417"/>
      <c r="FV259" s="417"/>
      <c r="FW259" s="417"/>
      <c r="FX259" s="417"/>
      <c r="FY259" s="418"/>
      <c r="FZ259" s="418"/>
      <c r="GA259" s="418"/>
      <c r="GB259" s="417"/>
      <c r="GC259" s="417"/>
      <c r="GD259" s="417"/>
      <c r="GE259" s="417"/>
      <c r="GF259" s="417"/>
      <c r="GG259" s="417"/>
      <c r="GH259" s="417"/>
      <c r="GI259" s="417"/>
      <c r="GJ259" s="417"/>
      <c r="GK259" s="417"/>
      <c r="GL259" s="417"/>
      <c r="GM259" s="417"/>
      <c r="GN259" s="418"/>
      <c r="GO259" s="418"/>
      <c r="GP259" s="418"/>
      <c r="GQ259" s="417"/>
      <c r="GR259" s="417"/>
      <c r="GS259" s="417"/>
      <c r="GT259" s="417"/>
      <c r="GU259" s="417"/>
      <c r="GV259" s="417"/>
      <c r="GW259" s="417"/>
      <c r="GX259" s="417"/>
      <c r="GY259" s="417"/>
      <c r="GZ259" s="417"/>
      <c r="HA259" s="417"/>
      <c r="HB259" s="417"/>
      <c r="HC259" s="418"/>
      <c r="HD259" s="418"/>
      <c r="HE259" s="418"/>
      <c r="HF259" s="417"/>
      <c r="HG259" s="417"/>
      <c r="HH259" s="417"/>
      <c r="HI259" s="417"/>
      <c r="HJ259" s="417"/>
      <c r="HK259" s="417"/>
      <c r="HL259" s="417"/>
      <c r="HM259" s="417"/>
      <c r="HN259" s="417"/>
      <c r="HO259" s="417"/>
      <c r="HP259" s="417"/>
      <c r="HQ259" s="417"/>
      <c r="HR259" s="418"/>
      <c r="HS259" s="418"/>
      <c r="HT259" s="418"/>
    </row>
    <row r="260" spans="1:228" s="387" customFormat="1" ht="12.75" customHeight="1" x14ac:dyDescent="0.2">
      <c r="A260" s="406" t="s">
        <v>55</v>
      </c>
      <c r="B260" s="407" t="s">
        <v>42</v>
      </c>
      <c r="C260" s="406" t="s">
        <v>1000</v>
      </c>
      <c r="D260" s="407" t="s">
        <v>1004</v>
      </c>
      <c r="E260" s="407" t="s">
        <v>1000</v>
      </c>
      <c r="F260" s="407" t="s">
        <v>1004</v>
      </c>
      <c r="G260" s="406" t="s">
        <v>54</v>
      </c>
      <c r="H260" s="408" t="s">
        <v>1080</v>
      </c>
      <c r="I260" s="408" t="s">
        <v>1326</v>
      </c>
      <c r="J260" s="406" t="s">
        <v>952</v>
      </c>
      <c r="K260" s="406" t="s">
        <v>1081</v>
      </c>
      <c r="L260" s="406" t="s">
        <v>1082</v>
      </c>
      <c r="M260" s="406" t="s">
        <v>57</v>
      </c>
      <c r="N260" s="452">
        <v>0</v>
      </c>
      <c r="O260" s="452">
        <v>0</v>
      </c>
      <c r="P260" s="452">
        <v>813.67767333984375</v>
      </c>
      <c r="Q260" s="452">
        <v>0</v>
      </c>
      <c r="R260" s="452">
        <v>0</v>
      </c>
      <c r="S260" s="452">
        <v>0</v>
      </c>
      <c r="T260" s="452">
        <v>0</v>
      </c>
      <c r="U260" s="409">
        <v>86.322227478027344</v>
      </c>
      <c r="V260" s="409">
        <v>0</v>
      </c>
      <c r="W260" s="409">
        <v>0</v>
      </c>
      <c r="X260" s="409">
        <v>0</v>
      </c>
      <c r="Y260" s="409">
        <v>0</v>
      </c>
      <c r="Z260" s="453">
        <f t="shared" si="108"/>
        <v>899.99990081787109</v>
      </c>
      <c r="AA260" s="452">
        <v>0</v>
      </c>
      <c r="AB260" s="452">
        <v>0</v>
      </c>
      <c r="AC260" s="452">
        <v>0</v>
      </c>
      <c r="AD260" s="452">
        <v>0</v>
      </c>
      <c r="AE260" s="452">
        <v>0</v>
      </c>
      <c r="AF260" s="452">
        <v>0</v>
      </c>
      <c r="AG260" s="452">
        <v>0</v>
      </c>
      <c r="AH260" s="409">
        <v>0</v>
      </c>
      <c r="AI260" s="409">
        <v>0</v>
      </c>
      <c r="AJ260" s="409">
        <v>0</v>
      </c>
      <c r="AK260" s="409">
        <v>0</v>
      </c>
      <c r="AL260" s="409">
        <v>0</v>
      </c>
      <c r="AM260" s="453">
        <f t="shared" si="103"/>
        <v>0</v>
      </c>
      <c r="AN260" s="452">
        <v>0</v>
      </c>
      <c r="AO260" s="452">
        <v>0</v>
      </c>
      <c r="AP260" s="452">
        <v>0</v>
      </c>
      <c r="AQ260" s="452">
        <v>0</v>
      </c>
      <c r="AR260" s="452">
        <v>0</v>
      </c>
      <c r="AS260" s="452">
        <v>0</v>
      </c>
      <c r="AT260" s="452">
        <v>0</v>
      </c>
      <c r="AU260" s="409">
        <v>0</v>
      </c>
      <c r="AV260" s="409">
        <v>0</v>
      </c>
      <c r="AW260" s="409">
        <v>0</v>
      </c>
      <c r="AX260" s="409">
        <v>0</v>
      </c>
      <c r="AY260" s="409">
        <v>0</v>
      </c>
      <c r="AZ260" s="453">
        <f t="shared" si="104"/>
        <v>0</v>
      </c>
      <c r="BA260" s="452">
        <v>0</v>
      </c>
      <c r="BB260" s="452">
        <v>0</v>
      </c>
      <c r="BC260" s="452">
        <v>0</v>
      </c>
      <c r="BD260" s="452">
        <v>0</v>
      </c>
      <c r="BE260" s="452">
        <v>0</v>
      </c>
      <c r="BF260" s="452">
        <v>0</v>
      </c>
      <c r="BG260" s="452">
        <v>0</v>
      </c>
      <c r="BH260" s="409">
        <v>0</v>
      </c>
      <c r="BI260" s="409">
        <v>0</v>
      </c>
      <c r="BJ260" s="409">
        <v>0</v>
      </c>
      <c r="BK260" s="409">
        <v>0</v>
      </c>
      <c r="BL260" s="409">
        <v>0</v>
      </c>
      <c r="BM260" s="453">
        <f t="shared" si="105"/>
        <v>0</v>
      </c>
      <c r="BN260" s="452">
        <v>0</v>
      </c>
      <c r="BO260" s="452">
        <v>0</v>
      </c>
      <c r="BP260" s="452">
        <v>0</v>
      </c>
      <c r="BQ260" s="452">
        <v>0</v>
      </c>
      <c r="BR260" s="452">
        <v>0</v>
      </c>
      <c r="BS260" s="452">
        <v>0</v>
      </c>
      <c r="BT260" s="452">
        <v>0</v>
      </c>
      <c r="BU260" s="409">
        <v>0</v>
      </c>
      <c r="BV260" s="409">
        <v>0</v>
      </c>
      <c r="BW260" s="409">
        <v>0</v>
      </c>
      <c r="BX260" s="409">
        <v>0</v>
      </c>
      <c r="BY260" s="409">
        <v>0</v>
      </c>
      <c r="BZ260" s="453">
        <f t="shared" si="106"/>
        <v>0</v>
      </c>
      <c r="CA260" s="454">
        <f t="shared" si="107"/>
        <v>899.99990081787109</v>
      </c>
      <c r="CB260" s="419"/>
      <c r="CC260" s="419">
        <v>1</v>
      </c>
      <c r="CD260" s="419">
        <v>1</v>
      </c>
      <c r="CE260" s="419">
        <v>1</v>
      </c>
      <c r="CF260" s="419">
        <v>1</v>
      </c>
      <c r="CG260" s="420">
        <f>IFERROR((FE260/Z260%),0)</f>
        <v>99.999999999999986</v>
      </c>
      <c r="CH260" s="421">
        <f>IFERROR((FK260/Z260%),0)</f>
        <v>99.999999999999986</v>
      </c>
      <c r="CI260" s="414" t="s">
        <v>1621</v>
      </c>
      <c r="CJ260" s="415">
        <v>0</v>
      </c>
      <c r="CK260" s="415">
        <v>0</v>
      </c>
      <c r="CL260" s="415">
        <v>1</v>
      </c>
      <c r="CM260" s="415">
        <v>0</v>
      </c>
      <c r="CN260" s="415">
        <v>0</v>
      </c>
      <c r="CO260" s="415">
        <v>0</v>
      </c>
      <c r="CP260" s="415">
        <v>1</v>
      </c>
      <c r="CQ260" s="415">
        <v>0</v>
      </c>
      <c r="CR260" s="415">
        <v>0</v>
      </c>
      <c r="CS260" s="415">
        <v>0</v>
      </c>
      <c r="CT260" s="415">
        <v>0</v>
      </c>
      <c r="CU260" s="415">
        <v>0</v>
      </c>
      <c r="CV260" s="410">
        <f t="shared" si="92"/>
        <v>2</v>
      </c>
      <c r="CW260" s="415">
        <v>0</v>
      </c>
      <c r="CX260" s="415">
        <v>0</v>
      </c>
      <c r="CY260" s="415">
        <v>0</v>
      </c>
      <c r="CZ260" s="415">
        <v>0</v>
      </c>
      <c r="DA260" s="415">
        <v>0</v>
      </c>
      <c r="DB260" s="415">
        <v>0</v>
      </c>
      <c r="DC260" s="415">
        <v>0</v>
      </c>
      <c r="DD260" s="415">
        <v>0</v>
      </c>
      <c r="DE260" s="415">
        <v>0</v>
      </c>
      <c r="DF260" s="415">
        <v>0</v>
      </c>
      <c r="DG260" s="415">
        <v>0</v>
      </c>
      <c r="DH260" s="415">
        <v>0</v>
      </c>
      <c r="DI260" s="410">
        <f t="shared" si="93"/>
        <v>0</v>
      </c>
      <c r="DJ260" s="415">
        <v>0</v>
      </c>
      <c r="DK260" s="415">
        <v>0</v>
      </c>
      <c r="DL260" s="415">
        <v>0</v>
      </c>
      <c r="DM260" s="415">
        <v>0</v>
      </c>
      <c r="DN260" s="415">
        <v>0</v>
      </c>
      <c r="DO260" s="415">
        <v>0</v>
      </c>
      <c r="DP260" s="415">
        <v>0</v>
      </c>
      <c r="DQ260" s="415">
        <v>0</v>
      </c>
      <c r="DR260" s="415">
        <v>0</v>
      </c>
      <c r="DS260" s="415">
        <v>0</v>
      </c>
      <c r="DT260" s="415">
        <v>0</v>
      </c>
      <c r="DU260" s="415">
        <v>0</v>
      </c>
      <c r="DV260" s="410">
        <f t="shared" si="94"/>
        <v>0</v>
      </c>
      <c r="DW260" s="415">
        <v>0</v>
      </c>
      <c r="DX260" s="415">
        <v>0</v>
      </c>
      <c r="DY260" s="415">
        <v>0</v>
      </c>
      <c r="DZ260" s="415">
        <v>0</v>
      </c>
      <c r="EA260" s="415">
        <v>0</v>
      </c>
      <c r="EB260" s="415">
        <v>0</v>
      </c>
      <c r="EC260" s="415">
        <v>0</v>
      </c>
      <c r="ED260" s="415">
        <v>0</v>
      </c>
      <c r="EE260" s="415">
        <v>0</v>
      </c>
      <c r="EF260" s="415">
        <v>0</v>
      </c>
      <c r="EG260" s="415">
        <v>0</v>
      </c>
      <c r="EH260" s="415">
        <v>0</v>
      </c>
      <c r="EI260" s="410">
        <f t="shared" si="95"/>
        <v>0</v>
      </c>
      <c r="EJ260" s="415">
        <v>0</v>
      </c>
      <c r="EK260" s="415">
        <v>0</v>
      </c>
      <c r="EL260" s="415">
        <v>0</v>
      </c>
      <c r="EM260" s="415">
        <v>0</v>
      </c>
      <c r="EN260" s="415">
        <v>0</v>
      </c>
      <c r="EO260" s="415">
        <v>0</v>
      </c>
      <c r="EP260" s="415">
        <v>0</v>
      </c>
      <c r="EQ260" s="415">
        <v>0</v>
      </c>
      <c r="ER260" s="415">
        <v>0</v>
      </c>
      <c r="ES260" s="415">
        <v>0</v>
      </c>
      <c r="ET260" s="415">
        <v>0</v>
      </c>
      <c r="EU260" s="415">
        <v>0</v>
      </c>
      <c r="EV260" s="410">
        <f t="shared" si="96"/>
        <v>0</v>
      </c>
      <c r="EW260" s="416">
        <f t="shared" si="97"/>
        <v>2</v>
      </c>
      <c r="EX260" s="417">
        <f>IFERROR(VLOOKUP(H260,CEI_012018!$A$1:$U$509,9,FALSE),0)</f>
        <v>0</v>
      </c>
      <c r="EY260" s="417">
        <f>IFERROR(VLOOKUP(H260,CEI_022018!$A$1:$U$509,9,FALSE),0)</f>
        <v>0</v>
      </c>
      <c r="EZ260" s="417">
        <f>IFERROR(VLOOKUP(H260,CEI_032018!$A$1:$U$509,9,FALSE),0)</f>
        <v>813.67767333984375</v>
      </c>
      <c r="FA260" s="417">
        <f>IFERROR(VLOOKUP(H260,CEI_042018!$A$1:$U$491,9,FALSE),0)</f>
        <v>813.67767333984375</v>
      </c>
      <c r="FB260" s="417">
        <f>IFERROR(VLOOKUP(H260,CEI_052018!$A$1:$U$489,9,FALSE),0)</f>
        <v>813.67767333984375</v>
      </c>
      <c r="FC260" s="417">
        <f>IFERROR(VLOOKUP(H260,CEI_062018!$A$1:$U$489,9,FALSE),0)</f>
        <v>813.67767333984375</v>
      </c>
      <c r="FD260" s="417">
        <f>IFERROR(VLOOKUP(H260,CEI_072018!$A$1:$U$489,9,FALSE),0)</f>
        <v>813.67767333984375</v>
      </c>
      <c r="FE260" s="417">
        <f>IFERROR(VLOOKUP(H260,CEI_082018!$A$1:$U$489,9,FALSE),0)</f>
        <v>899.99990081787109</v>
      </c>
      <c r="FF260" s="417">
        <f>IFERROR(VLOOKUP(H260,CEI_092018!$A$1:$U$489,9,FALSE),0)</f>
        <v>899.99990081787109</v>
      </c>
      <c r="FG260" s="417"/>
      <c r="FH260" s="417"/>
      <c r="FI260" s="417"/>
      <c r="FJ260" s="418">
        <f>IFERROR(VLOOKUP(H260,CEI_092018!$A$1:$U$489,12,FALSE),0)</f>
        <v>0</v>
      </c>
      <c r="FK260" s="418">
        <f t="shared" si="99"/>
        <v>899.99990081787109</v>
      </c>
      <c r="FL260" s="418">
        <f t="shared" si="100"/>
        <v>0</v>
      </c>
      <c r="FM260" s="417"/>
      <c r="FN260" s="417"/>
      <c r="FO260" s="417"/>
      <c r="FP260" s="417"/>
      <c r="FQ260" s="417"/>
      <c r="FR260" s="417"/>
      <c r="FS260" s="417"/>
      <c r="FT260" s="417"/>
      <c r="FU260" s="417"/>
      <c r="FV260" s="417"/>
      <c r="FW260" s="417"/>
      <c r="FX260" s="417"/>
      <c r="FY260" s="418"/>
      <c r="FZ260" s="418"/>
      <c r="GA260" s="418"/>
      <c r="GB260" s="417"/>
      <c r="GC260" s="417"/>
      <c r="GD260" s="417"/>
      <c r="GE260" s="417"/>
      <c r="GF260" s="417"/>
      <c r="GG260" s="417"/>
      <c r="GH260" s="417"/>
      <c r="GI260" s="417"/>
      <c r="GJ260" s="417"/>
      <c r="GK260" s="417"/>
      <c r="GL260" s="417"/>
      <c r="GM260" s="417"/>
      <c r="GN260" s="418"/>
      <c r="GO260" s="418"/>
      <c r="GP260" s="418"/>
      <c r="GQ260" s="417"/>
      <c r="GR260" s="417"/>
      <c r="GS260" s="417"/>
      <c r="GT260" s="417"/>
      <c r="GU260" s="417"/>
      <c r="GV260" s="417"/>
      <c r="GW260" s="417"/>
      <c r="GX260" s="417"/>
      <c r="GY260" s="417"/>
      <c r="GZ260" s="417"/>
      <c r="HA260" s="417"/>
      <c r="HB260" s="417"/>
      <c r="HC260" s="418"/>
      <c r="HD260" s="418"/>
      <c r="HE260" s="418"/>
      <c r="HF260" s="417"/>
      <c r="HG260" s="417"/>
      <c r="HH260" s="417"/>
      <c r="HI260" s="417"/>
      <c r="HJ260" s="417"/>
      <c r="HK260" s="417"/>
      <c r="HL260" s="417"/>
      <c r="HM260" s="417"/>
      <c r="HN260" s="417"/>
      <c r="HO260" s="417"/>
      <c r="HP260" s="417"/>
      <c r="HQ260" s="417"/>
      <c r="HR260" s="418"/>
      <c r="HS260" s="418"/>
      <c r="HT260" s="418"/>
    </row>
    <row r="261" spans="1:228" s="387" customFormat="1" ht="12.75" customHeight="1" x14ac:dyDescent="0.2">
      <c r="A261" s="406" t="s">
        <v>55</v>
      </c>
      <c r="B261" s="407" t="s">
        <v>42</v>
      </c>
      <c r="C261" s="406" t="s">
        <v>1000</v>
      </c>
      <c r="D261" s="407" t="s">
        <v>1004</v>
      </c>
      <c r="E261" s="407" t="s">
        <v>1000</v>
      </c>
      <c r="F261" s="407" t="s">
        <v>1004</v>
      </c>
      <c r="G261" s="406" t="s">
        <v>54</v>
      </c>
      <c r="H261" s="408" t="s">
        <v>520</v>
      </c>
      <c r="I261" s="408" t="s">
        <v>57</v>
      </c>
      <c r="J261" s="406" t="s">
        <v>1078</v>
      </c>
      <c r="K261" s="406" t="s">
        <v>395</v>
      </c>
      <c r="L261" s="406" t="s">
        <v>742</v>
      </c>
      <c r="M261" s="406" t="s">
        <v>1778</v>
      </c>
      <c r="N261" s="452">
        <v>0</v>
      </c>
      <c r="O261" s="452">
        <v>0</v>
      </c>
      <c r="P261" s="452">
        <v>0</v>
      </c>
      <c r="Q261" s="452">
        <v>0</v>
      </c>
      <c r="R261" s="452">
        <v>0</v>
      </c>
      <c r="S261" s="452">
        <v>0</v>
      </c>
      <c r="T261" s="452">
        <v>0</v>
      </c>
      <c r="U261" s="409">
        <v>0</v>
      </c>
      <c r="V261" s="409">
        <v>0</v>
      </c>
      <c r="W261" s="409">
        <v>0</v>
      </c>
      <c r="X261" s="409">
        <v>0</v>
      </c>
      <c r="Y261" s="409">
        <v>0</v>
      </c>
      <c r="Z261" s="453">
        <f t="shared" si="108"/>
        <v>0</v>
      </c>
      <c r="AA261" s="452">
        <v>0</v>
      </c>
      <c r="AB261" s="452">
        <v>0</v>
      </c>
      <c r="AC261" s="452">
        <v>0</v>
      </c>
      <c r="AD261" s="452">
        <v>0</v>
      </c>
      <c r="AE261" s="452">
        <v>0</v>
      </c>
      <c r="AF261" s="452">
        <v>0</v>
      </c>
      <c r="AG261" s="452">
        <v>0</v>
      </c>
      <c r="AH261" s="409">
        <v>0</v>
      </c>
      <c r="AI261" s="409">
        <v>0</v>
      </c>
      <c r="AJ261" s="409">
        <v>0</v>
      </c>
      <c r="AK261" s="409">
        <v>0</v>
      </c>
      <c r="AL261" s="409">
        <v>0</v>
      </c>
      <c r="AM261" s="453">
        <f t="shared" si="103"/>
        <v>0</v>
      </c>
      <c r="AN261" s="452">
        <v>0</v>
      </c>
      <c r="AO261" s="452">
        <v>40</v>
      </c>
      <c r="AP261" s="452">
        <v>0</v>
      </c>
      <c r="AQ261" s="452">
        <v>40</v>
      </c>
      <c r="AR261" s="452">
        <v>20</v>
      </c>
      <c r="AS261" s="452">
        <v>40</v>
      </c>
      <c r="AT261" s="452">
        <v>0</v>
      </c>
      <c r="AU261" s="409">
        <v>20</v>
      </c>
      <c r="AV261" s="409">
        <v>20</v>
      </c>
      <c r="AW261" s="409">
        <v>40</v>
      </c>
      <c r="AX261" s="409">
        <v>40</v>
      </c>
      <c r="AY261" s="409">
        <v>40</v>
      </c>
      <c r="AZ261" s="453">
        <f t="shared" si="104"/>
        <v>300</v>
      </c>
      <c r="BA261" s="452">
        <v>0</v>
      </c>
      <c r="BB261" s="452">
        <v>0</v>
      </c>
      <c r="BC261" s="452">
        <v>0</v>
      </c>
      <c r="BD261" s="452">
        <v>35</v>
      </c>
      <c r="BE261" s="452">
        <v>35</v>
      </c>
      <c r="BF261" s="452">
        <v>70</v>
      </c>
      <c r="BG261" s="452">
        <v>30</v>
      </c>
      <c r="BH261" s="409">
        <v>30</v>
      </c>
      <c r="BI261" s="409">
        <v>40</v>
      </c>
      <c r="BJ261" s="409">
        <v>60</v>
      </c>
      <c r="BK261" s="409">
        <v>60</v>
      </c>
      <c r="BL261" s="409">
        <v>80</v>
      </c>
      <c r="BM261" s="453">
        <f t="shared" si="105"/>
        <v>440</v>
      </c>
      <c r="BN261" s="452">
        <v>35</v>
      </c>
      <c r="BO261" s="452">
        <v>35</v>
      </c>
      <c r="BP261" s="452">
        <v>35</v>
      </c>
      <c r="BQ261" s="452">
        <v>35</v>
      </c>
      <c r="BR261" s="452">
        <v>20</v>
      </c>
      <c r="BS261" s="452">
        <v>30</v>
      </c>
      <c r="BT261" s="452">
        <v>30</v>
      </c>
      <c r="BU261" s="409">
        <v>30</v>
      </c>
      <c r="BV261" s="409">
        <v>40</v>
      </c>
      <c r="BW261" s="409">
        <v>50</v>
      </c>
      <c r="BX261" s="409">
        <v>50</v>
      </c>
      <c r="BY261" s="409">
        <v>50</v>
      </c>
      <c r="BZ261" s="453">
        <f t="shared" si="106"/>
        <v>440</v>
      </c>
      <c r="CA261" s="454">
        <f t="shared" si="107"/>
        <v>1180</v>
      </c>
      <c r="CB261" s="411"/>
      <c r="CC261" s="411"/>
      <c r="CD261" s="411"/>
      <c r="CE261" s="411"/>
      <c r="CF261" s="411"/>
      <c r="CG261" s="412"/>
      <c r="CH261" s="413"/>
      <c r="CI261" s="414" t="s">
        <v>1622</v>
      </c>
      <c r="CJ261" s="415">
        <v>0</v>
      </c>
      <c r="CK261" s="415">
        <v>0</v>
      </c>
      <c r="CL261" s="415">
        <v>0</v>
      </c>
      <c r="CM261" s="415">
        <v>0</v>
      </c>
      <c r="CN261" s="415">
        <v>0</v>
      </c>
      <c r="CO261" s="415">
        <v>0</v>
      </c>
      <c r="CP261" s="415">
        <v>0</v>
      </c>
      <c r="CQ261" s="415">
        <v>0</v>
      </c>
      <c r="CR261" s="415">
        <v>0</v>
      </c>
      <c r="CS261" s="415">
        <v>0</v>
      </c>
      <c r="CT261" s="415">
        <v>0</v>
      </c>
      <c r="CU261" s="415">
        <v>0</v>
      </c>
      <c r="CV261" s="410">
        <f t="shared" si="92"/>
        <v>0</v>
      </c>
      <c r="CW261" s="415">
        <v>0</v>
      </c>
      <c r="CX261" s="415">
        <v>0</v>
      </c>
      <c r="CY261" s="415">
        <v>0</v>
      </c>
      <c r="CZ261" s="415">
        <v>0</v>
      </c>
      <c r="DA261" s="415">
        <v>0</v>
      </c>
      <c r="DB261" s="415">
        <v>0</v>
      </c>
      <c r="DC261" s="415">
        <v>0</v>
      </c>
      <c r="DD261" s="415">
        <v>0</v>
      </c>
      <c r="DE261" s="415">
        <v>0</v>
      </c>
      <c r="DF261" s="415">
        <v>0</v>
      </c>
      <c r="DG261" s="415">
        <v>0</v>
      </c>
      <c r="DH261" s="415">
        <v>0</v>
      </c>
      <c r="DI261" s="410">
        <f t="shared" si="93"/>
        <v>0</v>
      </c>
      <c r="DJ261" s="415">
        <v>0</v>
      </c>
      <c r="DK261" s="415">
        <v>80</v>
      </c>
      <c r="DL261" s="415">
        <v>0</v>
      </c>
      <c r="DM261" s="415">
        <v>80</v>
      </c>
      <c r="DN261" s="415">
        <v>40</v>
      </c>
      <c r="DO261" s="415">
        <v>80</v>
      </c>
      <c r="DP261" s="415">
        <v>0</v>
      </c>
      <c r="DQ261" s="415">
        <v>40</v>
      </c>
      <c r="DR261" s="415">
        <v>40</v>
      </c>
      <c r="DS261" s="415">
        <v>80</v>
      </c>
      <c r="DT261" s="415">
        <v>80</v>
      </c>
      <c r="DU261" s="415">
        <v>80</v>
      </c>
      <c r="DV261" s="410">
        <f t="shared" si="94"/>
        <v>600</v>
      </c>
      <c r="DW261" s="415">
        <v>0</v>
      </c>
      <c r="DX261" s="415">
        <v>0</v>
      </c>
      <c r="DY261" s="415">
        <v>0</v>
      </c>
      <c r="DZ261" s="415">
        <v>0</v>
      </c>
      <c r="EA261" s="415">
        <v>0</v>
      </c>
      <c r="EB261" s="415">
        <v>0</v>
      </c>
      <c r="EC261" s="415">
        <v>60</v>
      </c>
      <c r="ED261" s="415">
        <v>60</v>
      </c>
      <c r="EE261" s="415">
        <v>80</v>
      </c>
      <c r="EF261" s="415">
        <v>120</v>
      </c>
      <c r="EG261" s="415">
        <v>120</v>
      </c>
      <c r="EH261" s="415">
        <v>160</v>
      </c>
      <c r="EI261" s="410">
        <f t="shared" si="95"/>
        <v>600</v>
      </c>
      <c r="EJ261" s="415">
        <v>0</v>
      </c>
      <c r="EK261" s="415">
        <v>0</v>
      </c>
      <c r="EL261" s="415">
        <v>0</v>
      </c>
      <c r="EM261" s="415">
        <v>0</v>
      </c>
      <c r="EN261" s="415">
        <v>40</v>
      </c>
      <c r="EO261" s="415">
        <v>60</v>
      </c>
      <c r="EP261" s="415">
        <v>60</v>
      </c>
      <c r="EQ261" s="415">
        <v>60</v>
      </c>
      <c r="ER261" s="415">
        <v>80</v>
      </c>
      <c r="ES261" s="415">
        <v>100</v>
      </c>
      <c r="ET261" s="415">
        <v>100</v>
      </c>
      <c r="EU261" s="415">
        <v>100</v>
      </c>
      <c r="EV261" s="410">
        <f t="shared" si="96"/>
        <v>600</v>
      </c>
      <c r="EW261" s="416">
        <f t="shared" si="97"/>
        <v>1800</v>
      </c>
      <c r="EX261" s="417">
        <f>IFERROR(VLOOKUP(H261,CEI_012018!$A$1:$U$509,9,FALSE),0)</f>
        <v>0</v>
      </c>
      <c r="EY261" s="417">
        <f>IFERROR(VLOOKUP(H261,CEI_022018!$A$1:$U$509,9,FALSE),0)</f>
        <v>0</v>
      </c>
      <c r="EZ261" s="417">
        <f>IFERROR(VLOOKUP(H261,CEI_032018!$A$1:$U$509,9,FALSE),0)</f>
        <v>0</v>
      </c>
      <c r="FA261" s="417">
        <f>IFERROR(VLOOKUP(H261,CEI_042018!$A$1:$U$491,9,FALSE),0)</f>
        <v>0</v>
      </c>
      <c r="FB261" s="417">
        <f>IFERROR(VLOOKUP(H261,CEI_052018!$A$1:$U$489,9,FALSE),0)</f>
        <v>0</v>
      </c>
      <c r="FC261" s="417">
        <f>IFERROR(VLOOKUP(H261,CEI_062018!$A$1:$U$489,9,FALSE),0)</f>
        <v>0</v>
      </c>
      <c r="FD261" s="417">
        <f>IFERROR(VLOOKUP(H261,CEI_072018!$A$1:$U$489,9,FALSE),0)</f>
        <v>0</v>
      </c>
      <c r="FE261" s="417">
        <f>IFERROR(VLOOKUP(H261,CEI_082018!$A$1:$U$489,9,FALSE),0)</f>
        <v>0</v>
      </c>
      <c r="FF261" s="417">
        <f>IFERROR(VLOOKUP(H261,CEI_092018!$A$1:$U$489,9,FALSE),0)</f>
        <v>0</v>
      </c>
      <c r="FG261" s="417"/>
      <c r="FH261" s="417"/>
      <c r="FI261" s="417"/>
      <c r="FJ261" s="418">
        <f>IFERROR(VLOOKUP(H261,CEI_092018!$A$1:$U$489,12,FALSE),0)</f>
        <v>0</v>
      </c>
      <c r="FK261" s="418">
        <f t="shared" si="99"/>
        <v>0</v>
      </c>
      <c r="FL261" s="418">
        <f t="shared" si="100"/>
        <v>0</v>
      </c>
      <c r="FM261" s="417"/>
      <c r="FN261" s="417"/>
      <c r="FO261" s="417"/>
      <c r="FP261" s="417"/>
      <c r="FQ261" s="417"/>
      <c r="FR261" s="417"/>
      <c r="FS261" s="417"/>
      <c r="FT261" s="417"/>
      <c r="FU261" s="417"/>
      <c r="FV261" s="417"/>
      <c r="FW261" s="417"/>
      <c r="FX261" s="417"/>
      <c r="FY261" s="418"/>
      <c r="FZ261" s="418"/>
      <c r="GA261" s="418"/>
      <c r="GB261" s="417"/>
      <c r="GC261" s="417"/>
      <c r="GD261" s="417"/>
      <c r="GE261" s="417"/>
      <c r="GF261" s="417"/>
      <c r="GG261" s="417"/>
      <c r="GH261" s="417"/>
      <c r="GI261" s="417"/>
      <c r="GJ261" s="417"/>
      <c r="GK261" s="417"/>
      <c r="GL261" s="417"/>
      <c r="GM261" s="417"/>
      <c r="GN261" s="418"/>
      <c r="GO261" s="418"/>
      <c r="GP261" s="418"/>
      <c r="GQ261" s="417"/>
      <c r="GR261" s="417"/>
      <c r="GS261" s="417"/>
      <c r="GT261" s="417"/>
      <c r="GU261" s="417"/>
      <c r="GV261" s="417"/>
      <c r="GW261" s="417"/>
      <c r="GX261" s="417"/>
      <c r="GY261" s="417"/>
      <c r="GZ261" s="417"/>
      <c r="HA261" s="417"/>
      <c r="HB261" s="417"/>
      <c r="HC261" s="418"/>
      <c r="HD261" s="418"/>
      <c r="HE261" s="418"/>
      <c r="HF261" s="417"/>
      <c r="HG261" s="417"/>
      <c r="HH261" s="417"/>
      <c r="HI261" s="417"/>
      <c r="HJ261" s="417"/>
      <c r="HK261" s="417"/>
      <c r="HL261" s="417"/>
      <c r="HM261" s="417"/>
      <c r="HN261" s="417"/>
      <c r="HO261" s="417"/>
      <c r="HP261" s="417"/>
      <c r="HQ261" s="417"/>
      <c r="HR261" s="418"/>
      <c r="HS261" s="418"/>
      <c r="HT261" s="418"/>
    </row>
    <row r="262" spans="1:228" s="387" customFormat="1" ht="12.75" customHeight="1" x14ac:dyDescent="0.2">
      <c r="A262" s="406" t="s">
        <v>55</v>
      </c>
      <c r="B262" s="407" t="s">
        <v>42</v>
      </c>
      <c r="C262" s="406" t="s">
        <v>1000</v>
      </c>
      <c r="D262" s="407" t="s">
        <v>1004</v>
      </c>
      <c r="E262" s="407" t="s">
        <v>1000</v>
      </c>
      <c r="F262" s="407" t="s">
        <v>1004</v>
      </c>
      <c r="G262" s="406" t="s">
        <v>54</v>
      </c>
      <c r="H262" s="408" t="s">
        <v>520</v>
      </c>
      <c r="I262" s="408" t="s">
        <v>57</v>
      </c>
      <c r="J262" s="406" t="s">
        <v>1074</v>
      </c>
      <c r="K262" s="406" t="s">
        <v>396</v>
      </c>
      <c r="L262" s="406" t="s">
        <v>397</v>
      </c>
      <c r="M262" s="406" t="s">
        <v>1770</v>
      </c>
      <c r="N262" s="452">
        <v>0</v>
      </c>
      <c r="O262" s="452">
        <v>0</v>
      </c>
      <c r="P262" s="452">
        <v>0</v>
      </c>
      <c r="Q262" s="452">
        <v>0</v>
      </c>
      <c r="R262" s="452">
        <v>0</v>
      </c>
      <c r="S262" s="452">
        <v>0</v>
      </c>
      <c r="T262" s="452">
        <v>0</v>
      </c>
      <c r="U262" s="409">
        <v>0</v>
      </c>
      <c r="V262" s="409">
        <v>0</v>
      </c>
      <c r="W262" s="409">
        <v>0</v>
      </c>
      <c r="X262" s="409">
        <v>50</v>
      </c>
      <c r="Y262" s="409">
        <v>114</v>
      </c>
      <c r="Z262" s="453">
        <f t="shared" si="108"/>
        <v>164</v>
      </c>
      <c r="AA262" s="452">
        <v>0</v>
      </c>
      <c r="AB262" s="452">
        <v>0</v>
      </c>
      <c r="AC262" s="452">
        <v>0</v>
      </c>
      <c r="AD262" s="452">
        <v>0</v>
      </c>
      <c r="AE262" s="452">
        <v>50</v>
      </c>
      <c r="AF262" s="452">
        <v>50</v>
      </c>
      <c r="AG262" s="452">
        <v>30</v>
      </c>
      <c r="AH262" s="409">
        <v>30</v>
      </c>
      <c r="AI262" s="409">
        <v>50</v>
      </c>
      <c r="AJ262" s="409">
        <v>76</v>
      </c>
      <c r="AK262" s="409">
        <v>50</v>
      </c>
      <c r="AL262" s="409">
        <v>84</v>
      </c>
      <c r="AM262" s="453">
        <f t="shared" si="103"/>
        <v>420</v>
      </c>
      <c r="AN262" s="452">
        <v>50</v>
      </c>
      <c r="AO262" s="452">
        <v>50</v>
      </c>
      <c r="AP262" s="452">
        <v>50</v>
      </c>
      <c r="AQ262" s="452">
        <v>50</v>
      </c>
      <c r="AR262" s="452">
        <v>100</v>
      </c>
      <c r="AS262" s="452">
        <v>100</v>
      </c>
      <c r="AT262" s="452">
        <v>88</v>
      </c>
      <c r="AU262" s="409">
        <v>100</v>
      </c>
      <c r="AV262" s="409">
        <v>100</v>
      </c>
      <c r="AW262" s="409">
        <v>0</v>
      </c>
      <c r="AX262" s="409">
        <v>0</v>
      </c>
      <c r="AY262" s="409">
        <v>0</v>
      </c>
      <c r="AZ262" s="453">
        <f t="shared" si="104"/>
        <v>688</v>
      </c>
      <c r="BA262" s="452">
        <v>50</v>
      </c>
      <c r="BB262" s="452">
        <v>50</v>
      </c>
      <c r="BC262" s="452">
        <v>50</v>
      </c>
      <c r="BD262" s="452">
        <v>50</v>
      </c>
      <c r="BE262" s="452">
        <v>100</v>
      </c>
      <c r="BF262" s="452">
        <v>100</v>
      </c>
      <c r="BG262" s="452">
        <v>50</v>
      </c>
      <c r="BH262" s="409">
        <v>100</v>
      </c>
      <c r="BI262" s="409">
        <v>100</v>
      </c>
      <c r="BJ262" s="409">
        <v>100</v>
      </c>
      <c r="BK262" s="409">
        <v>100</v>
      </c>
      <c r="BL262" s="409">
        <v>100</v>
      </c>
      <c r="BM262" s="453">
        <f t="shared" si="105"/>
        <v>950</v>
      </c>
      <c r="BN262" s="452">
        <v>0</v>
      </c>
      <c r="BO262" s="452">
        <v>50</v>
      </c>
      <c r="BP262" s="452">
        <v>0</v>
      </c>
      <c r="BQ262" s="452">
        <v>100</v>
      </c>
      <c r="BR262" s="452">
        <v>100</v>
      </c>
      <c r="BS262" s="452">
        <v>100</v>
      </c>
      <c r="BT262" s="452">
        <v>50</v>
      </c>
      <c r="BU262" s="409">
        <v>100</v>
      </c>
      <c r="BV262" s="409">
        <v>100</v>
      </c>
      <c r="BW262" s="409">
        <v>100</v>
      </c>
      <c r="BX262" s="409">
        <v>100</v>
      </c>
      <c r="BY262" s="409">
        <v>100</v>
      </c>
      <c r="BZ262" s="453">
        <f t="shared" si="106"/>
        <v>900</v>
      </c>
      <c r="CA262" s="454">
        <f t="shared" si="107"/>
        <v>3122</v>
      </c>
      <c r="CB262" s="419"/>
      <c r="CC262" s="419">
        <v>-1</v>
      </c>
      <c r="CD262" s="419">
        <v>-1</v>
      </c>
      <c r="CE262" s="419">
        <v>-1</v>
      </c>
      <c r="CF262" s="419">
        <v>-1</v>
      </c>
      <c r="CG262" s="420">
        <f t="shared" ref="CG262:CG267" si="109">IFERROR((FE262/Z262%),0)</f>
        <v>0</v>
      </c>
      <c r="CH262" s="421">
        <f t="shared" ref="CH262:CH267" si="110">IFERROR((FK262/Z262%),0)</f>
        <v>0</v>
      </c>
      <c r="CI262" s="414" t="s">
        <v>1622</v>
      </c>
      <c r="CJ262" s="415">
        <v>0</v>
      </c>
      <c r="CK262" s="415">
        <v>0</v>
      </c>
      <c r="CL262" s="415">
        <v>0</v>
      </c>
      <c r="CM262" s="415">
        <v>0</v>
      </c>
      <c r="CN262" s="415">
        <v>0</v>
      </c>
      <c r="CO262" s="415">
        <v>0</v>
      </c>
      <c r="CP262" s="415">
        <v>0</v>
      </c>
      <c r="CQ262" s="415">
        <v>0</v>
      </c>
      <c r="CR262" s="415">
        <v>142.85714285714286</v>
      </c>
      <c r="CS262" s="415">
        <v>142.85714285714286</v>
      </c>
      <c r="CT262" s="415">
        <v>157.14285714285714</v>
      </c>
      <c r="CU262" s="415">
        <v>285.71428571428572</v>
      </c>
      <c r="CV262" s="410">
        <f t="shared" si="92"/>
        <v>728.57142857142867</v>
      </c>
      <c r="CW262" s="415">
        <v>0</v>
      </c>
      <c r="CX262" s="415">
        <v>71.428571428571431</v>
      </c>
      <c r="CY262" s="415">
        <v>71.428571428571431</v>
      </c>
      <c r="CZ262" s="415">
        <v>114.28571428571429</v>
      </c>
      <c r="DA262" s="415">
        <v>142.85714285714286</v>
      </c>
      <c r="DB262" s="415">
        <v>142.85714285714286</v>
      </c>
      <c r="DC262" s="415">
        <v>85.714285714285722</v>
      </c>
      <c r="DD262" s="415">
        <v>85.714285714285722</v>
      </c>
      <c r="DE262" s="415">
        <v>142.85714285714286</v>
      </c>
      <c r="DF262" s="415">
        <v>142.85714285714286</v>
      </c>
      <c r="DG262" s="415">
        <v>142.85714285714286</v>
      </c>
      <c r="DH262" s="415">
        <v>285.71428571428572</v>
      </c>
      <c r="DI262" s="410">
        <f t="shared" si="93"/>
        <v>1428.5714285714289</v>
      </c>
      <c r="DJ262" s="415">
        <v>142.85714285714286</v>
      </c>
      <c r="DK262" s="415">
        <v>142.85714285714286</v>
      </c>
      <c r="DL262" s="415">
        <v>151.42857142857144</v>
      </c>
      <c r="DM262" s="415">
        <v>285.71428571428572</v>
      </c>
      <c r="DN262" s="415">
        <v>285.71428571428572</v>
      </c>
      <c r="DO262" s="415">
        <v>285.71428571428572</v>
      </c>
      <c r="DP262" s="415">
        <v>142.85714285714286</v>
      </c>
      <c r="DQ262" s="415">
        <v>285.71428571428572</v>
      </c>
      <c r="DR262" s="415">
        <v>285.71428571428572</v>
      </c>
      <c r="DS262" s="415">
        <v>0</v>
      </c>
      <c r="DT262" s="415">
        <v>0</v>
      </c>
      <c r="DU262" s="415">
        <v>0</v>
      </c>
      <c r="DV262" s="410">
        <f t="shared" si="94"/>
        <v>2008.5714285714289</v>
      </c>
      <c r="DW262" s="415">
        <v>142.85714285714286</v>
      </c>
      <c r="DX262" s="415">
        <v>142.85714285714286</v>
      </c>
      <c r="DY262" s="415">
        <v>142.85714285714286</v>
      </c>
      <c r="DZ262" s="415">
        <v>142.85714285714286</v>
      </c>
      <c r="EA262" s="415">
        <v>285.71428571428572</v>
      </c>
      <c r="EB262" s="415">
        <v>285.71428571428572</v>
      </c>
      <c r="EC262" s="415">
        <v>142.85714285714286</v>
      </c>
      <c r="ED262" s="415">
        <v>285.71428571428572</v>
      </c>
      <c r="EE262" s="415">
        <v>285.71428571428572</v>
      </c>
      <c r="EF262" s="415">
        <v>285.71428571428572</v>
      </c>
      <c r="EG262" s="415">
        <v>285.71428571428572</v>
      </c>
      <c r="EH262" s="415">
        <v>285.71428571428572</v>
      </c>
      <c r="EI262" s="410">
        <f t="shared" si="95"/>
        <v>2714.2857142857147</v>
      </c>
      <c r="EJ262" s="415">
        <v>0</v>
      </c>
      <c r="EK262" s="415">
        <v>142.85714285714286</v>
      </c>
      <c r="EL262" s="415">
        <v>0</v>
      </c>
      <c r="EM262" s="415">
        <v>285.71428571428572</v>
      </c>
      <c r="EN262" s="415">
        <v>285.71428571428572</v>
      </c>
      <c r="EO262" s="415">
        <v>285.71428571428572</v>
      </c>
      <c r="EP262" s="415">
        <v>142.85714285714286</v>
      </c>
      <c r="EQ262" s="415">
        <v>285.71428571428572</v>
      </c>
      <c r="ER262" s="415">
        <v>285.71428571428572</v>
      </c>
      <c r="ES262" s="415">
        <v>285.71428571428572</v>
      </c>
      <c r="ET262" s="415">
        <v>285.71428571428572</v>
      </c>
      <c r="EU262" s="415">
        <v>285.71428571428572</v>
      </c>
      <c r="EV262" s="410">
        <f t="shared" si="96"/>
        <v>2571.4285714285716</v>
      </c>
      <c r="EW262" s="416">
        <f t="shared" si="97"/>
        <v>9451.4285714285743</v>
      </c>
      <c r="EX262" s="417">
        <f>IFERROR(VLOOKUP(H262,CEI_012018!$A$1:$U$509,9,FALSE),0)</f>
        <v>0</v>
      </c>
      <c r="EY262" s="417">
        <f>IFERROR(VLOOKUP(H262,CEI_022018!$A$1:$U$509,9,FALSE),0)</f>
        <v>0</v>
      </c>
      <c r="EZ262" s="417">
        <f>IFERROR(VLOOKUP(H262,CEI_032018!$A$1:$U$509,9,FALSE),0)</f>
        <v>0</v>
      </c>
      <c r="FA262" s="417">
        <f>IFERROR(VLOOKUP(H262,CEI_042018!$A$1:$U$491,9,FALSE),0)</f>
        <v>0</v>
      </c>
      <c r="FB262" s="417">
        <f>IFERROR(VLOOKUP(H262,CEI_052018!$A$1:$U$489,9,FALSE),0)</f>
        <v>0</v>
      </c>
      <c r="FC262" s="417">
        <f>IFERROR(VLOOKUP(H262,CEI_062018!$A$1:$U$489,9,FALSE),0)</f>
        <v>0</v>
      </c>
      <c r="FD262" s="417">
        <f>IFERROR(VLOOKUP(H262,CEI_072018!$A$1:$U$489,9,FALSE),0)</f>
        <v>0</v>
      </c>
      <c r="FE262" s="417">
        <f>IFERROR(VLOOKUP(H262,CEI_082018!$A$1:$U$489,9,FALSE),0)</f>
        <v>0</v>
      </c>
      <c r="FF262" s="417">
        <f>IFERROR(VLOOKUP(H262,CEI_092018!$A$1:$U$489,9,FALSE),0)</f>
        <v>0</v>
      </c>
      <c r="FG262" s="417"/>
      <c r="FH262" s="417"/>
      <c r="FI262" s="417"/>
      <c r="FJ262" s="418">
        <f>IFERROR(VLOOKUP(H262,CEI_092018!$A$1:$U$489,12,FALSE),0)</f>
        <v>0</v>
      </c>
      <c r="FK262" s="418">
        <f t="shared" si="99"/>
        <v>0</v>
      </c>
      <c r="FL262" s="418">
        <f t="shared" si="100"/>
        <v>164</v>
      </c>
      <c r="FM262" s="417"/>
      <c r="FN262" s="417"/>
      <c r="FO262" s="417"/>
      <c r="FP262" s="417"/>
      <c r="FQ262" s="417"/>
      <c r="FR262" s="417"/>
      <c r="FS262" s="417"/>
      <c r="FT262" s="417"/>
      <c r="FU262" s="417"/>
      <c r="FV262" s="417"/>
      <c r="FW262" s="417"/>
      <c r="FX262" s="417"/>
      <c r="FY262" s="418"/>
      <c r="FZ262" s="418"/>
      <c r="GA262" s="418"/>
      <c r="GB262" s="417"/>
      <c r="GC262" s="417"/>
      <c r="GD262" s="417"/>
      <c r="GE262" s="417"/>
      <c r="GF262" s="417"/>
      <c r="GG262" s="417"/>
      <c r="GH262" s="417"/>
      <c r="GI262" s="417"/>
      <c r="GJ262" s="417"/>
      <c r="GK262" s="417"/>
      <c r="GL262" s="417"/>
      <c r="GM262" s="417"/>
      <c r="GN262" s="418"/>
      <c r="GO262" s="418"/>
      <c r="GP262" s="418"/>
      <c r="GQ262" s="417"/>
      <c r="GR262" s="417"/>
      <c r="GS262" s="417"/>
      <c r="GT262" s="417"/>
      <c r="GU262" s="417"/>
      <c r="GV262" s="417"/>
      <c r="GW262" s="417"/>
      <c r="GX262" s="417"/>
      <c r="GY262" s="417"/>
      <c r="GZ262" s="417"/>
      <c r="HA262" s="417"/>
      <c r="HB262" s="417"/>
      <c r="HC262" s="418"/>
      <c r="HD262" s="418"/>
      <c r="HE262" s="418"/>
      <c r="HF262" s="417"/>
      <c r="HG262" s="417"/>
      <c r="HH262" s="417"/>
      <c r="HI262" s="417"/>
      <c r="HJ262" s="417"/>
      <c r="HK262" s="417"/>
      <c r="HL262" s="417"/>
      <c r="HM262" s="417"/>
      <c r="HN262" s="417"/>
      <c r="HO262" s="417"/>
      <c r="HP262" s="417"/>
      <c r="HQ262" s="417"/>
      <c r="HR262" s="418"/>
      <c r="HS262" s="418"/>
      <c r="HT262" s="418"/>
    </row>
    <row r="263" spans="1:228" s="387" customFormat="1" ht="12.75" customHeight="1" x14ac:dyDescent="0.2">
      <c r="A263" s="406" t="s">
        <v>55</v>
      </c>
      <c r="B263" s="407" t="s">
        <v>42</v>
      </c>
      <c r="C263" s="406" t="s">
        <v>1000</v>
      </c>
      <c r="D263" s="407" t="s">
        <v>1004</v>
      </c>
      <c r="E263" s="407" t="s">
        <v>1762</v>
      </c>
      <c r="F263" s="407" t="s">
        <v>1763</v>
      </c>
      <c r="G263" s="406" t="s">
        <v>54</v>
      </c>
      <c r="H263" s="408" t="s">
        <v>520</v>
      </c>
      <c r="I263" s="408" t="s">
        <v>57</v>
      </c>
      <c r="J263" s="406" t="s">
        <v>1699</v>
      </c>
      <c r="K263" s="406" t="s">
        <v>201</v>
      </c>
      <c r="L263" s="406" t="s">
        <v>202</v>
      </c>
      <c r="M263" s="406" t="s">
        <v>1778</v>
      </c>
      <c r="N263" s="452">
        <v>0</v>
      </c>
      <c r="O263" s="452">
        <v>0</v>
      </c>
      <c r="P263" s="452">
        <v>0</v>
      </c>
      <c r="Q263" s="452">
        <v>0</v>
      </c>
      <c r="R263" s="452">
        <v>0</v>
      </c>
      <c r="S263" s="452">
        <v>0</v>
      </c>
      <c r="T263" s="452">
        <v>0</v>
      </c>
      <c r="U263" s="409">
        <v>0</v>
      </c>
      <c r="V263" s="409">
        <v>0</v>
      </c>
      <c r="W263" s="409">
        <v>0</v>
      </c>
      <c r="X263" s="409">
        <v>40</v>
      </c>
      <c r="Y263" s="409">
        <v>40</v>
      </c>
      <c r="Z263" s="453">
        <f t="shared" si="108"/>
        <v>80</v>
      </c>
      <c r="AA263" s="452">
        <v>0</v>
      </c>
      <c r="AB263" s="452">
        <v>0</v>
      </c>
      <c r="AC263" s="452">
        <v>30</v>
      </c>
      <c r="AD263" s="452">
        <v>0</v>
      </c>
      <c r="AE263" s="452">
        <v>15</v>
      </c>
      <c r="AF263" s="452">
        <v>30</v>
      </c>
      <c r="AG263" s="452">
        <v>0</v>
      </c>
      <c r="AH263" s="409">
        <v>15</v>
      </c>
      <c r="AI263" s="409">
        <v>30</v>
      </c>
      <c r="AJ263" s="409">
        <v>0</v>
      </c>
      <c r="AK263" s="409">
        <v>0</v>
      </c>
      <c r="AL263" s="409">
        <v>30</v>
      </c>
      <c r="AM263" s="453">
        <f t="shared" si="103"/>
        <v>150</v>
      </c>
      <c r="AN263" s="452">
        <v>0</v>
      </c>
      <c r="AO263" s="452">
        <v>25</v>
      </c>
      <c r="AP263" s="452">
        <v>0</v>
      </c>
      <c r="AQ263" s="452">
        <v>25</v>
      </c>
      <c r="AR263" s="452">
        <v>0</v>
      </c>
      <c r="AS263" s="452">
        <v>50</v>
      </c>
      <c r="AT263" s="452">
        <v>0</v>
      </c>
      <c r="AU263" s="409">
        <v>0</v>
      </c>
      <c r="AV263" s="409">
        <v>25</v>
      </c>
      <c r="AW263" s="409">
        <v>0</v>
      </c>
      <c r="AX263" s="409">
        <v>0</v>
      </c>
      <c r="AY263" s="409">
        <v>25</v>
      </c>
      <c r="AZ263" s="453">
        <f t="shared" si="104"/>
        <v>150</v>
      </c>
      <c r="BA263" s="452">
        <v>0</v>
      </c>
      <c r="BB263" s="452">
        <v>0</v>
      </c>
      <c r="BC263" s="452">
        <v>0</v>
      </c>
      <c r="BD263" s="452">
        <v>0</v>
      </c>
      <c r="BE263" s="452">
        <v>0</v>
      </c>
      <c r="BF263" s="452">
        <v>0</v>
      </c>
      <c r="BG263" s="452">
        <v>0</v>
      </c>
      <c r="BH263" s="409">
        <v>0</v>
      </c>
      <c r="BI263" s="409">
        <v>0</v>
      </c>
      <c r="BJ263" s="409">
        <v>0</v>
      </c>
      <c r="BK263" s="409">
        <v>0</v>
      </c>
      <c r="BL263" s="409">
        <v>0</v>
      </c>
      <c r="BM263" s="453">
        <f t="shared" si="105"/>
        <v>0</v>
      </c>
      <c r="BN263" s="452">
        <v>0</v>
      </c>
      <c r="BO263" s="452">
        <v>0</v>
      </c>
      <c r="BP263" s="452">
        <v>0</v>
      </c>
      <c r="BQ263" s="452">
        <v>0</v>
      </c>
      <c r="BR263" s="452">
        <v>0</v>
      </c>
      <c r="BS263" s="452">
        <v>0</v>
      </c>
      <c r="BT263" s="452">
        <v>0</v>
      </c>
      <c r="BU263" s="409">
        <v>0</v>
      </c>
      <c r="BV263" s="409">
        <v>0</v>
      </c>
      <c r="BW263" s="409">
        <v>0</v>
      </c>
      <c r="BX263" s="409">
        <v>0</v>
      </c>
      <c r="BY263" s="409">
        <v>0</v>
      </c>
      <c r="BZ263" s="453">
        <f t="shared" si="106"/>
        <v>0</v>
      </c>
      <c r="CA263" s="454">
        <f t="shared" si="107"/>
        <v>380</v>
      </c>
      <c r="CB263" s="419"/>
      <c r="CC263" s="419">
        <v>-1</v>
      </c>
      <c r="CD263" s="419">
        <v>-1</v>
      </c>
      <c r="CE263" s="419">
        <v>-1</v>
      </c>
      <c r="CF263" s="419">
        <v>-1</v>
      </c>
      <c r="CG263" s="420">
        <f t="shared" si="109"/>
        <v>0</v>
      </c>
      <c r="CH263" s="421">
        <f t="shared" si="110"/>
        <v>0</v>
      </c>
      <c r="CI263" s="414" t="s">
        <v>1621</v>
      </c>
      <c r="CJ263" s="415">
        <v>0</v>
      </c>
      <c r="CK263" s="415">
        <v>0</v>
      </c>
      <c r="CL263" s="415">
        <v>0</v>
      </c>
      <c r="CM263" s="415">
        <v>0</v>
      </c>
      <c r="CN263" s="415">
        <v>0</v>
      </c>
      <c r="CO263" s="415">
        <v>0</v>
      </c>
      <c r="CP263" s="415">
        <v>0</v>
      </c>
      <c r="CQ263" s="415">
        <v>0</v>
      </c>
      <c r="CR263" s="415">
        <v>0</v>
      </c>
      <c r="CS263" s="415">
        <v>0</v>
      </c>
      <c r="CT263" s="415">
        <v>0</v>
      </c>
      <c r="CU263" s="415">
        <v>1</v>
      </c>
      <c r="CV263" s="410">
        <f t="shared" si="92"/>
        <v>1</v>
      </c>
      <c r="CW263" s="415">
        <v>0</v>
      </c>
      <c r="CX263" s="415">
        <v>0</v>
      </c>
      <c r="CY263" s="415">
        <v>0</v>
      </c>
      <c r="CZ263" s="415">
        <v>0</v>
      </c>
      <c r="DA263" s="415">
        <v>0</v>
      </c>
      <c r="DB263" s="415">
        <v>0</v>
      </c>
      <c r="DC263" s="415">
        <v>0</v>
      </c>
      <c r="DD263" s="415">
        <v>0</v>
      </c>
      <c r="DE263" s="415">
        <v>0</v>
      </c>
      <c r="DF263" s="415">
        <v>0</v>
      </c>
      <c r="DG263" s="415">
        <v>0</v>
      </c>
      <c r="DH263" s="415">
        <v>1</v>
      </c>
      <c r="DI263" s="410">
        <f t="shared" si="93"/>
        <v>1</v>
      </c>
      <c r="DJ263" s="415">
        <v>0</v>
      </c>
      <c r="DK263" s="415">
        <v>0</v>
      </c>
      <c r="DL263" s="415">
        <v>0</v>
      </c>
      <c r="DM263" s="415">
        <v>0</v>
      </c>
      <c r="DN263" s="415">
        <v>0</v>
      </c>
      <c r="DO263" s="415">
        <v>0</v>
      </c>
      <c r="DP263" s="415">
        <v>0</v>
      </c>
      <c r="DQ263" s="415">
        <v>0</v>
      </c>
      <c r="DR263" s="415">
        <v>0</v>
      </c>
      <c r="DS263" s="415">
        <v>0</v>
      </c>
      <c r="DT263" s="415">
        <v>0</v>
      </c>
      <c r="DU263" s="415">
        <v>1</v>
      </c>
      <c r="DV263" s="410">
        <f t="shared" si="94"/>
        <v>1</v>
      </c>
      <c r="DW263" s="415">
        <v>0</v>
      </c>
      <c r="DX263" s="415">
        <v>0</v>
      </c>
      <c r="DY263" s="415">
        <v>0</v>
      </c>
      <c r="DZ263" s="415">
        <v>0</v>
      </c>
      <c r="EA263" s="415">
        <v>0</v>
      </c>
      <c r="EB263" s="415">
        <v>0</v>
      </c>
      <c r="EC263" s="415">
        <v>0</v>
      </c>
      <c r="ED263" s="415">
        <v>0</v>
      </c>
      <c r="EE263" s="415">
        <v>0</v>
      </c>
      <c r="EF263" s="415">
        <v>0</v>
      </c>
      <c r="EG263" s="415">
        <v>0</v>
      </c>
      <c r="EH263" s="415">
        <v>0</v>
      </c>
      <c r="EI263" s="410">
        <f t="shared" si="95"/>
        <v>0</v>
      </c>
      <c r="EJ263" s="415">
        <v>0</v>
      </c>
      <c r="EK263" s="415">
        <v>0</v>
      </c>
      <c r="EL263" s="415">
        <v>0</v>
      </c>
      <c r="EM263" s="415">
        <v>0</v>
      </c>
      <c r="EN263" s="415">
        <v>0</v>
      </c>
      <c r="EO263" s="415">
        <v>0</v>
      </c>
      <c r="EP263" s="415">
        <v>0</v>
      </c>
      <c r="EQ263" s="415">
        <v>0</v>
      </c>
      <c r="ER263" s="415">
        <v>0</v>
      </c>
      <c r="ES263" s="415">
        <v>0</v>
      </c>
      <c r="ET263" s="415">
        <v>0</v>
      </c>
      <c r="EU263" s="415">
        <v>0</v>
      </c>
      <c r="EV263" s="410">
        <f t="shared" si="96"/>
        <v>0</v>
      </c>
      <c r="EW263" s="416">
        <f t="shared" si="97"/>
        <v>3</v>
      </c>
      <c r="EX263" s="417">
        <f>IFERROR(VLOOKUP(H263,CEI_012018!$A$1:$U$509,9,FALSE),0)</f>
        <v>0</v>
      </c>
      <c r="EY263" s="417">
        <f>IFERROR(VLOOKUP(H263,CEI_022018!$A$1:$U$509,9,FALSE),0)</f>
        <v>0</v>
      </c>
      <c r="EZ263" s="417">
        <f>IFERROR(VLOOKUP(H263,CEI_032018!$A$1:$U$509,9,FALSE),0)</f>
        <v>0</v>
      </c>
      <c r="FA263" s="417">
        <f>IFERROR(VLOOKUP(H263,CEI_042018!$A$1:$U$491,9,FALSE),0)</f>
        <v>0</v>
      </c>
      <c r="FB263" s="417">
        <f>IFERROR(VLOOKUP(H263,CEI_052018!$A$1:$U$489,9,FALSE),0)</f>
        <v>0</v>
      </c>
      <c r="FC263" s="417">
        <f>IFERROR(VLOOKUP(H263,CEI_062018!$A$1:$U$489,9,FALSE),0)</f>
        <v>0</v>
      </c>
      <c r="FD263" s="417">
        <f>IFERROR(VLOOKUP(H263,CEI_072018!$A$1:$U$489,9,FALSE),0)</f>
        <v>0</v>
      </c>
      <c r="FE263" s="417">
        <f>IFERROR(VLOOKUP(H263,CEI_082018!$A$1:$U$489,9,FALSE),0)</f>
        <v>0</v>
      </c>
      <c r="FF263" s="417">
        <f>IFERROR(VLOOKUP(H263,CEI_092018!$A$1:$U$489,9,FALSE),0)</f>
        <v>0</v>
      </c>
      <c r="FG263" s="417"/>
      <c r="FH263" s="417"/>
      <c r="FI263" s="417"/>
      <c r="FJ263" s="418">
        <f>IFERROR(VLOOKUP(H263,CEI_092018!$A$1:$U$489,12,FALSE),0)</f>
        <v>0</v>
      </c>
      <c r="FK263" s="418">
        <f t="shared" si="99"/>
        <v>0</v>
      </c>
      <c r="FL263" s="418">
        <f t="shared" si="100"/>
        <v>80</v>
      </c>
      <c r="FM263" s="417"/>
      <c r="FN263" s="417"/>
      <c r="FO263" s="417"/>
      <c r="FP263" s="417"/>
      <c r="FQ263" s="417"/>
      <c r="FR263" s="417"/>
      <c r="FS263" s="417"/>
      <c r="FT263" s="417"/>
      <c r="FU263" s="417"/>
      <c r="FV263" s="417"/>
      <c r="FW263" s="417"/>
      <c r="FX263" s="417"/>
      <c r="FY263" s="418"/>
      <c r="FZ263" s="418"/>
      <c r="GA263" s="418"/>
      <c r="GB263" s="417"/>
      <c r="GC263" s="417"/>
      <c r="GD263" s="417"/>
      <c r="GE263" s="417"/>
      <c r="GF263" s="417"/>
      <c r="GG263" s="417"/>
      <c r="GH263" s="417"/>
      <c r="GI263" s="417"/>
      <c r="GJ263" s="417"/>
      <c r="GK263" s="417"/>
      <c r="GL263" s="417"/>
      <c r="GM263" s="417"/>
      <c r="GN263" s="418"/>
      <c r="GO263" s="418"/>
      <c r="GP263" s="418"/>
      <c r="GQ263" s="417"/>
      <c r="GR263" s="417"/>
      <c r="GS263" s="417"/>
      <c r="GT263" s="417"/>
      <c r="GU263" s="417"/>
      <c r="GV263" s="417"/>
      <c r="GW263" s="417"/>
      <c r="GX263" s="417"/>
      <c r="GY263" s="417"/>
      <c r="GZ263" s="417"/>
      <c r="HA263" s="417"/>
      <c r="HB263" s="417"/>
      <c r="HC263" s="418"/>
      <c r="HD263" s="418"/>
      <c r="HE263" s="418"/>
      <c r="HF263" s="417"/>
      <c r="HG263" s="417"/>
      <c r="HH263" s="417"/>
      <c r="HI263" s="417"/>
      <c r="HJ263" s="417"/>
      <c r="HK263" s="417"/>
      <c r="HL263" s="417"/>
      <c r="HM263" s="417"/>
      <c r="HN263" s="417"/>
      <c r="HO263" s="417"/>
      <c r="HP263" s="417"/>
      <c r="HQ263" s="417"/>
      <c r="HR263" s="418"/>
      <c r="HS263" s="418"/>
      <c r="HT263" s="418"/>
    </row>
    <row r="264" spans="1:228" s="387" customFormat="1" ht="12.75" customHeight="1" x14ac:dyDescent="0.2">
      <c r="A264" s="406" t="s">
        <v>55</v>
      </c>
      <c r="B264" s="407" t="s">
        <v>42</v>
      </c>
      <c r="C264" s="406" t="s">
        <v>1000</v>
      </c>
      <c r="D264" s="407" t="s">
        <v>1004</v>
      </c>
      <c r="E264" s="407" t="s">
        <v>1762</v>
      </c>
      <c r="F264" s="407" t="s">
        <v>1763</v>
      </c>
      <c r="G264" s="406" t="s">
        <v>54</v>
      </c>
      <c r="H264" s="408" t="s">
        <v>1879</v>
      </c>
      <c r="I264" s="408" t="s">
        <v>1900</v>
      </c>
      <c r="J264" s="406" t="s">
        <v>1700</v>
      </c>
      <c r="K264" s="406"/>
      <c r="L264" s="406"/>
      <c r="M264" s="406" t="s">
        <v>1779</v>
      </c>
      <c r="N264" s="452">
        <v>0</v>
      </c>
      <c r="O264" s="452">
        <v>0</v>
      </c>
      <c r="P264" s="452">
        <v>0</v>
      </c>
      <c r="Q264" s="452">
        <v>0</v>
      </c>
      <c r="R264" s="452">
        <v>0</v>
      </c>
      <c r="S264" s="452">
        <v>0</v>
      </c>
      <c r="T264" s="452">
        <v>0</v>
      </c>
      <c r="U264" s="409">
        <v>0</v>
      </c>
      <c r="V264" s="409">
        <v>0</v>
      </c>
      <c r="W264" s="409">
        <v>15</v>
      </c>
      <c r="X264" s="409">
        <v>15</v>
      </c>
      <c r="Y264" s="409">
        <v>20</v>
      </c>
      <c r="Z264" s="453">
        <f t="shared" si="108"/>
        <v>50</v>
      </c>
      <c r="AA264" s="452">
        <v>0</v>
      </c>
      <c r="AB264" s="452">
        <v>0</v>
      </c>
      <c r="AC264" s="452">
        <v>10</v>
      </c>
      <c r="AD264" s="452">
        <v>0</v>
      </c>
      <c r="AE264" s="452">
        <v>5</v>
      </c>
      <c r="AF264" s="452">
        <v>0</v>
      </c>
      <c r="AG264" s="452">
        <v>5</v>
      </c>
      <c r="AH264" s="409">
        <v>0</v>
      </c>
      <c r="AI264" s="409">
        <v>0</v>
      </c>
      <c r="AJ264" s="409">
        <v>0</v>
      </c>
      <c r="AK264" s="409">
        <v>0</v>
      </c>
      <c r="AL264" s="409">
        <v>0</v>
      </c>
      <c r="AM264" s="453">
        <f t="shared" si="103"/>
        <v>20</v>
      </c>
      <c r="AN264" s="452">
        <v>10</v>
      </c>
      <c r="AO264" s="452">
        <v>0</v>
      </c>
      <c r="AP264" s="452">
        <v>5</v>
      </c>
      <c r="AQ264" s="452">
        <v>0</v>
      </c>
      <c r="AR264" s="452">
        <v>5</v>
      </c>
      <c r="AS264" s="452">
        <v>0</v>
      </c>
      <c r="AT264" s="452">
        <v>0</v>
      </c>
      <c r="AU264" s="409">
        <v>0</v>
      </c>
      <c r="AV264" s="409">
        <v>0</v>
      </c>
      <c r="AW264" s="409">
        <v>0</v>
      </c>
      <c r="AX264" s="409">
        <v>0</v>
      </c>
      <c r="AY264" s="409">
        <v>0</v>
      </c>
      <c r="AZ264" s="453">
        <f t="shared" si="104"/>
        <v>20</v>
      </c>
      <c r="BA264" s="452">
        <v>0</v>
      </c>
      <c r="BB264" s="452">
        <v>0</v>
      </c>
      <c r="BC264" s="452">
        <v>0</v>
      </c>
      <c r="BD264" s="452">
        <v>0</v>
      </c>
      <c r="BE264" s="452">
        <v>0</v>
      </c>
      <c r="BF264" s="452">
        <v>0</v>
      </c>
      <c r="BG264" s="452">
        <v>0</v>
      </c>
      <c r="BH264" s="409">
        <v>0</v>
      </c>
      <c r="BI264" s="409">
        <v>0</v>
      </c>
      <c r="BJ264" s="409">
        <v>0</v>
      </c>
      <c r="BK264" s="409">
        <v>0</v>
      </c>
      <c r="BL264" s="409">
        <v>0</v>
      </c>
      <c r="BM264" s="453">
        <f t="shared" si="105"/>
        <v>0</v>
      </c>
      <c r="BN264" s="452"/>
      <c r="BO264" s="452"/>
      <c r="BP264" s="452"/>
      <c r="BQ264" s="452"/>
      <c r="BR264" s="452"/>
      <c r="BS264" s="452"/>
      <c r="BT264" s="452"/>
      <c r="BU264" s="409"/>
      <c r="BV264" s="409"/>
      <c r="BW264" s="409"/>
      <c r="BX264" s="409"/>
      <c r="BY264" s="409"/>
      <c r="BZ264" s="453">
        <f t="shared" si="106"/>
        <v>0</v>
      </c>
      <c r="CA264" s="454">
        <f t="shared" si="107"/>
        <v>90</v>
      </c>
      <c r="CB264" s="419"/>
      <c r="CC264" s="419">
        <v>1</v>
      </c>
      <c r="CD264" s="419">
        <v>1</v>
      </c>
      <c r="CE264" s="419">
        <v>1</v>
      </c>
      <c r="CF264" s="419">
        <v>1</v>
      </c>
      <c r="CG264" s="420">
        <f t="shared" si="109"/>
        <v>0</v>
      </c>
      <c r="CH264" s="421">
        <f t="shared" si="110"/>
        <v>99.8280029296875</v>
      </c>
      <c r="CI264" s="414" t="s">
        <v>1621</v>
      </c>
      <c r="CJ264" s="415">
        <v>0</v>
      </c>
      <c r="CK264" s="415">
        <v>0</v>
      </c>
      <c r="CL264" s="415">
        <v>0</v>
      </c>
      <c r="CM264" s="415">
        <v>0</v>
      </c>
      <c r="CN264" s="415">
        <v>0</v>
      </c>
      <c r="CO264" s="415">
        <v>0</v>
      </c>
      <c r="CP264" s="415">
        <v>0</v>
      </c>
      <c r="CQ264" s="415">
        <v>0</v>
      </c>
      <c r="CR264" s="415">
        <v>0</v>
      </c>
      <c r="CS264" s="415">
        <v>0</v>
      </c>
      <c r="CT264" s="415">
        <v>0</v>
      </c>
      <c r="CU264" s="415">
        <v>1</v>
      </c>
      <c r="CV264" s="410">
        <f t="shared" si="92"/>
        <v>1</v>
      </c>
      <c r="CW264" s="415">
        <v>0</v>
      </c>
      <c r="CX264" s="415">
        <v>0</v>
      </c>
      <c r="CY264" s="415">
        <v>0</v>
      </c>
      <c r="CZ264" s="415">
        <v>0</v>
      </c>
      <c r="DA264" s="415">
        <v>0</v>
      </c>
      <c r="DB264" s="415">
        <v>1</v>
      </c>
      <c r="DC264" s="415">
        <v>0</v>
      </c>
      <c r="DD264" s="415">
        <v>0</v>
      </c>
      <c r="DE264" s="415">
        <v>0</v>
      </c>
      <c r="DF264" s="415">
        <v>0</v>
      </c>
      <c r="DG264" s="415">
        <v>0</v>
      </c>
      <c r="DH264" s="415">
        <v>0</v>
      </c>
      <c r="DI264" s="410">
        <f t="shared" si="93"/>
        <v>1</v>
      </c>
      <c r="DJ264" s="415">
        <v>0</v>
      </c>
      <c r="DK264" s="415">
        <v>0</v>
      </c>
      <c r="DL264" s="415">
        <v>0</v>
      </c>
      <c r="DM264" s="415">
        <v>0</v>
      </c>
      <c r="DN264" s="415">
        <v>0</v>
      </c>
      <c r="DO264" s="415">
        <v>1</v>
      </c>
      <c r="DP264" s="415">
        <v>0</v>
      </c>
      <c r="DQ264" s="415">
        <v>0</v>
      </c>
      <c r="DR264" s="415">
        <v>0</v>
      </c>
      <c r="DS264" s="415">
        <v>0</v>
      </c>
      <c r="DT264" s="415">
        <v>0</v>
      </c>
      <c r="DU264" s="415">
        <v>0</v>
      </c>
      <c r="DV264" s="410">
        <f t="shared" si="94"/>
        <v>1</v>
      </c>
      <c r="DW264" s="415">
        <v>0</v>
      </c>
      <c r="DX264" s="415">
        <v>0</v>
      </c>
      <c r="DY264" s="415">
        <v>0</v>
      </c>
      <c r="DZ264" s="415">
        <v>0</v>
      </c>
      <c r="EA264" s="415">
        <v>0</v>
      </c>
      <c r="EB264" s="415">
        <v>0</v>
      </c>
      <c r="EC264" s="415">
        <v>0</v>
      </c>
      <c r="ED264" s="415">
        <v>0</v>
      </c>
      <c r="EE264" s="415">
        <v>0</v>
      </c>
      <c r="EF264" s="415">
        <v>0</v>
      </c>
      <c r="EG264" s="415">
        <v>0</v>
      </c>
      <c r="EH264" s="415">
        <v>0</v>
      </c>
      <c r="EI264" s="410">
        <f t="shared" si="95"/>
        <v>0</v>
      </c>
      <c r="EJ264" s="415">
        <v>0</v>
      </c>
      <c r="EK264" s="415">
        <v>0</v>
      </c>
      <c r="EL264" s="415">
        <v>0</v>
      </c>
      <c r="EM264" s="415">
        <v>0</v>
      </c>
      <c r="EN264" s="415">
        <v>0</v>
      </c>
      <c r="EO264" s="415">
        <v>0</v>
      </c>
      <c r="EP264" s="415">
        <v>0</v>
      </c>
      <c r="EQ264" s="415">
        <v>0</v>
      </c>
      <c r="ER264" s="415">
        <v>0</v>
      </c>
      <c r="ES264" s="415">
        <v>0</v>
      </c>
      <c r="ET264" s="415">
        <v>0</v>
      </c>
      <c r="EU264" s="415">
        <v>0</v>
      </c>
      <c r="EV264" s="410">
        <f t="shared" si="96"/>
        <v>0</v>
      </c>
      <c r="EW264" s="416">
        <f t="shared" si="97"/>
        <v>3</v>
      </c>
      <c r="EX264" s="417">
        <f>IFERROR(VLOOKUP(H264,CEI_012018!$A$1:$U$509,9,FALSE),0)</f>
        <v>0</v>
      </c>
      <c r="EY264" s="417">
        <f>IFERROR(VLOOKUP(H264,CEI_022018!$A$1:$U$509,9,FALSE),0)</f>
        <v>0</v>
      </c>
      <c r="EZ264" s="417">
        <f>IFERROR(VLOOKUP(H264,CEI_032018!$A$1:$U$509,9,FALSE),0)</f>
        <v>0</v>
      </c>
      <c r="FA264" s="417">
        <f>IFERROR(VLOOKUP(H264,CEI_042018!$A$1:$U$491,9,FALSE),0)</f>
        <v>0</v>
      </c>
      <c r="FB264" s="417">
        <f>IFERROR(VLOOKUP(H264,CEI_052018!$A$1:$U$489,9,FALSE),0)</f>
        <v>0</v>
      </c>
      <c r="FC264" s="417">
        <f>IFERROR(VLOOKUP(H264,CEI_062018!$A$1:$U$489,9,FALSE),0)</f>
        <v>0</v>
      </c>
      <c r="FD264" s="417">
        <f>IFERROR(VLOOKUP(H264,CEI_072018!$A$1:$U$489,9,FALSE),0)</f>
        <v>0</v>
      </c>
      <c r="FE264" s="417">
        <f>IFERROR(VLOOKUP(H264,CEI_082018!$A$1:$U$489,9,FALSE),0)</f>
        <v>0</v>
      </c>
      <c r="FF264" s="417">
        <f>IFERROR(VLOOKUP(H264,CEI_092018!$A$1:$U$489,9,FALSE),0)</f>
        <v>0</v>
      </c>
      <c r="FG264" s="417"/>
      <c r="FH264" s="417"/>
      <c r="FI264" s="417"/>
      <c r="FJ264" s="418">
        <f>IFERROR(VLOOKUP(H264,CEI_092018!$A$1:$U$489,12,FALSE),0)</f>
        <v>49.91400146484375</v>
      </c>
      <c r="FK264" s="418">
        <f t="shared" si="99"/>
        <v>49.91400146484375</v>
      </c>
      <c r="FL264" s="418">
        <f t="shared" si="100"/>
        <v>8.599853515625E-2</v>
      </c>
      <c r="FM264" s="417"/>
      <c r="FN264" s="417"/>
      <c r="FO264" s="417"/>
      <c r="FP264" s="417"/>
      <c r="FQ264" s="417"/>
      <c r="FR264" s="417"/>
      <c r="FS264" s="417"/>
      <c r="FT264" s="417"/>
      <c r="FU264" s="417"/>
      <c r="FV264" s="417"/>
      <c r="FW264" s="417"/>
      <c r="FX264" s="417"/>
      <c r="FY264" s="418"/>
      <c r="FZ264" s="418"/>
      <c r="GA264" s="418"/>
      <c r="GB264" s="417"/>
      <c r="GC264" s="417"/>
      <c r="GD264" s="417"/>
      <c r="GE264" s="417"/>
      <c r="GF264" s="417"/>
      <c r="GG264" s="417"/>
      <c r="GH264" s="417"/>
      <c r="GI264" s="417"/>
      <c r="GJ264" s="417"/>
      <c r="GK264" s="417"/>
      <c r="GL264" s="417"/>
      <c r="GM264" s="417"/>
      <c r="GN264" s="418"/>
      <c r="GO264" s="418"/>
      <c r="GP264" s="418"/>
      <c r="GQ264" s="417"/>
      <c r="GR264" s="417"/>
      <c r="GS264" s="417"/>
      <c r="GT264" s="417"/>
      <c r="GU264" s="417"/>
      <c r="GV264" s="417"/>
      <c r="GW264" s="417"/>
      <c r="GX264" s="417"/>
      <c r="GY264" s="417"/>
      <c r="GZ264" s="417"/>
      <c r="HA264" s="417"/>
      <c r="HB264" s="417"/>
      <c r="HC264" s="418"/>
      <c r="HD264" s="418"/>
      <c r="HE264" s="418"/>
      <c r="HF264" s="417"/>
      <c r="HG264" s="417"/>
      <c r="HH264" s="417"/>
      <c r="HI264" s="417"/>
      <c r="HJ264" s="417"/>
      <c r="HK264" s="417"/>
      <c r="HL264" s="417"/>
      <c r="HM264" s="417"/>
      <c r="HN264" s="417"/>
      <c r="HO264" s="417"/>
      <c r="HP264" s="417"/>
      <c r="HQ264" s="417"/>
      <c r="HR264" s="418"/>
      <c r="HS264" s="418"/>
      <c r="HT264" s="418"/>
    </row>
    <row r="265" spans="1:228" s="387" customFormat="1" ht="12.75" customHeight="1" x14ac:dyDescent="0.2">
      <c r="A265" s="406" t="s">
        <v>55</v>
      </c>
      <c r="B265" s="407" t="s">
        <v>42</v>
      </c>
      <c r="C265" s="406" t="s">
        <v>1000</v>
      </c>
      <c r="D265" s="407" t="s">
        <v>1004</v>
      </c>
      <c r="E265" s="444" t="s">
        <v>1762</v>
      </c>
      <c r="F265" s="444" t="s">
        <v>1763</v>
      </c>
      <c r="G265" s="406" t="s">
        <v>54</v>
      </c>
      <c r="H265" s="408" t="s">
        <v>520</v>
      </c>
      <c r="I265" s="408"/>
      <c r="J265" s="406" t="s">
        <v>1883</v>
      </c>
      <c r="K265" s="406"/>
      <c r="L265" s="406"/>
      <c r="M265" s="406"/>
      <c r="N265" s="452">
        <v>0</v>
      </c>
      <c r="O265" s="452">
        <v>0</v>
      </c>
      <c r="P265" s="452">
        <v>0</v>
      </c>
      <c r="Q265" s="452">
        <v>0</v>
      </c>
      <c r="R265" s="452">
        <v>0</v>
      </c>
      <c r="S265" s="452">
        <v>0</v>
      </c>
      <c r="T265" s="452">
        <v>0</v>
      </c>
      <c r="U265" s="409">
        <v>0</v>
      </c>
      <c r="V265" s="409">
        <v>0</v>
      </c>
      <c r="W265" s="409">
        <v>0</v>
      </c>
      <c r="X265" s="409">
        <v>0</v>
      </c>
      <c r="Y265" s="409">
        <v>100</v>
      </c>
      <c r="Z265" s="453">
        <f t="shared" si="108"/>
        <v>100</v>
      </c>
      <c r="AA265" s="452">
        <v>0</v>
      </c>
      <c r="AB265" s="452">
        <v>0</v>
      </c>
      <c r="AC265" s="452">
        <v>50</v>
      </c>
      <c r="AD265" s="452">
        <v>0</v>
      </c>
      <c r="AE265" s="452">
        <v>0</v>
      </c>
      <c r="AF265" s="452">
        <v>75</v>
      </c>
      <c r="AG265" s="452">
        <v>0</v>
      </c>
      <c r="AH265" s="409">
        <v>0</v>
      </c>
      <c r="AI265" s="409">
        <v>75</v>
      </c>
      <c r="AJ265" s="409">
        <v>0</v>
      </c>
      <c r="AK265" s="409">
        <v>0</v>
      </c>
      <c r="AL265" s="409">
        <v>0</v>
      </c>
      <c r="AM265" s="453">
        <f t="shared" si="103"/>
        <v>200</v>
      </c>
      <c r="AN265" s="452">
        <v>0</v>
      </c>
      <c r="AO265" s="452">
        <v>50</v>
      </c>
      <c r="AP265" s="452">
        <v>0</v>
      </c>
      <c r="AQ265" s="452">
        <v>50</v>
      </c>
      <c r="AR265" s="452">
        <v>0</v>
      </c>
      <c r="AS265" s="452">
        <v>50</v>
      </c>
      <c r="AT265" s="452">
        <v>0</v>
      </c>
      <c r="AU265" s="409">
        <v>50</v>
      </c>
      <c r="AV265" s="409">
        <v>0</v>
      </c>
      <c r="AW265" s="409">
        <v>0</v>
      </c>
      <c r="AX265" s="409">
        <v>0</v>
      </c>
      <c r="AY265" s="409">
        <v>0</v>
      </c>
      <c r="AZ265" s="453">
        <f t="shared" si="104"/>
        <v>200</v>
      </c>
      <c r="BA265" s="452">
        <v>0</v>
      </c>
      <c r="BB265" s="452">
        <v>0</v>
      </c>
      <c r="BC265" s="452">
        <v>0</v>
      </c>
      <c r="BD265" s="452">
        <v>0</v>
      </c>
      <c r="BE265" s="452">
        <v>0</v>
      </c>
      <c r="BF265" s="452">
        <v>0</v>
      </c>
      <c r="BG265" s="452">
        <v>0</v>
      </c>
      <c r="BH265" s="409">
        <v>0</v>
      </c>
      <c r="BI265" s="409">
        <v>0</v>
      </c>
      <c r="BJ265" s="409">
        <v>0</v>
      </c>
      <c r="BK265" s="409">
        <v>0</v>
      </c>
      <c r="BL265" s="409">
        <v>0</v>
      </c>
      <c r="BM265" s="453">
        <f t="shared" si="105"/>
        <v>0</v>
      </c>
      <c r="BN265" s="452">
        <v>0</v>
      </c>
      <c r="BO265" s="452">
        <v>0</v>
      </c>
      <c r="BP265" s="452">
        <v>0</v>
      </c>
      <c r="BQ265" s="452">
        <v>0</v>
      </c>
      <c r="BR265" s="452">
        <v>0</v>
      </c>
      <c r="BS265" s="452">
        <v>0</v>
      </c>
      <c r="BT265" s="452">
        <v>0</v>
      </c>
      <c r="BU265" s="409">
        <v>0</v>
      </c>
      <c r="BV265" s="409">
        <v>0</v>
      </c>
      <c r="BW265" s="409">
        <v>0</v>
      </c>
      <c r="BX265" s="409">
        <v>0</v>
      </c>
      <c r="BY265" s="409">
        <v>0</v>
      </c>
      <c r="BZ265" s="453">
        <f t="shared" si="106"/>
        <v>0</v>
      </c>
      <c r="CA265" s="454">
        <f t="shared" si="107"/>
        <v>500</v>
      </c>
      <c r="CB265" s="427"/>
      <c r="CC265" s="427">
        <v>-1</v>
      </c>
      <c r="CD265" s="427">
        <v>-1</v>
      </c>
      <c r="CE265" s="427">
        <v>-1</v>
      </c>
      <c r="CF265" s="427">
        <v>-1</v>
      </c>
      <c r="CG265" s="439">
        <f t="shared" si="109"/>
        <v>0</v>
      </c>
      <c r="CH265" s="421">
        <f t="shared" si="110"/>
        <v>0</v>
      </c>
      <c r="CI265" s="414"/>
      <c r="CJ265" s="415"/>
      <c r="CK265" s="415"/>
      <c r="CL265" s="415"/>
      <c r="CM265" s="415"/>
      <c r="CN265" s="415"/>
      <c r="CO265" s="415"/>
      <c r="CP265" s="415"/>
      <c r="CQ265" s="415"/>
      <c r="CR265" s="415"/>
      <c r="CS265" s="415"/>
      <c r="CT265" s="415"/>
      <c r="CU265" s="415"/>
      <c r="CV265" s="410"/>
      <c r="CW265" s="415"/>
      <c r="CX265" s="415"/>
      <c r="CY265" s="415"/>
      <c r="CZ265" s="415"/>
      <c r="DA265" s="415"/>
      <c r="DB265" s="415"/>
      <c r="DC265" s="415"/>
      <c r="DD265" s="415"/>
      <c r="DE265" s="415"/>
      <c r="DF265" s="415"/>
      <c r="DG265" s="415"/>
      <c r="DH265" s="415"/>
      <c r="DI265" s="410"/>
      <c r="DJ265" s="415"/>
      <c r="DK265" s="415"/>
      <c r="DL265" s="415"/>
      <c r="DM265" s="415"/>
      <c r="DN265" s="415"/>
      <c r="DO265" s="415"/>
      <c r="DP265" s="415"/>
      <c r="DQ265" s="415"/>
      <c r="DR265" s="415"/>
      <c r="DS265" s="415"/>
      <c r="DT265" s="415"/>
      <c r="DU265" s="415"/>
      <c r="DV265" s="410"/>
      <c r="DW265" s="415"/>
      <c r="DX265" s="415"/>
      <c r="DY265" s="415"/>
      <c r="DZ265" s="415"/>
      <c r="EA265" s="415"/>
      <c r="EB265" s="415"/>
      <c r="EC265" s="415"/>
      <c r="ED265" s="415"/>
      <c r="EE265" s="415"/>
      <c r="EF265" s="415"/>
      <c r="EG265" s="415"/>
      <c r="EH265" s="415"/>
      <c r="EI265" s="410"/>
      <c r="EJ265" s="415"/>
      <c r="EK265" s="415"/>
      <c r="EL265" s="415"/>
      <c r="EM265" s="415"/>
      <c r="EN265" s="415"/>
      <c r="EO265" s="415"/>
      <c r="EP265" s="415"/>
      <c r="EQ265" s="415"/>
      <c r="ER265" s="415"/>
      <c r="ES265" s="415"/>
      <c r="ET265" s="415"/>
      <c r="EU265" s="415"/>
      <c r="EV265" s="410"/>
      <c r="EW265" s="416"/>
      <c r="EX265" s="417">
        <f>IFERROR(VLOOKUP(H265,CEI_012018!$A$1:$U$509,9,FALSE),0)</f>
        <v>0</v>
      </c>
      <c r="EY265" s="417">
        <f>IFERROR(VLOOKUP(H265,CEI_022018!$A$1:$U$509,9,FALSE),0)</f>
        <v>0</v>
      </c>
      <c r="EZ265" s="417">
        <f>IFERROR(VLOOKUP(H265,CEI_032018!$A$1:$U$509,9,FALSE),0)</f>
        <v>0</v>
      </c>
      <c r="FA265" s="417">
        <f>IFERROR(VLOOKUP(H265,CEI_042018!$A$1:$U$491,9,FALSE),0)</f>
        <v>0</v>
      </c>
      <c r="FB265" s="417">
        <f>IFERROR(VLOOKUP(H265,CEI_052018!$A$1:$U$489,9,FALSE),0)</f>
        <v>0</v>
      </c>
      <c r="FC265" s="417">
        <f>IFERROR(VLOOKUP(H265,CEI_062018!$A$1:$U$489,9,FALSE),0)</f>
        <v>0</v>
      </c>
      <c r="FD265" s="417">
        <f>IFERROR(VLOOKUP(H265,CEI_072018!$A$1:$U$489,9,FALSE),0)</f>
        <v>0</v>
      </c>
      <c r="FE265" s="417">
        <f>IFERROR(VLOOKUP(H265,CEI_082018!$A$1:$U$489,9,FALSE),0)</f>
        <v>0</v>
      </c>
      <c r="FF265" s="417">
        <f>IFERROR(VLOOKUP(H265,CEI_092018!$A$1:$U$489,9,FALSE),0)</f>
        <v>0</v>
      </c>
      <c r="FG265" s="417"/>
      <c r="FH265" s="417"/>
      <c r="FI265" s="417"/>
      <c r="FJ265" s="418">
        <f>IFERROR(VLOOKUP(H265,CEI_092018!$A$1:$U$489,12,FALSE),0)</f>
        <v>0</v>
      </c>
      <c r="FK265" s="418">
        <f t="shared" si="99"/>
        <v>0</v>
      </c>
      <c r="FL265" s="418">
        <f t="shared" si="100"/>
        <v>100</v>
      </c>
      <c r="FM265" s="417"/>
      <c r="FN265" s="417"/>
      <c r="FO265" s="417"/>
      <c r="FP265" s="417"/>
      <c r="FQ265" s="417"/>
      <c r="FR265" s="417"/>
      <c r="FS265" s="417"/>
      <c r="FT265" s="417"/>
      <c r="FU265" s="417"/>
      <c r="FV265" s="417"/>
      <c r="FW265" s="417"/>
      <c r="FX265" s="417"/>
      <c r="FY265" s="418"/>
      <c r="FZ265" s="418"/>
      <c r="GA265" s="418"/>
      <c r="GB265" s="417"/>
      <c r="GC265" s="417"/>
      <c r="GD265" s="417"/>
      <c r="GE265" s="417"/>
      <c r="GF265" s="417"/>
      <c r="GG265" s="417"/>
      <c r="GH265" s="417"/>
      <c r="GI265" s="417"/>
      <c r="GJ265" s="417"/>
      <c r="GK265" s="417"/>
      <c r="GL265" s="417"/>
      <c r="GM265" s="417"/>
      <c r="GN265" s="418"/>
      <c r="GO265" s="418"/>
      <c r="GP265" s="418"/>
      <c r="GQ265" s="417"/>
      <c r="GR265" s="417"/>
      <c r="GS265" s="417"/>
      <c r="GT265" s="417"/>
      <c r="GU265" s="417"/>
      <c r="GV265" s="417"/>
      <c r="GW265" s="417"/>
      <c r="GX265" s="417"/>
      <c r="GY265" s="417"/>
      <c r="GZ265" s="417"/>
      <c r="HA265" s="417"/>
      <c r="HB265" s="417"/>
      <c r="HC265" s="418"/>
      <c r="HD265" s="418"/>
      <c r="HE265" s="418"/>
      <c r="HF265" s="417"/>
      <c r="HG265" s="417"/>
      <c r="HH265" s="417"/>
      <c r="HI265" s="417"/>
      <c r="HJ265" s="417"/>
      <c r="HK265" s="417"/>
      <c r="HL265" s="417"/>
      <c r="HM265" s="417"/>
      <c r="HN265" s="417"/>
      <c r="HO265" s="417"/>
      <c r="HP265" s="417"/>
      <c r="HQ265" s="417"/>
      <c r="HR265" s="418"/>
      <c r="HS265" s="418"/>
      <c r="HT265" s="418"/>
    </row>
    <row r="266" spans="1:228" s="387" customFormat="1" ht="12.75" customHeight="1" x14ac:dyDescent="0.2">
      <c r="A266" s="406" t="s">
        <v>55</v>
      </c>
      <c r="B266" s="407" t="s">
        <v>42</v>
      </c>
      <c r="C266" s="406" t="s">
        <v>1000</v>
      </c>
      <c r="D266" s="407" t="s">
        <v>1006</v>
      </c>
      <c r="E266" s="407" t="s">
        <v>1000</v>
      </c>
      <c r="F266" s="407" t="s">
        <v>1006</v>
      </c>
      <c r="G266" s="406" t="s">
        <v>54</v>
      </c>
      <c r="H266" s="408" t="s">
        <v>696</v>
      </c>
      <c r="I266" s="408" t="s">
        <v>1299</v>
      </c>
      <c r="J266" s="406" t="s">
        <v>304</v>
      </c>
      <c r="K266" s="406" t="s">
        <v>305</v>
      </c>
      <c r="L266" s="406" t="s">
        <v>306</v>
      </c>
      <c r="M266" s="406" t="s">
        <v>1793</v>
      </c>
      <c r="N266" s="452">
        <v>0</v>
      </c>
      <c r="O266" s="452">
        <v>812</v>
      </c>
      <c r="P266" s="452">
        <v>893.10622763633728</v>
      </c>
      <c r="Q266" s="452">
        <v>1155.0905532836914</v>
      </c>
      <c r="R266" s="452">
        <v>629.17781639099121</v>
      </c>
      <c r="S266" s="452">
        <v>649.06454944610596</v>
      </c>
      <c r="T266" s="452">
        <v>677.58664894104004</v>
      </c>
      <c r="U266" s="409">
        <v>276.67914390563965</v>
      </c>
      <c r="V266" s="409">
        <v>750</v>
      </c>
      <c r="W266" s="409">
        <v>750</v>
      </c>
      <c r="X266" s="409">
        <v>750</v>
      </c>
      <c r="Y266" s="409">
        <v>1007.66967</v>
      </c>
      <c r="Z266" s="453">
        <f t="shared" si="108"/>
        <v>8350.3746096038049</v>
      </c>
      <c r="AA266" s="452">
        <v>450</v>
      </c>
      <c r="AB266" s="452">
        <v>450</v>
      </c>
      <c r="AC266" s="452">
        <v>500</v>
      </c>
      <c r="AD266" s="452">
        <v>450</v>
      </c>
      <c r="AE266" s="452">
        <v>450</v>
      </c>
      <c r="AF266" s="452">
        <v>500</v>
      </c>
      <c r="AG266" s="452">
        <v>450</v>
      </c>
      <c r="AH266" s="409">
        <v>500</v>
      </c>
      <c r="AI266" s="409">
        <v>450</v>
      </c>
      <c r="AJ266" s="409">
        <v>500</v>
      </c>
      <c r="AK266" s="409">
        <v>500</v>
      </c>
      <c r="AL266" s="409">
        <v>781</v>
      </c>
      <c r="AM266" s="453">
        <f t="shared" si="103"/>
        <v>5981</v>
      </c>
      <c r="AN266" s="452">
        <v>450</v>
      </c>
      <c r="AO266" s="452">
        <v>450</v>
      </c>
      <c r="AP266" s="452">
        <v>500</v>
      </c>
      <c r="AQ266" s="452">
        <v>450</v>
      </c>
      <c r="AR266" s="452">
        <v>450</v>
      </c>
      <c r="AS266" s="452">
        <v>500</v>
      </c>
      <c r="AT266" s="452">
        <v>450</v>
      </c>
      <c r="AU266" s="409">
        <v>500</v>
      </c>
      <c r="AV266" s="409">
        <v>450</v>
      </c>
      <c r="AW266" s="409">
        <v>500</v>
      </c>
      <c r="AX266" s="409">
        <v>500</v>
      </c>
      <c r="AY266" s="409">
        <v>781</v>
      </c>
      <c r="AZ266" s="453">
        <f t="shared" si="104"/>
        <v>5981</v>
      </c>
      <c r="BA266" s="452">
        <v>547.5</v>
      </c>
      <c r="BB266" s="452">
        <v>547.5</v>
      </c>
      <c r="BC266" s="452">
        <v>547.5</v>
      </c>
      <c r="BD266" s="452">
        <v>547.5</v>
      </c>
      <c r="BE266" s="452">
        <v>547.5</v>
      </c>
      <c r="BF266" s="452">
        <v>547.5</v>
      </c>
      <c r="BG266" s="452">
        <v>547.5</v>
      </c>
      <c r="BH266" s="409">
        <v>547.5</v>
      </c>
      <c r="BI266" s="409">
        <v>547.5</v>
      </c>
      <c r="BJ266" s="409">
        <v>547.5</v>
      </c>
      <c r="BK266" s="409">
        <v>547.5</v>
      </c>
      <c r="BL266" s="409">
        <v>547</v>
      </c>
      <c r="BM266" s="453">
        <f t="shared" si="105"/>
        <v>6569.5</v>
      </c>
      <c r="BN266" s="452">
        <v>547.5</v>
      </c>
      <c r="BO266" s="452">
        <v>547.5</v>
      </c>
      <c r="BP266" s="452">
        <v>547.5</v>
      </c>
      <c r="BQ266" s="452">
        <v>547.5</v>
      </c>
      <c r="BR266" s="452">
        <v>547.5</v>
      </c>
      <c r="BS266" s="452">
        <v>547.5</v>
      </c>
      <c r="BT266" s="452">
        <v>547.5</v>
      </c>
      <c r="BU266" s="409">
        <v>547.5</v>
      </c>
      <c r="BV266" s="409">
        <v>547.5</v>
      </c>
      <c r="BW266" s="409">
        <v>547.5</v>
      </c>
      <c r="BX266" s="409">
        <v>547.5</v>
      </c>
      <c r="BY266" s="409">
        <v>547</v>
      </c>
      <c r="BZ266" s="453">
        <f t="shared" si="106"/>
        <v>6569.5</v>
      </c>
      <c r="CA266" s="454">
        <f t="shared" si="107"/>
        <v>33451.374609603808</v>
      </c>
      <c r="CB266" s="419"/>
      <c r="CC266" s="419">
        <v>1</v>
      </c>
      <c r="CD266" s="419">
        <v>1</v>
      </c>
      <c r="CE266" s="419">
        <v>1</v>
      </c>
      <c r="CF266" s="419">
        <v>1</v>
      </c>
      <c r="CG266" s="420">
        <f t="shared" si="109"/>
        <v>60.987742199573447</v>
      </c>
      <c r="CH266" s="421">
        <f t="shared" si="110"/>
        <v>103.08717244755904</v>
      </c>
      <c r="CI266" s="414" t="s">
        <v>1622</v>
      </c>
      <c r="CJ266" s="415">
        <v>0</v>
      </c>
      <c r="CK266" s="415">
        <v>1036.904609883795</v>
      </c>
      <c r="CL266" s="415">
        <v>1140.4753543608736</v>
      </c>
      <c r="CM266" s="415">
        <v>1475.0230877282595</v>
      </c>
      <c r="CN266" s="415">
        <v>803.44502617801038</v>
      </c>
      <c r="CO266" s="415">
        <v>828.839905503767</v>
      </c>
      <c r="CP266" s="415">
        <v>766.18567232792748</v>
      </c>
      <c r="CQ266" s="415">
        <v>766.18567232792748</v>
      </c>
      <c r="CR266" s="415">
        <v>766.18567232792748</v>
      </c>
      <c r="CS266" s="415">
        <v>957.73209040990935</v>
      </c>
      <c r="CT266" s="415">
        <v>957.73209040990935</v>
      </c>
      <c r="CU266" s="415">
        <v>1164.5198186693908</v>
      </c>
      <c r="CV266" s="410">
        <f t="shared" ref="CV266:CV272" si="111">SUM(CJ266:CU266)</f>
        <v>10663.229000127694</v>
      </c>
      <c r="CW266" s="415">
        <v>707.76401481292294</v>
      </c>
      <c r="CX266" s="415">
        <v>899.31043289490481</v>
      </c>
      <c r="CY266" s="415">
        <v>899.31043289490481</v>
      </c>
      <c r="CZ266" s="415">
        <v>899.31043289490481</v>
      </c>
      <c r="DA266" s="415">
        <v>707.76401481292294</v>
      </c>
      <c r="DB266" s="415">
        <v>899.31043289490481</v>
      </c>
      <c r="DC266" s="415">
        <v>707.76401481292294</v>
      </c>
      <c r="DD266" s="415">
        <v>899.31043289490481</v>
      </c>
      <c r="DE266" s="415">
        <v>899.31043289490481</v>
      </c>
      <c r="DF266" s="415">
        <v>707.76401481292294</v>
      </c>
      <c r="DG266" s="415">
        <v>899.31043289490481</v>
      </c>
      <c r="DH266" s="415">
        <v>899.31043289490481</v>
      </c>
      <c r="DI266" s="410">
        <f t="shared" ref="DI266:DI272" si="112">SUM(CW266:DH266)</f>
        <v>10025.539522410931</v>
      </c>
      <c r="DJ266" s="415">
        <v>611.88439109521983</v>
      </c>
      <c r="DK266" s="415">
        <v>611.88439109521983</v>
      </c>
      <c r="DL266" s="415">
        <v>611.88439109521983</v>
      </c>
      <c r="DM266" s="415">
        <v>611.88439109521983</v>
      </c>
      <c r="DN266" s="415">
        <v>611.88439109521983</v>
      </c>
      <c r="DO266" s="415">
        <v>611.88439109521983</v>
      </c>
      <c r="DP266" s="415">
        <v>611.88439109521983</v>
      </c>
      <c r="DQ266" s="415">
        <v>611.88439109521983</v>
      </c>
      <c r="DR266" s="415">
        <v>611.88439109521983</v>
      </c>
      <c r="DS266" s="415">
        <v>611.88439109521983</v>
      </c>
      <c r="DT266" s="415">
        <v>611.88439109521983</v>
      </c>
      <c r="DU266" s="415">
        <v>611.88439109521983</v>
      </c>
      <c r="DV266" s="410">
        <f t="shared" ref="DV266:DV272" si="113">SUM(DJ266:DU266)</f>
        <v>7342.6126931426397</v>
      </c>
      <c r="DW266" s="415">
        <v>611.88439109521983</v>
      </c>
      <c r="DX266" s="415">
        <v>611.88439109521983</v>
      </c>
      <c r="DY266" s="415">
        <v>611.88439109521983</v>
      </c>
      <c r="DZ266" s="415">
        <v>611.88439109521983</v>
      </c>
      <c r="EA266" s="415">
        <v>611.88439109521983</v>
      </c>
      <c r="EB266" s="415">
        <v>611.88439109521983</v>
      </c>
      <c r="EC266" s="415">
        <v>611.88439109521983</v>
      </c>
      <c r="ED266" s="415">
        <v>611.88439109521983</v>
      </c>
      <c r="EE266" s="415">
        <v>611.88439109521983</v>
      </c>
      <c r="EF266" s="415">
        <v>611.88439109521983</v>
      </c>
      <c r="EG266" s="415">
        <v>611.88439109521983</v>
      </c>
      <c r="EH266" s="415">
        <v>611.88439109521983</v>
      </c>
      <c r="EI266" s="410">
        <f t="shared" ref="EI266:EI272" si="114">SUM(DW266:EH266)</f>
        <v>7342.6126931426397</v>
      </c>
      <c r="EJ266" s="415">
        <v>611.88439109521983</v>
      </c>
      <c r="EK266" s="415">
        <v>611.88439109521983</v>
      </c>
      <c r="EL266" s="415">
        <v>611.88439109521983</v>
      </c>
      <c r="EM266" s="415">
        <v>611.88439109521983</v>
      </c>
      <c r="EN266" s="415">
        <v>611.88439109521983</v>
      </c>
      <c r="EO266" s="415">
        <v>611.88439109521983</v>
      </c>
      <c r="EP266" s="415">
        <v>611.88439109521983</v>
      </c>
      <c r="EQ266" s="415">
        <v>611.88439109521983</v>
      </c>
      <c r="ER266" s="415">
        <v>611.88439109521983</v>
      </c>
      <c r="ES266" s="415">
        <v>611.88439109521983</v>
      </c>
      <c r="ET266" s="415">
        <v>611.88439109521983</v>
      </c>
      <c r="EU266" s="415">
        <v>611.88439109521983</v>
      </c>
      <c r="EV266" s="410">
        <f t="shared" ref="EV266:EV272" si="115">SUM(EJ266:EU266)</f>
        <v>7342.6126931426397</v>
      </c>
      <c r="EW266" s="416">
        <f t="shared" ref="EW266:EW272" si="116">SUM(EV266,EI266,DV266,DI266,CV266)</f>
        <v>42716.606601966545</v>
      </c>
      <c r="EX266" s="417">
        <f>IFERROR(VLOOKUP(H266,CEI_012018!$A$1:$U$509,9,FALSE),0)</f>
        <v>0</v>
      </c>
      <c r="EY266" s="417">
        <f>IFERROR(VLOOKUP(H266,CEI_022018!$A$1:$U$509,9,FALSE),0)</f>
        <v>812</v>
      </c>
      <c r="EZ266" s="417">
        <f>IFERROR(VLOOKUP(H266,CEI_032018!$A$1:$U$509,9,FALSE),0)</f>
        <v>1705.1062276363373</v>
      </c>
      <c r="FA266" s="417">
        <f>IFERROR(VLOOKUP(H266,CEI_042018!$A$1:$U$491,9,FALSE),0)</f>
        <v>2860.1967809200287</v>
      </c>
      <c r="FB266" s="417">
        <f>IFERROR(VLOOKUP(H266,CEI_052018!$A$1:$U$489,9,FALSE),0)</f>
        <v>3489.3745973110199</v>
      </c>
      <c r="FC266" s="417">
        <f>IFERROR(VLOOKUP(H266,CEI_062018!$A$1:$U$489,9,FALSE),0)</f>
        <v>4138.4391467571259</v>
      </c>
      <c r="FD266" s="417">
        <f>IFERROR(VLOOKUP(H266,CEI_072018!$A$1:$U$489,9,FALSE),0)</f>
        <v>4816.0257956981659</v>
      </c>
      <c r="FE266" s="417">
        <f>IFERROR(VLOOKUP(H266,CEI_082018!$A$1:$U$489,9,FALSE),0)</f>
        <v>5092.7049396038055</v>
      </c>
      <c r="FF266" s="417">
        <f>IFERROR(VLOOKUP(H266,CEI_092018!$A$1:$U$489,9,FALSE),0)</f>
        <v>6057.4615314006805</v>
      </c>
      <c r="FG266" s="417"/>
      <c r="FH266" s="417"/>
      <c r="FI266" s="417"/>
      <c r="FJ266" s="418">
        <f>IFERROR(VLOOKUP(H266,CEI_092018!$A$1:$U$489,12,FALSE),0)</f>
        <v>2550.7035424187779</v>
      </c>
      <c r="FK266" s="418">
        <f t="shared" si="99"/>
        <v>8608.1650738194585</v>
      </c>
      <c r="FL266" s="418">
        <f t="shared" si="100"/>
        <v>-257.79046421565363</v>
      </c>
      <c r="FM266" s="417"/>
      <c r="FN266" s="417"/>
      <c r="FO266" s="417"/>
      <c r="FP266" s="417"/>
      <c r="FQ266" s="417"/>
      <c r="FR266" s="417"/>
      <c r="FS266" s="417"/>
      <c r="FT266" s="417"/>
      <c r="FU266" s="417"/>
      <c r="FV266" s="417"/>
      <c r="FW266" s="417"/>
      <c r="FX266" s="417"/>
      <c r="FY266" s="418"/>
      <c r="FZ266" s="418"/>
      <c r="GA266" s="418"/>
      <c r="GB266" s="417"/>
      <c r="GC266" s="417"/>
      <c r="GD266" s="417"/>
      <c r="GE266" s="417"/>
      <c r="GF266" s="417"/>
      <c r="GG266" s="417"/>
      <c r="GH266" s="417"/>
      <c r="GI266" s="417"/>
      <c r="GJ266" s="417"/>
      <c r="GK266" s="417"/>
      <c r="GL266" s="417"/>
      <c r="GM266" s="417"/>
      <c r="GN266" s="418"/>
      <c r="GO266" s="418"/>
      <c r="GP266" s="418"/>
      <c r="GQ266" s="417"/>
      <c r="GR266" s="417"/>
      <c r="GS266" s="417"/>
      <c r="GT266" s="417"/>
      <c r="GU266" s="417"/>
      <c r="GV266" s="417"/>
      <c r="GW266" s="417"/>
      <c r="GX266" s="417"/>
      <c r="GY266" s="417"/>
      <c r="GZ266" s="417"/>
      <c r="HA266" s="417"/>
      <c r="HB266" s="417"/>
      <c r="HC266" s="418"/>
      <c r="HD266" s="418"/>
      <c r="HE266" s="418"/>
      <c r="HF266" s="417"/>
      <c r="HG266" s="417"/>
      <c r="HH266" s="417"/>
      <c r="HI266" s="417"/>
      <c r="HJ266" s="417"/>
      <c r="HK266" s="417"/>
      <c r="HL266" s="417"/>
      <c r="HM266" s="417"/>
      <c r="HN266" s="417"/>
      <c r="HO266" s="417"/>
      <c r="HP266" s="417"/>
      <c r="HQ266" s="417"/>
      <c r="HR266" s="418"/>
      <c r="HS266" s="418"/>
      <c r="HT266" s="418"/>
    </row>
    <row r="267" spans="1:228" s="387" customFormat="1" ht="12.75" customHeight="1" x14ac:dyDescent="0.2">
      <c r="A267" s="406" t="s">
        <v>55</v>
      </c>
      <c r="B267" s="407" t="s">
        <v>42</v>
      </c>
      <c r="C267" s="406" t="s">
        <v>1000</v>
      </c>
      <c r="D267" s="407" t="s">
        <v>1004</v>
      </c>
      <c r="E267" s="407" t="s">
        <v>1000</v>
      </c>
      <c r="F267" s="407" t="s">
        <v>1004</v>
      </c>
      <c r="G267" s="406" t="s">
        <v>54</v>
      </c>
      <c r="H267" s="408" t="s">
        <v>697</v>
      </c>
      <c r="I267" s="408" t="s">
        <v>1311</v>
      </c>
      <c r="J267" s="406" t="s">
        <v>307</v>
      </c>
      <c r="K267" s="406" t="s">
        <v>308</v>
      </c>
      <c r="L267" s="406" t="s">
        <v>309</v>
      </c>
      <c r="M267" s="406" t="s">
        <v>1770</v>
      </c>
      <c r="N267" s="452">
        <v>0</v>
      </c>
      <c r="O267" s="452">
        <v>0</v>
      </c>
      <c r="P267" s="452">
        <v>0</v>
      </c>
      <c r="Q267" s="452">
        <v>0</v>
      </c>
      <c r="R267" s="452">
        <v>41.252120971679688</v>
      </c>
      <c r="S267" s="452">
        <v>0</v>
      </c>
      <c r="T267" s="452">
        <v>2.8885800838470459</v>
      </c>
      <c r="U267" s="409">
        <v>0</v>
      </c>
      <c r="V267" s="409">
        <v>27.111419999999999</v>
      </c>
      <c r="W267" s="409">
        <v>40</v>
      </c>
      <c r="X267" s="409">
        <v>40</v>
      </c>
      <c r="Y267" s="409">
        <v>41</v>
      </c>
      <c r="Z267" s="453">
        <f t="shared" si="108"/>
        <v>192.25212105552674</v>
      </c>
      <c r="AA267" s="452">
        <v>15</v>
      </c>
      <c r="AB267" s="452">
        <v>15</v>
      </c>
      <c r="AC267" s="452">
        <v>25</v>
      </c>
      <c r="AD267" s="452">
        <v>25</v>
      </c>
      <c r="AE267" s="452">
        <v>20</v>
      </c>
      <c r="AF267" s="452">
        <v>30</v>
      </c>
      <c r="AG267" s="452">
        <v>25</v>
      </c>
      <c r="AH267" s="409">
        <v>75</v>
      </c>
      <c r="AI267" s="409">
        <v>75</v>
      </c>
      <c r="AJ267" s="409">
        <v>85</v>
      </c>
      <c r="AK267" s="409">
        <v>85</v>
      </c>
      <c r="AL267" s="409">
        <v>118</v>
      </c>
      <c r="AM267" s="453">
        <f t="shared" si="103"/>
        <v>593</v>
      </c>
      <c r="AN267" s="452">
        <v>15</v>
      </c>
      <c r="AO267" s="452">
        <v>15</v>
      </c>
      <c r="AP267" s="452">
        <v>15</v>
      </c>
      <c r="AQ267" s="452">
        <v>28</v>
      </c>
      <c r="AR267" s="452">
        <v>20</v>
      </c>
      <c r="AS267" s="452">
        <v>30</v>
      </c>
      <c r="AT267" s="452">
        <v>25</v>
      </c>
      <c r="AU267" s="409">
        <v>25</v>
      </c>
      <c r="AV267" s="409">
        <v>125</v>
      </c>
      <c r="AW267" s="409">
        <v>125</v>
      </c>
      <c r="AX267" s="409">
        <v>91</v>
      </c>
      <c r="AY267" s="409">
        <v>120</v>
      </c>
      <c r="AZ267" s="453">
        <f t="shared" si="104"/>
        <v>634</v>
      </c>
      <c r="BA267" s="452">
        <v>15</v>
      </c>
      <c r="BB267" s="452">
        <v>15</v>
      </c>
      <c r="BC267" s="452">
        <v>15</v>
      </c>
      <c r="BD267" s="452">
        <v>15</v>
      </c>
      <c r="BE267" s="452">
        <v>20</v>
      </c>
      <c r="BF267" s="452">
        <v>30</v>
      </c>
      <c r="BG267" s="452">
        <v>25</v>
      </c>
      <c r="BH267" s="409">
        <v>25</v>
      </c>
      <c r="BI267" s="409">
        <v>25</v>
      </c>
      <c r="BJ267" s="409">
        <v>25</v>
      </c>
      <c r="BK267" s="409">
        <v>20</v>
      </c>
      <c r="BL267" s="409">
        <v>20</v>
      </c>
      <c r="BM267" s="453">
        <f t="shared" si="105"/>
        <v>250</v>
      </c>
      <c r="BN267" s="452">
        <v>0</v>
      </c>
      <c r="BO267" s="452">
        <v>0</v>
      </c>
      <c r="BP267" s="452">
        <v>30</v>
      </c>
      <c r="BQ267" s="452">
        <v>0</v>
      </c>
      <c r="BR267" s="452">
        <v>20</v>
      </c>
      <c r="BS267" s="452">
        <v>30</v>
      </c>
      <c r="BT267" s="452">
        <v>0</v>
      </c>
      <c r="BU267" s="409">
        <v>50</v>
      </c>
      <c r="BV267" s="409">
        <v>0</v>
      </c>
      <c r="BW267" s="409">
        <v>25</v>
      </c>
      <c r="BX267" s="409">
        <v>25</v>
      </c>
      <c r="BY267" s="409">
        <v>20</v>
      </c>
      <c r="BZ267" s="453">
        <f t="shared" si="106"/>
        <v>200</v>
      </c>
      <c r="CA267" s="454">
        <f t="shared" si="107"/>
        <v>1869.2521210555267</v>
      </c>
      <c r="CB267" s="419"/>
      <c r="CC267" s="419">
        <v>1</v>
      </c>
      <c r="CD267" s="419">
        <v>1</v>
      </c>
      <c r="CE267" s="419">
        <v>1</v>
      </c>
      <c r="CF267" s="419">
        <v>1</v>
      </c>
      <c r="CG267" s="420">
        <f t="shared" si="109"/>
        <v>22.959799253802721</v>
      </c>
      <c r="CH267" s="421">
        <f t="shared" si="110"/>
        <v>63.83025605110489</v>
      </c>
      <c r="CI267" s="414" t="s">
        <v>1622</v>
      </c>
      <c r="CJ267" s="415">
        <v>0</v>
      </c>
      <c r="CK267" s="415">
        <v>0</v>
      </c>
      <c r="CL267" s="415">
        <v>0</v>
      </c>
      <c r="CM267" s="415">
        <v>0</v>
      </c>
      <c r="CN267" s="415">
        <v>95.935162790697689</v>
      </c>
      <c r="CO267" s="415">
        <v>0</v>
      </c>
      <c r="CP267" s="415">
        <v>0</v>
      </c>
      <c r="CQ267" s="415">
        <v>69.767441860465112</v>
      </c>
      <c r="CR267" s="415">
        <v>0</v>
      </c>
      <c r="CS267" s="415">
        <v>93.023255813953483</v>
      </c>
      <c r="CT267" s="415">
        <v>93.023255813953483</v>
      </c>
      <c r="CU267" s="415">
        <v>95.348837209302332</v>
      </c>
      <c r="CV267" s="410">
        <f t="shared" si="111"/>
        <v>447.09795348837213</v>
      </c>
      <c r="CW267" s="415">
        <v>34.883720930232556</v>
      </c>
      <c r="CX267" s="415">
        <v>34.883720930232556</v>
      </c>
      <c r="CY267" s="415">
        <v>58.139534883720934</v>
      </c>
      <c r="CZ267" s="415">
        <v>58.139534883720934</v>
      </c>
      <c r="DA267" s="415">
        <v>46.511627906976742</v>
      </c>
      <c r="DB267" s="415">
        <v>69.767441860465112</v>
      </c>
      <c r="DC267" s="415">
        <v>58.139534883720934</v>
      </c>
      <c r="DD267" s="415">
        <v>174.41860465116278</v>
      </c>
      <c r="DE267" s="415">
        <v>174.41860465116278</v>
      </c>
      <c r="DF267" s="415">
        <v>197.67441860465118</v>
      </c>
      <c r="DG267" s="415">
        <v>197.67441860465118</v>
      </c>
      <c r="DH267" s="415">
        <v>274.41860465116281</v>
      </c>
      <c r="DI267" s="410">
        <f t="shared" si="112"/>
        <v>1379.0697674418607</v>
      </c>
      <c r="DJ267" s="415">
        <v>34.883720930232556</v>
      </c>
      <c r="DK267" s="415">
        <v>34.883720930232556</v>
      </c>
      <c r="DL267" s="415">
        <v>34.883720930232556</v>
      </c>
      <c r="DM267" s="415">
        <v>65.116279069767444</v>
      </c>
      <c r="DN267" s="415">
        <v>46.511627906976742</v>
      </c>
      <c r="DO267" s="415">
        <v>69.767441860465112</v>
      </c>
      <c r="DP267" s="415">
        <v>58.139534883720934</v>
      </c>
      <c r="DQ267" s="415">
        <v>58.139534883720934</v>
      </c>
      <c r="DR267" s="415">
        <v>290.69767441860466</v>
      </c>
      <c r="DS267" s="415">
        <v>290.69767441860466</v>
      </c>
      <c r="DT267" s="415">
        <v>211.62790697674419</v>
      </c>
      <c r="DU267" s="415">
        <v>279.06976744186045</v>
      </c>
      <c r="DV267" s="410">
        <f t="shared" si="113"/>
        <v>1474.4186046511629</v>
      </c>
      <c r="DW267" s="415">
        <v>34.883720930232556</v>
      </c>
      <c r="DX267" s="415">
        <v>34.883720930232556</v>
      </c>
      <c r="DY267" s="415">
        <v>34.883720930232556</v>
      </c>
      <c r="DZ267" s="415">
        <v>34.883720930232556</v>
      </c>
      <c r="EA267" s="415">
        <v>46.511627906976742</v>
      </c>
      <c r="EB267" s="415">
        <v>69.767441860465112</v>
      </c>
      <c r="EC267" s="415">
        <v>58.139534883720934</v>
      </c>
      <c r="ED267" s="415">
        <v>58.139534883720934</v>
      </c>
      <c r="EE267" s="415">
        <v>58.139534883720934</v>
      </c>
      <c r="EF267" s="415">
        <v>58.139534883720934</v>
      </c>
      <c r="EG267" s="415">
        <v>46.511627906976742</v>
      </c>
      <c r="EH267" s="415">
        <v>46.511627906976742</v>
      </c>
      <c r="EI267" s="410">
        <f t="shared" si="114"/>
        <v>581.39534883720933</v>
      </c>
      <c r="EJ267" s="415">
        <v>0</v>
      </c>
      <c r="EK267" s="415">
        <v>0</v>
      </c>
      <c r="EL267" s="415">
        <v>69.767441860465112</v>
      </c>
      <c r="EM267" s="415">
        <v>0</v>
      </c>
      <c r="EN267" s="415">
        <v>46.511627906976742</v>
      </c>
      <c r="EO267" s="415">
        <v>69.767441860465112</v>
      </c>
      <c r="EP267" s="415">
        <v>0</v>
      </c>
      <c r="EQ267" s="415">
        <v>116.27906976744187</v>
      </c>
      <c r="ER267" s="415">
        <v>0</v>
      </c>
      <c r="ES267" s="415">
        <v>58.139534883720934</v>
      </c>
      <c r="ET267" s="415">
        <v>58.139534883720934</v>
      </c>
      <c r="EU267" s="415">
        <v>46.511627906976742</v>
      </c>
      <c r="EV267" s="410">
        <f t="shared" si="115"/>
        <v>465.11627906976747</v>
      </c>
      <c r="EW267" s="416">
        <f t="shared" si="116"/>
        <v>4347.0979534883727</v>
      </c>
      <c r="EX267" s="417">
        <f>IFERROR(VLOOKUP(H267,CEI_012018!$A$1:$U$509,9,FALSE),0)</f>
        <v>0</v>
      </c>
      <c r="EY267" s="417">
        <f>IFERROR(VLOOKUP(H267,CEI_022018!$A$1:$U$509,9,FALSE),0)</f>
        <v>0</v>
      </c>
      <c r="EZ267" s="417">
        <f>IFERROR(VLOOKUP(H267,CEI_032018!$A$1:$U$509,9,FALSE),0)</f>
        <v>0</v>
      </c>
      <c r="FA267" s="417">
        <f>IFERROR(VLOOKUP(H267,CEI_042018!$A$1:$U$491,9,FALSE),0)</f>
        <v>0</v>
      </c>
      <c r="FB267" s="417">
        <f>IFERROR(VLOOKUP(H267,CEI_052018!$A$1:$U$489,9,FALSE),0)</f>
        <v>41.252120971679688</v>
      </c>
      <c r="FC267" s="417">
        <f>IFERROR(VLOOKUP(H267,CEI_062018!$A$1:$U$489,9,FALSE),0)</f>
        <v>41.252120971679688</v>
      </c>
      <c r="FD267" s="417">
        <f>IFERROR(VLOOKUP(H267,CEI_072018!$A$1:$U$489,9,FALSE),0)</f>
        <v>44.140701055526733</v>
      </c>
      <c r="FE267" s="417">
        <f>IFERROR(VLOOKUP(H267,CEI_082018!$A$1:$U$489,9,FALSE),0)</f>
        <v>44.140701055526733</v>
      </c>
      <c r="FF267" s="417">
        <f>IFERROR(VLOOKUP(H267,CEI_092018!$A$1:$U$489,9,FALSE),0)</f>
        <v>69.175031423568726</v>
      </c>
      <c r="FG267" s="417"/>
      <c r="FH267" s="417"/>
      <c r="FI267" s="417"/>
      <c r="FJ267" s="418">
        <f>IFERROR(VLOOKUP(H267,CEI_092018!$A$1:$U$489,12,FALSE),0)</f>
        <v>53.539989709854126</v>
      </c>
      <c r="FK267" s="418">
        <f t="shared" si="99"/>
        <v>122.71502113342285</v>
      </c>
      <c r="FL267" s="418">
        <f t="shared" si="100"/>
        <v>69.537099922103891</v>
      </c>
      <c r="FM267" s="417"/>
      <c r="FN267" s="417"/>
      <c r="FO267" s="417"/>
      <c r="FP267" s="417"/>
      <c r="FQ267" s="417"/>
      <c r="FR267" s="417"/>
      <c r="FS267" s="417"/>
      <c r="FT267" s="417"/>
      <c r="FU267" s="417"/>
      <c r="FV267" s="417"/>
      <c r="FW267" s="417"/>
      <c r="FX267" s="417"/>
      <c r="FY267" s="418"/>
      <c r="FZ267" s="418"/>
      <c r="GA267" s="418"/>
      <c r="GB267" s="417"/>
      <c r="GC267" s="417"/>
      <c r="GD267" s="417"/>
      <c r="GE267" s="417"/>
      <c r="GF267" s="417"/>
      <c r="GG267" s="417"/>
      <c r="GH267" s="417"/>
      <c r="GI267" s="417"/>
      <c r="GJ267" s="417"/>
      <c r="GK267" s="417"/>
      <c r="GL267" s="417"/>
      <c r="GM267" s="417"/>
      <c r="GN267" s="418"/>
      <c r="GO267" s="418"/>
      <c r="GP267" s="418"/>
      <c r="GQ267" s="417"/>
      <c r="GR267" s="417"/>
      <c r="GS267" s="417"/>
      <c r="GT267" s="417"/>
      <c r="GU267" s="417"/>
      <c r="GV267" s="417"/>
      <c r="GW267" s="417"/>
      <c r="GX267" s="417"/>
      <c r="GY267" s="417"/>
      <c r="GZ267" s="417"/>
      <c r="HA267" s="417"/>
      <c r="HB267" s="417"/>
      <c r="HC267" s="418"/>
      <c r="HD267" s="418"/>
      <c r="HE267" s="418"/>
      <c r="HF267" s="417"/>
      <c r="HG267" s="417"/>
      <c r="HH267" s="417"/>
      <c r="HI267" s="417"/>
      <c r="HJ267" s="417"/>
      <c r="HK267" s="417"/>
      <c r="HL267" s="417"/>
      <c r="HM267" s="417"/>
      <c r="HN267" s="417"/>
      <c r="HO267" s="417"/>
      <c r="HP267" s="417"/>
      <c r="HQ267" s="417"/>
      <c r="HR267" s="418"/>
      <c r="HS267" s="418"/>
      <c r="HT267" s="418"/>
    </row>
    <row r="268" spans="1:228" s="387" customFormat="1" ht="12.75" customHeight="1" x14ac:dyDescent="0.2">
      <c r="A268" s="406" t="s">
        <v>55</v>
      </c>
      <c r="B268" s="407" t="s">
        <v>42</v>
      </c>
      <c r="C268" s="406" t="s">
        <v>1000</v>
      </c>
      <c r="D268" s="407" t="s">
        <v>1004</v>
      </c>
      <c r="E268" s="407" t="s">
        <v>1000</v>
      </c>
      <c r="F268" s="407" t="s">
        <v>1004</v>
      </c>
      <c r="G268" s="406" t="s">
        <v>54</v>
      </c>
      <c r="H268" s="408" t="s">
        <v>520</v>
      </c>
      <c r="I268" s="408" t="s">
        <v>57</v>
      </c>
      <c r="J268" s="406" t="s">
        <v>963</v>
      </c>
      <c r="K268" s="406" t="s">
        <v>964</v>
      </c>
      <c r="L268" s="406"/>
      <c r="M268" s="406" t="s">
        <v>1794</v>
      </c>
      <c r="N268" s="452">
        <v>0</v>
      </c>
      <c r="O268" s="452">
        <v>0</v>
      </c>
      <c r="P268" s="452">
        <v>0</v>
      </c>
      <c r="Q268" s="452">
        <v>0</v>
      </c>
      <c r="R268" s="452">
        <v>0</v>
      </c>
      <c r="S268" s="452">
        <v>0</v>
      </c>
      <c r="T268" s="452">
        <v>0</v>
      </c>
      <c r="U268" s="409">
        <v>0</v>
      </c>
      <c r="V268" s="409">
        <v>0</v>
      </c>
      <c r="W268" s="409">
        <v>0</v>
      </c>
      <c r="X268" s="409">
        <v>0</v>
      </c>
      <c r="Y268" s="409">
        <v>0</v>
      </c>
      <c r="Z268" s="453">
        <f t="shared" si="108"/>
        <v>0</v>
      </c>
      <c r="AA268" s="452">
        <v>516</v>
      </c>
      <c r="AB268" s="452">
        <v>0</v>
      </c>
      <c r="AC268" s="452">
        <v>0</v>
      </c>
      <c r="AD268" s="452">
        <v>0</v>
      </c>
      <c r="AE268" s="452">
        <v>0</v>
      </c>
      <c r="AF268" s="452">
        <v>0</v>
      </c>
      <c r="AG268" s="452">
        <v>0</v>
      </c>
      <c r="AH268" s="409">
        <v>0</v>
      </c>
      <c r="AI268" s="409">
        <v>0</v>
      </c>
      <c r="AJ268" s="409">
        <v>0</v>
      </c>
      <c r="AK268" s="409">
        <v>0</v>
      </c>
      <c r="AL268" s="409">
        <v>0</v>
      </c>
      <c r="AM268" s="453">
        <f t="shared" si="103"/>
        <v>516</v>
      </c>
      <c r="AN268" s="452">
        <v>0</v>
      </c>
      <c r="AO268" s="452">
        <v>0</v>
      </c>
      <c r="AP268" s="452">
        <v>0</v>
      </c>
      <c r="AQ268" s="452">
        <v>0</v>
      </c>
      <c r="AR268" s="452">
        <v>0</v>
      </c>
      <c r="AS268" s="452">
        <v>0</v>
      </c>
      <c r="AT268" s="452">
        <v>0</v>
      </c>
      <c r="AU268" s="409">
        <v>0</v>
      </c>
      <c r="AV268" s="409">
        <v>0</v>
      </c>
      <c r="AW268" s="409">
        <v>0</v>
      </c>
      <c r="AX268" s="409">
        <v>0</v>
      </c>
      <c r="AY268" s="409">
        <v>0</v>
      </c>
      <c r="AZ268" s="453">
        <f t="shared" si="104"/>
        <v>0</v>
      </c>
      <c r="BA268" s="452">
        <v>0</v>
      </c>
      <c r="BB268" s="452">
        <v>0</v>
      </c>
      <c r="BC268" s="452">
        <v>0</v>
      </c>
      <c r="BD268" s="452">
        <v>0</v>
      </c>
      <c r="BE268" s="452">
        <v>0</v>
      </c>
      <c r="BF268" s="452">
        <v>0</v>
      </c>
      <c r="BG268" s="452">
        <v>0</v>
      </c>
      <c r="BH268" s="409">
        <v>0</v>
      </c>
      <c r="BI268" s="409">
        <v>0</v>
      </c>
      <c r="BJ268" s="409">
        <v>0</v>
      </c>
      <c r="BK268" s="409">
        <v>0</v>
      </c>
      <c r="BL268" s="409">
        <v>0</v>
      </c>
      <c r="BM268" s="453">
        <f t="shared" si="105"/>
        <v>0</v>
      </c>
      <c r="BN268" s="452">
        <v>0</v>
      </c>
      <c r="BO268" s="452">
        <v>0</v>
      </c>
      <c r="BP268" s="452">
        <v>0</v>
      </c>
      <c r="BQ268" s="452">
        <v>0</v>
      </c>
      <c r="BR268" s="452">
        <v>0</v>
      </c>
      <c r="BS268" s="452">
        <v>0</v>
      </c>
      <c r="BT268" s="452">
        <v>0</v>
      </c>
      <c r="BU268" s="409">
        <v>0</v>
      </c>
      <c r="BV268" s="409">
        <v>0</v>
      </c>
      <c r="BW268" s="409">
        <v>0</v>
      </c>
      <c r="BX268" s="409">
        <v>0</v>
      </c>
      <c r="BY268" s="409">
        <v>0</v>
      </c>
      <c r="BZ268" s="453">
        <f t="shared" si="106"/>
        <v>0</v>
      </c>
      <c r="CA268" s="454">
        <f t="shared" si="107"/>
        <v>516</v>
      </c>
      <c r="CB268" s="411"/>
      <c r="CC268" s="411"/>
      <c r="CD268" s="411"/>
      <c r="CE268" s="411"/>
      <c r="CF268" s="411"/>
      <c r="CG268" s="412"/>
      <c r="CH268" s="413"/>
      <c r="CI268" s="414" t="s">
        <v>1621</v>
      </c>
      <c r="CJ268" s="415">
        <v>0</v>
      </c>
      <c r="CK268" s="415">
        <v>0</v>
      </c>
      <c r="CL268" s="415">
        <v>0</v>
      </c>
      <c r="CM268" s="415">
        <v>0</v>
      </c>
      <c r="CN268" s="415">
        <v>0</v>
      </c>
      <c r="CO268" s="415">
        <v>0</v>
      </c>
      <c r="CP268" s="415">
        <v>0</v>
      </c>
      <c r="CQ268" s="415">
        <v>0</v>
      </c>
      <c r="CR268" s="415">
        <v>0</v>
      </c>
      <c r="CS268" s="415">
        <v>0</v>
      </c>
      <c r="CT268" s="415">
        <v>0</v>
      </c>
      <c r="CU268" s="415">
        <v>0</v>
      </c>
      <c r="CV268" s="410">
        <f t="shared" si="111"/>
        <v>0</v>
      </c>
      <c r="CW268" s="415">
        <v>1</v>
      </c>
      <c r="CX268" s="415">
        <v>0</v>
      </c>
      <c r="CY268" s="415">
        <v>0</v>
      </c>
      <c r="CZ268" s="415">
        <v>0</v>
      </c>
      <c r="DA268" s="415">
        <v>0</v>
      </c>
      <c r="DB268" s="415">
        <v>0</v>
      </c>
      <c r="DC268" s="415">
        <v>0</v>
      </c>
      <c r="DD268" s="415">
        <v>0</v>
      </c>
      <c r="DE268" s="415">
        <v>0</v>
      </c>
      <c r="DF268" s="415">
        <v>0</v>
      </c>
      <c r="DG268" s="415">
        <v>0</v>
      </c>
      <c r="DH268" s="415">
        <v>0</v>
      </c>
      <c r="DI268" s="410">
        <f t="shared" si="112"/>
        <v>1</v>
      </c>
      <c r="DJ268" s="415">
        <v>0</v>
      </c>
      <c r="DK268" s="415">
        <v>0</v>
      </c>
      <c r="DL268" s="415">
        <v>0</v>
      </c>
      <c r="DM268" s="415">
        <v>0</v>
      </c>
      <c r="DN268" s="415">
        <v>0</v>
      </c>
      <c r="DO268" s="415">
        <v>0</v>
      </c>
      <c r="DP268" s="415">
        <v>0</v>
      </c>
      <c r="DQ268" s="415">
        <v>0</v>
      </c>
      <c r="DR268" s="415">
        <v>0</v>
      </c>
      <c r="DS268" s="415">
        <v>0</v>
      </c>
      <c r="DT268" s="415">
        <v>0</v>
      </c>
      <c r="DU268" s="415">
        <v>0</v>
      </c>
      <c r="DV268" s="410">
        <f t="shared" si="113"/>
        <v>0</v>
      </c>
      <c r="DW268" s="415">
        <v>0</v>
      </c>
      <c r="DX268" s="415">
        <v>0</v>
      </c>
      <c r="DY268" s="415">
        <v>0</v>
      </c>
      <c r="DZ268" s="415">
        <v>0</v>
      </c>
      <c r="EA268" s="415">
        <v>0</v>
      </c>
      <c r="EB268" s="415">
        <v>0</v>
      </c>
      <c r="EC268" s="415">
        <v>0</v>
      </c>
      <c r="ED268" s="415">
        <v>0</v>
      </c>
      <c r="EE268" s="415">
        <v>0</v>
      </c>
      <c r="EF268" s="415">
        <v>0</v>
      </c>
      <c r="EG268" s="415">
        <v>0</v>
      </c>
      <c r="EH268" s="415">
        <v>0</v>
      </c>
      <c r="EI268" s="410">
        <f t="shared" si="114"/>
        <v>0</v>
      </c>
      <c r="EJ268" s="415">
        <v>0</v>
      </c>
      <c r="EK268" s="415">
        <v>0</v>
      </c>
      <c r="EL268" s="415">
        <v>0</v>
      </c>
      <c r="EM268" s="415">
        <v>0</v>
      </c>
      <c r="EN268" s="415">
        <v>0</v>
      </c>
      <c r="EO268" s="415">
        <v>0</v>
      </c>
      <c r="EP268" s="415">
        <v>0</v>
      </c>
      <c r="EQ268" s="415">
        <v>0</v>
      </c>
      <c r="ER268" s="415">
        <v>0</v>
      </c>
      <c r="ES268" s="415">
        <v>0</v>
      </c>
      <c r="ET268" s="415">
        <v>0</v>
      </c>
      <c r="EU268" s="415">
        <v>0</v>
      </c>
      <c r="EV268" s="410">
        <f t="shared" si="115"/>
        <v>0</v>
      </c>
      <c r="EW268" s="416">
        <f t="shared" si="116"/>
        <v>1</v>
      </c>
      <c r="EX268" s="417">
        <f>IFERROR(VLOOKUP(H268,CEI_012018!$A$1:$U$509,9,FALSE),0)</f>
        <v>0</v>
      </c>
      <c r="EY268" s="417">
        <f>IFERROR(VLOOKUP(H268,CEI_022018!$A$1:$U$509,9,FALSE),0)</f>
        <v>0</v>
      </c>
      <c r="EZ268" s="417">
        <f>IFERROR(VLOOKUP(H268,CEI_032018!$A$1:$U$509,9,FALSE),0)</f>
        <v>0</v>
      </c>
      <c r="FA268" s="417">
        <f>IFERROR(VLOOKUP(H268,CEI_042018!$A$1:$U$491,9,FALSE),0)</f>
        <v>0</v>
      </c>
      <c r="FB268" s="417">
        <f>IFERROR(VLOOKUP(H268,CEI_052018!$A$1:$U$489,9,FALSE),0)</f>
        <v>0</v>
      </c>
      <c r="FC268" s="417">
        <f>IFERROR(VLOOKUP(H268,CEI_062018!$A$1:$U$489,9,FALSE),0)</f>
        <v>0</v>
      </c>
      <c r="FD268" s="417">
        <f>IFERROR(VLOOKUP(H268,CEI_072018!$A$1:$U$489,9,FALSE),0)</f>
        <v>0</v>
      </c>
      <c r="FE268" s="417">
        <f>IFERROR(VLOOKUP(H268,CEI_082018!$A$1:$U$489,9,FALSE),0)</f>
        <v>0</v>
      </c>
      <c r="FF268" s="417">
        <f>IFERROR(VLOOKUP(H268,CEI_092018!$A$1:$U$489,9,FALSE),0)</f>
        <v>0</v>
      </c>
      <c r="FG268" s="417"/>
      <c r="FH268" s="417"/>
      <c r="FI268" s="417"/>
      <c r="FJ268" s="418">
        <f>IFERROR(VLOOKUP(H268,CEI_092018!$A$1:$U$489,12,FALSE),0)</f>
        <v>0</v>
      </c>
      <c r="FK268" s="418">
        <f t="shared" si="99"/>
        <v>0</v>
      </c>
      <c r="FL268" s="418">
        <f t="shared" si="100"/>
        <v>0</v>
      </c>
      <c r="FM268" s="417"/>
      <c r="FN268" s="417"/>
      <c r="FO268" s="417"/>
      <c r="FP268" s="417"/>
      <c r="FQ268" s="417"/>
      <c r="FR268" s="417"/>
      <c r="FS268" s="417"/>
      <c r="FT268" s="417"/>
      <c r="FU268" s="417"/>
      <c r="FV268" s="417"/>
      <c r="FW268" s="417"/>
      <c r="FX268" s="417"/>
      <c r="FY268" s="418"/>
      <c r="FZ268" s="418"/>
      <c r="GA268" s="418"/>
      <c r="GB268" s="417"/>
      <c r="GC268" s="417"/>
      <c r="GD268" s="417"/>
      <c r="GE268" s="417"/>
      <c r="GF268" s="417"/>
      <c r="GG268" s="417"/>
      <c r="GH268" s="417"/>
      <c r="GI268" s="417"/>
      <c r="GJ268" s="417"/>
      <c r="GK268" s="417"/>
      <c r="GL268" s="417"/>
      <c r="GM268" s="417"/>
      <c r="GN268" s="418"/>
      <c r="GO268" s="418"/>
      <c r="GP268" s="418"/>
      <c r="GQ268" s="417"/>
      <c r="GR268" s="417"/>
      <c r="GS268" s="417"/>
      <c r="GT268" s="417"/>
      <c r="GU268" s="417"/>
      <c r="GV268" s="417"/>
      <c r="GW268" s="417"/>
      <c r="GX268" s="417"/>
      <c r="GY268" s="417"/>
      <c r="GZ268" s="417"/>
      <c r="HA268" s="417"/>
      <c r="HB268" s="417"/>
      <c r="HC268" s="418"/>
      <c r="HD268" s="418"/>
      <c r="HE268" s="418"/>
      <c r="HF268" s="417"/>
      <c r="HG268" s="417"/>
      <c r="HH268" s="417"/>
      <c r="HI268" s="417"/>
      <c r="HJ268" s="417"/>
      <c r="HK268" s="417"/>
      <c r="HL268" s="417"/>
      <c r="HM268" s="417"/>
      <c r="HN268" s="417"/>
      <c r="HO268" s="417"/>
      <c r="HP268" s="417"/>
      <c r="HQ268" s="417"/>
      <c r="HR268" s="418"/>
      <c r="HS268" s="418"/>
      <c r="HT268" s="418"/>
    </row>
    <row r="269" spans="1:228" s="387" customFormat="1" ht="12.75" customHeight="1" x14ac:dyDescent="0.2">
      <c r="A269" s="406" t="s">
        <v>55</v>
      </c>
      <c r="B269" s="407" t="s">
        <v>42</v>
      </c>
      <c r="C269" s="406" t="s">
        <v>1000</v>
      </c>
      <c r="D269" s="407" t="s">
        <v>1004</v>
      </c>
      <c r="E269" s="407" t="s">
        <v>1000</v>
      </c>
      <c r="F269" s="407" t="s">
        <v>1004</v>
      </c>
      <c r="G269" s="406" t="s">
        <v>54</v>
      </c>
      <c r="H269" s="408" t="s">
        <v>520</v>
      </c>
      <c r="I269" s="408" t="s">
        <v>57</v>
      </c>
      <c r="J269" s="406" t="s">
        <v>382</v>
      </c>
      <c r="K269" s="406" t="s">
        <v>720</v>
      </c>
      <c r="L269" s="406" t="s">
        <v>721</v>
      </c>
      <c r="M269" s="406" t="s">
        <v>57</v>
      </c>
      <c r="N269" s="452">
        <v>0</v>
      </c>
      <c r="O269" s="452">
        <v>0</v>
      </c>
      <c r="P269" s="452">
        <v>0</v>
      </c>
      <c r="Q269" s="452">
        <v>0</v>
      </c>
      <c r="R269" s="452">
        <v>0</v>
      </c>
      <c r="S269" s="452">
        <v>0</v>
      </c>
      <c r="T269" s="452">
        <v>0</v>
      </c>
      <c r="U269" s="409">
        <v>0</v>
      </c>
      <c r="V269" s="409">
        <v>0</v>
      </c>
      <c r="W269" s="409">
        <v>0</v>
      </c>
      <c r="X269" s="409">
        <v>0</v>
      </c>
      <c r="Y269" s="409">
        <v>0</v>
      </c>
      <c r="Z269" s="453">
        <f t="shared" si="108"/>
        <v>0</v>
      </c>
      <c r="AA269" s="452">
        <v>0</v>
      </c>
      <c r="AB269" s="452">
        <v>0</v>
      </c>
      <c r="AC269" s="452">
        <v>0</v>
      </c>
      <c r="AD269" s="452">
        <v>0</v>
      </c>
      <c r="AE269" s="452">
        <v>0</v>
      </c>
      <c r="AF269" s="452">
        <v>0</v>
      </c>
      <c r="AG269" s="452">
        <v>0</v>
      </c>
      <c r="AH269" s="409">
        <v>0</v>
      </c>
      <c r="AI269" s="409">
        <v>0</v>
      </c>
      <c r="AJ269" s="409">
        <v>0</v>
      </c>
      <c r="AK269" s="409">
        <v>0</v>
      </c>
      <c r="AL269" s="409">
        <v>150</v>
      </c>
      <c r="AM269" s="453">
        <f t="shared" si="103"/>
        <v>150</v>
      </c>
      <c r="AN269" s="452">
        <v>0</v>
      </c>
      <c r="AO269" s="452">
        <v>75</v>
      </c>
      <c r="AP269" s="452">
        <v>75</v>
      </c>
      <c r="AQ269" s="452">
        <v>0</v>
      </c>
      <c r="AR269" s="452">
        <v>0</v>
      </c>
      <c r="AS269" s="452">
        <v>0</v>
      </c>
      <c r="AT269" s="452">
        <v>0</v>
      </c>
      <c r="AU269" s="409">
        <v>0</v>
      </c>
      <c r="AV269" s="409">
        <v>0</v>
      </c>
      <c r="AW269" s="409">
        <v>0</v>
      </c>
      <c r="AX269" s="409">
        <v>0</v>
      </c>
      <c r="AY269" s="409">
        <v>0</v>
      </c>
      <c r="AZ269" s="453">
        <f t="shared" si="104"/>
        <v>150</v>
      </c>
      <c r="BA269" s="452">
        <v>0</v>
      </c>
      <c r="BB269" s="452">
        <v>0</v>
      </c>
      <c r="BC269" s="452">
        <v>0</v>
      </c>
      <c r="BD269" s="452">
        <v>0</v>
      </c>
      <c r="BE269" s="452">
        <v>0</v>
      </c>
      <c r="BF269" s="452">
        <v>0</v>
      </c>
      <c r="BG269" s="452">
        <v>0</v>
      </c>
      <c r="BH269" s="409">
        <v>0</v>
      </c>
      <c r="BI269" s="409">
        <v>0</v>
      </c>
      <c r="BJ269" s="409">
        <v>0</v>
      </c>
      <c r="BK269" s="409">
        <v>0</v>
      </c>
      <c r="BL269" s="409">
        <v>0</v>
      </c>
      <c r="BM269" s="453">
        <f t="shared" si="105"/>
        <v>0</v>
      </c>
      <c r="BN269" s="452">
        <v>0</v>
      </c>
      <c r="BO269" s="452">
        <v>0</v>
      </c>
      <c r="BP269" s="452">
        <v>0</v>
      </c>
      <c r="BQ269" s="452">
        <v>0</v>
      </c>
      <c r="BR269" s="452">
        <v>0</v>
      </c>
      <c r="BS269" s="452">
        <v>0</v>
      </c>
      <c r="BT269" s="452">
        <v>0</v>
      </c>
      <c r="BU269" s="409">
        <v>0</v>
      </c>
      <c r="BV269" s="409">
        <v>0</v>
      </c>
      <c r="BW269" s="409">
        <v>0</v>
      </c>
      <c r="BX269" s="409">
        <v>0</v>
      </c>
      <c r="BY269" s="409">
        <v>0</v>
      </c>
      <c r="BZ269" s="453">
        <f t="shared" si="106"/>
        <v>0</v>
      </c>
      <c r="CA269" s="454">
        <f t="shared" si="107"/>
        <v>300</v>
      </c>
      <c r="CB269" s="411"/>
      <c r="CC269" s="411"/>
      <c r="CD269" s="411"/>
      <c r="CE269" s="411"/>
      <c r="CF269" s="411"/>
      <c r="CG269" s="412"/>
      <c r="CH269" s="413"/>
      <c r="CI269" s="414" t="s">
        <v>1621</v>
      </c>
      <c r="CJ269" s="415">
        <v>0</v>
      </c>
      <c r="CK269" s="415">
        <v>0</v>
      </c>
      <c r="CL269" s="415">
        <v>0</v>
      </c>
      <c r="CM269" s="415">
        <v>0</v>
      </c>
      <c r="CN269" s="415">
        <v>0</v>
      </c>
      <c r="CO269" s="415">
        <v>0</v>
      </c>
      <c r="CP269" s="415">
        <v>0</v>
      </c>
      <c r="CQ269" s="415">
        <v>0</v>
      </c>
      <c r="CR269" s="415">
        <v>0</v>
      </c>
      <c r="CS269" s="415">
        <v>0</v>
      </c>
      <c r="CT269" s="415">
        <v>0</v>
      </c>
      <c r="CU269" s="415">
        <v>0</v>
      </c>
      <c r="CV269" s="410">
        <f t="shared" si="111"/>
        <v>0</v>
      </c>
      <c r="CW269" s="415">
        <v>0</v>
      </c>
      <c r="CX269" s="415">
        <v>0</v>
      </c>
      <c r="CY269" s="415">
        <v>0</v>
      </c>
      <c r="CZ269" s="415">
        <v>0</v>
      </c>
      <c r="DA269" s="415">
        <v>0</v>
      </c>
      <c r="DB269" s="415">
        <v>0</v>
      </c>
      <c r="DC269" s="415">
        <v>0</v>
      </c>
      <c r="DD269" s="415">
        <v>0</v>
      </c>
      <c r="DE269" s="415">
        <v>0</v>
      </c>
      <c r="DF269" s="415">
        <v>0</v>
      </c>
      <c r="DG269" s="415">
        <v>0</v>
      </c>
      <c r="DH269" s="415">
        <v>1</v>
      </c>
      <c r="DI269" s="410">
        <f t="shared" si="112"/>
        <v>1</v>
      </c>
      <c r="DJ269" s="415">
        <v>0</v>
      </c>
      <c r="DK269" s="415">
        <v>0</v>
      </c>
      <c r="DL269" s="415">
        <v>0</v>
      </c>
      <c r="DM269" s="415">
        <v>0</v>
      </c>
      <c r="DN269" s="415">
        <v>0</v>
      </c>
      <c r="DO269" s="415">
        <v>0</v>
      </c>
      <c r="DP269" s="415">
        <v>0</v>
      </c>
      <c r="DQ269" s="415">
        <v>0</v>
      </c>
      <c r="DR269" s="415">
        <v>0</v>
      </c>
      <c r="DS269" s="415">
        <v>0</v>
      </c>
      <c r="DT269" s="415">
        <v>0</v>
      </c>
      <c r="DU269" s="415">
        <v>0</v>
      </c>
      <c r="DV269" s="410">
        <f t="shared" si="113"/>
        <v>0</v>
      </c>
      <c r="DW269" s="415">
        <v>0</v>
      </c>
      <c r="DX269" s="415">
        <v>0</v>
      </c>
      <c r="DY269" s="415">
        <v>0</v>
      </c>
      <c r="DZ269" s="415">
        <v>0</v>
      </c>
      <c r="EA269" s="415">
        <v>0</v>
      </c>
      <c r="EB269" s="415">
        <v>0</v>
      </c>
      <c r="EC269" s="415">
        <v>0</v>
      </c>
      <c r="ED269" s="415">
        <v>0</v>
      </c>
      <c r="EE269" s="415">
        <v>0</v>
      </c>
      <c r="EF269" s="415">
        <v>0</v>
      </c>
      <c r="EG269" s="415">
        <v>0</v>
      </c>
      <c r="EH269" s="415">
        <v>0</v>
      </c>
      <c r="EI269" s="410">
        <f t="shared" si="114"/>
        <v>0</v>
      </c>
      <c r="EJ269" s="415">
        <v>0</v>
      </c>
      <c r="EK269" s="415">
        <v>0</v>
      </c>
      <c r="EL269" s="415">
        <v>0</v>
      </c>
      <c r="EM269" s="415">
        <v>0</v>
      </c>
      <c r="EN269" s="415">
        <v>0</v>
      </c>
      <c r="EO269" s="415">
        <v>0</v>
      </c>
      <c r="EP269" s="415">
        <v>0</v>
      </c>
      <c r="EQ269" s="415">
        <v>0</v>
      </c>
      <c r="ER269" s="415">
        <v>0</v>
      </c>
      <c r="ES269" s="415">
        <v>0</v>
      </c>
      <c r="ET269" s="415">
        <v>0</v>
      </c>
      <c r="EU269" s="415">
        <v>0</v>
      </c>
      <c r="EV269" s="410">
        <f t="shared" si="115"/>
        <v>0</v>
      </c>
      <c r="EW269" s="416">
        <f t="shared" si="116"/>
        <v>1</v>
      </c>
      <c r="EX269" s="417">
        <f>IFERROR(VLOOKUP(H269,CEI_012018!$A$1:$U$509,9,FALSE),0)</f>
        <v>0</v>
      </c>
      <c r="EY269" s="417">
        <f>IFERROR(VLOOKUP(H269,CEI_022018!$A$1:$U$509,9,FALSE),0)</f>
        <v>0</v>
      </c>
      <c r="EZ269" s="417">
        <f>IFERROR(VLOOKUP(H269,CEI_032018!$A$1:$U$509,9,FALSE),0)</f>
        <v>0</v>
      </c>
      <c r="FA269" s="417">
        <f>IFERROR(VLOOKUP(H269,CEI_042018!$A$1:$U$491,9,FALSE),0)</f>
        <v>0</v>
      </c>
      <c r="FB269" s="417">
        <f>IFERROR(VLOOKUP(H269,CEI_052018!$A$1:$U$489,9,FALSE),0)</f>
        <v>0</v>
      </c>
      <c r="FC269" s="417">
        <f>IFERROR(VLOOKUP(H269,CEI_062018!$A$1:$U$489,9,FALSE),0)</f>
        <v>0</v>
      </c>
      <c r="FD269" s="417">
        <f>IFERROR(VLOOKUP(H269,CEI_072018!$A$1:$U$489,9,FALSE),0)</f>
        <v>0</v>
      </c>
      <c r="FE269" s="417">
        <f>IFERROR(VLOOKUP(H269,CEI_082018!$A$1:$U$489,9,FALSE),0)</f>
        <v>0</v>
      </c>
      <c r="FF269" s="417">
        <f>IFERROR(VLOOKUP(H269,CEI_092018!$A$1:$U$489,9,FALSE),0)</f>
        <v>0</v>
      </c>
      <c r="FG269" s="417"/>
      <c r="FH269" s="417"/>
      <c r="FI269" s="417"/>
      <c r="FJ269" s="418">
        <f>IFERROR(VLOOKUP(H269,CEI_092018!$A$1:$U$489,12,FALSE),0)</f>
        <v>0</v>
      </c>
      <c r="FK269" s="418">
        <f t="shared" si="99"/>
        <v>0</v>
      </c>
      <c r="FL269" s="418">
        <f t="shared" si="100"/>
        <v>0</v>
      </c>
      <c r="FM269" s="417"/>
      <c r="FN269" s="417"/>
      <c r="FO269" s="417"/>
      <c r="FP269" s="417"/>
      <c r="FQ269" s="417"/>
      <c r="FR269" s="417"/>
      <c r="FS269" s="417"/>
      <c r="FT269" s="417"/>
      <c r="FU269" s="417"/>
      <c r="FV269" s="417"/>
      <c r="FW269" s="417"/>
      <c r="FX269" s="417"/>
      <c r="FY269" s="418"/>
      <c r="FZ269" s="418"/>
      <c r="GA269" s="418"/>
      <c r="GB269" s="417"/>
      <c r="GC269" s="417"/>
      <c r="GD269" s="417"/>
      <c r="GE269" s="417"/>
      <c r="GF269" s="417"/>
      <c r="GG269" s="417"/>
      <c r="GH269" s="417"/>
      <c r="GI269" s="417"/>
      <c r="GJ269" s="417"/>
      <c r="GK269" s="417"/>
      <c r="GL269" s="417"/>
      <c r="GM269" s="417"/>
      <c r="GN269" s="418"/>
      <c r="GO269" s="418"/>
      <c r="GP269" s="418"/>
      <c r="GQ269" s="417"/>
      <c r="GR269" s="417"/>
      <c r="GS269" s="417"/>
      <c r="GT269" s="417"/>
      <c r="GU269" s="417"/>
      <c r="GV269" s="417"/>
      <c r="GW269" s="417"/>
      <c r="GX269" s="417"/>
      <c r="GY269" s="417"/>
      <c r="GZ269" s="417"/>
      <c r="HA269" s="417"/>
      <c r="HB269" s="417"/>
      <c r="HC269" s="418"/>
      <c r="HD269" s="418"/>
      <c r="HE269" s="418"/>
      <c r="HF269" s="417"/>
      <c r="HG269" s="417"/>
      <c r="HH269" s="417"/>
      <c r="HI269" s="417"/>
      <c r="HJ269" s="417"/>
      <c r="HK269" s="417"/>
      <c r="HL269" s="417"/>
      <c r="HM269" s="417"/>
      <c r="HN269" s="417"/>
      <c r="HO269" s="417"/>
      <c r="HP269" s="417"/>
      <c r="HQ269" s="417"/>
      <c r="HR269" s="418"/>
      <c r="HS269" s="418"/>
      <c r="HT269" s="418"/>
    </row>
    <row r="270" spans="1:228" s="387" customFormat="1" ht="12.75" customHeight="1" x14ac:dyDescent="0.2">
      <c r="A270" s="406" t="s">
        <v>55</v>
      </c>
      <c r="B270" s="407" t="s">
        <v>42</v>
      </c>
      <c r="C270" s="406" t="s">
        <v>1000</v>
      </c>
      <c r="D270" s="407" t="s">
        <v>1004</v>
      </c>
      <c r="E270" s="407" t="s">
        <v>56</v>
      </c>
      <c r="F270" s="407" t="s">
        <v>1764</v>
      </c>
      <c r="G270" s="406" t="s">
        <v>54</v>
      </c>
      <c r="H270" s="408" t="s">
        <v>520</v>
      </c>
      <c r="I270" s="408" t="s">
        <v>57</v>
      </c>
      <c r="J270" s="406" t="s">
        <v>389</v>
      </c>
      <c r="K270" s="406" t="s">
        <v>738</v>
      </c>
      <c r="L270" s="406" t="s">
        <v>739</v>
      </c>
      <c r="M270" s="406" t="s">
        <v>1795</v>
      </c>
      <c r="N270" s="452">
        <v>0</v>
      </c>
      <c r="O270" s="452">
        <v>0</v>
      </c>
      <c r="P270" s="452">
        <v>0</v>
      </c>
      <c r="Q270" s="452">
        <v>0</v>
      </c>
      <c r="R270" s="452">
        <v>0</v>
      </c>
      <c r="S270" s="452">
        <v>0</v>
      </c>
      <c r="T270" s="452">
        <v>0</v>
      </c>
      <c r="U270" s="409">
        <v>0</v>
      </c>
      <c r="V270" s="409">
        <v>0</v>
      </c>
      <c r="W270" s="409">
        <v>0</v>
      </c>
      <c r="X270" s="409">
        <v>0</v>
      </c>
      <c r="Y270" s="409">
        <v>0</v>
      </c>
      <c r="Z270" s="453">
        <f t="shared" si="108"/>
        <v>0</v>
      </c>
      <c r="AA270" s="452">
        <v>0</v>
      </c>
      <c r="AB270" s="452">
        <v>0</v>
      </c>
      <c r="AC270" s="452">
        <v>0</v>
      </c>
      <c r="AD270" s="452">
        <v>0</v>
      </c>
      <c r="AE270" s="452">
        <v>0</v>
      </c>
      <c r="AF270" s="452">
        <v>0</v>
      </c>
      <c r="AG270" s="452">
        <v>0</v>
      </c>
      <c r="AH270" s="409">
        <v>0</v>
      </c>
      <c r="AI270" s="409">
        <v>100</v>
      </c>
      <c r="AJ270" s="409">
        <v>0</v>
      </c>
      <c r="AK270" s="409">
        <v>0</v>
      </c>
      <c r="AL270" s="409">
        <v>150</v>
      </c>
      <c r="AM270" s="453">
        <f t="shared" si="103"/>
        <v>250</v>
      </c>
      <c r="AN270" s="452">
        <v>0</v>
      </c>
      <c r="AO270" s="452">
        <v>0</v>
      </c>
      <c r="AP270" s="452">
        <v>0</v>
      </c>
      <c r="AQ270" s="452">
        <v>100</v>
      </c>
      <c r="AR270" s="452">
        <v>0</v>
      </c>
      <c r="AS270" s="452">
        <v>50</v>
      </c>
      <c r="AT270" s="452">
        <v>0</v>
      </c>
      <c r="AU270" s="409">
        <v>100</v>
      </c>
      <c r="AV270" s="409">
        <v>0</v>
      </c>
      <c r="AW270" s="409">
        <v>0</v>
      </c>
      <c r="AX270" s="409">
        <v>0</v>
      </c>
      <c r="AY270" s="409">
        <v>100</v>
      </c>
      <c r="AZ270" s="453">
        <f t="shared" si="104"/>
        <v>350</v>
      </c>
      <c r="BA270" s="452">
        <v>0</v>
      </c>
      <c r="BB270" s="452">
        <v>0</v>
      </c>
      <c r="BC270" s="452">
        <v>0</v>
      </c>
      <c r="BD270" s="452">
        <v>50</v>
      </c>
      <c r="BE270" s="452">
        <v>0</v>
      </c>
      <c r="BF270" s="452">
        <v>50</v>
      </c>
      <c r="BG270" s="452">
        <v>0</v>
      </c>
      <c r="BH270" s="409">
        <v>50</v>
      </c>
      <c r="BI270" s="409">
        <v>50</v>
      </c>
      <c r="BJ270" s="409">
        <v>40</v>
      </c>
      <c r="BK270" s="409">
        <v>0</v>
      </c>
      <c r="BL270" s="409">
        <v>0</v>
      </c>
      <c r="BM270" s="453">
        <f t="shared" si="105"/>
        <v>240</v>
      </c>
      <c r="BN270" s="452">
        <v>0</v>
      </c>
      <c r="BO270" s="452">
        <v>0</v>
      </c>
      <c r="BP270" s="452">
        <v>0</v>
      </c>
      <c r="BQ270" s="452">
        <v>0</v>
      </c>
      <c r="BR270" s="452">
        <v>0</v>
      </c>
      <c r="BS270" s="452">
        <v>0</v>
      </c>
      <c r="BT270" s="452">
        <v>0</v>
      </c>
      <c r="BU270" s="409">
        <v>0</v>
      </c>
      <c r="BV270" s="409">
        <v>0</v>
      </c>
      <c r="BW270" s="409">
        <v>0</v>
      </c>
      <c r="BX270" s="409">
        <v>0</v>
      </c>
      <c r="BY270" s="409">
        <v>0</v>
      </c>
      <c r="BZ270" s="453">
        <f t="shared" si="106"/>
        <v>0</v>
      </c>
      <c r="CA270" s="454">
        <f t="shared" si="107"/>
        <v>840</v>
      </c>
      <c r="CB270" s="411"/>
      <c r="CC270" s="411"/>
      <c r="CD270" s="411"/>
      <c r="CE270" s="411"/>
      <c r="CF270" s="411"/>
      <c r="CG270" s="412"/>
      <c r="CH270" s="413"/>
      <c r="CI270" s="414" t="s">
        <v>1622</v>
      </c>
      <c r="CJ270" s="415">
        <v>0</v>
      </c>
      <c r="CK270" s="415">
        <v>0</v>
      </c>
      <c r="CL270" s="415">
        <v>0</v>
      </c>
      <c r="CM270" s="415">
        <v>0</v>
      </c>
      <c r="CN270" s="415">
        <v>0</v>
      </c>
      <c r="CO270" s="415">
        <v>0</v>
      </c>
      <c r="CP270" s="415">
        <v>0</v>
      </c>
      <c r="CQ270" s="415">
        <v>0</v>
      </c>
      <c r="CR270" s="415">
        <v>0</v>
      </c>
      <c r="CS270" s="415">
        <v>0</v>
      </c>
      <c r="CT270" s="415">
        <v>0</v>
      </c>
      <c r="CU270" s="415">
        <v>0</v>
      </c>
      <c r="CV270" s="410">
        <f t="shared" si="111"/>
        <v>0</v>
      </c>
      <c r="CW270" s="415">
        <v>0</v>
      </c>
      <c r="CX270" s="415">
        <v>0</v>
      </c>
      <c r="CY270" s="415">
        <v>0</v>
      </c>
      <c r="CZ270" s="415">
        <v>0</v>
      </c>
      <c r="DA270" s="415">
        <v>0</v>
      </c>
      <c r="DB270" s="415">
        <v>0</v>
      </c>
      <c r="DC270" s="415">
        <v>0</v>
      </c>
      <c r="DD270" s="415">
        <v>0</v>
      </c>
      <c r="DE270" s="415">
        <v>300</v>
      </c>
      <c r="DF270" s="415">
        <v>0</v>
      </c>
      <c r="DG270" s="415">
        <v>0</v>
      </c>
      <c r="DH270" s="415">
        <v>300</v>
      </c>
      <c r="DI270" s="410">
        <f t="shared" si="112"/>
        <v>600</v>
      </c>
      <c r="DJ270" s="415">
        <v>0</v>
      </c>
      <c r="DK270" s="415">
        <v>0</v>
      </c>
      <c r="DL270" s="415">
        <v>0</v>
      </c>
      <c r="DM270" s="415">
        <v>200</v>
      </c>
      <c r="DN270" s="415">
        <v>0</v>
      </c>
      <c r="DO270" s="415">
        <v>0</v>
      </c>
      <c r="DP270" s="415">
        <v>0</v>
      </c>
      <c r="DQ270" s="415">
        <v>200</v>
      </c>
      <c r="DR270" s="415">
        <v>0</v>
      </c>
      <c r="DS270" s="415">
        <v>0</v>
      </c>
      <c r="DT270" s="415">
        <v>0</v>
      </c>
      <c r="DU270" s="415">
        <v>200</v>
      </c>
      <c r="DV270" s="410">
        <f t="shared" si="113"/>
        <v>600</v>
      </c>
      <c r="DW270" s="415">
        <v>0</v>
      </c>
      <c r="DX270" s="415">
        <v>0</v>
      </c>
      <c r="DY270" s="415">
        <v>0</v>
      </c>
      <c r="DZ270" s="415">
        <v>100</v>
      </c>
      <c r="EA270" s="415">
        <v>0</v>
      </c>
      <c r="EB270" s="415">
        <v>100</v>
      </c>
      <c r="EC270" s="415">
        <v>0</v>
      </c>
      <c r="ED270" s="415">
        <v>100</v>
      </c>
      <c r="EE270" s="415">
        <v>100</v>
      </c>
      <c r="EF270" s="415">
        <v>80</v>
      </c>
      <c r="EG270" s="415">
        <v>0</v>
      </c>
      <c r="EH270" s="415">
        <v>0</v>
      </c>
      <c r="EI270" s="410">
        <f t="shared" si="114"/>
        <v>480</v>
      </c>
      <c r="EJ270" s="415">
        <v>0</v>
      </c>
      <c r="EK270" s="415">
        <v>0</v>
      </c>
      <c r="EL270" s="415">
        <v>0</v>
      </c>
      <c r="EM270" s="415">
        <v>0</v>
      </c>
      <c r="EN270" s="415">
        <v>0</v>
      </c>
      <c r="EO270" s="415">
        <v>0</v>
      </c>
      <c r="EP270" s="415">
        <v>0</v>
      </c>
      <c r="EQ270" s="415">
        <v>0</v>
      </c>
      <c r="ER270" s="415">
        <v>0</v>
      </c>
      <c r="ES270" s="415">
        <v>0</v>
      </c>
      <c r="ET270" s="415">
        <v>0</v>
      </c>
      <c r="EU270" s="415">
        <v>0</v>
      </c>
      <c r="EV270" s="410">
        <f t="shared" si="115"/>
        <v>0</v>
      </c>
      <c r="EW270" s="416">
        <f t="shared" si="116"/>
        <v>1680</v>
      </c>
      <c r="EX270" s="417">
        <f>IFERROR(VLOOKUP(H270,CEI_012018!$A$1:$U$509,9,FALSE),0)</f>
        <v>0</v>
      </c>
      <c r="EY270" s="417">
        <f>IFERROR(VLOOKUP(H270,CEI_022018!$A$1:$U$509,9,FALSE),0)</f>
        <v>0</v>
      </c>
      <c r="EZ270" s="417">
        <f>IFERROR(VLOOKUP(H270,CEI_032018!$A$1:$U$509,9,FALSE),0)</f>
        <v>0</v>
      </c>
      <c r="FA270" s="417">
        <f>IFERROR(VLOOKUP(H270,CEI_042018!$A$1:$U$491,9,FALSE),0)</f>
        <v>0</v>
      </c>
      <c r="FB270" s="417">
        <f>IFERROR(VLOOKUP(H270,CEI_052018!$A$1:$U$489,9,FALSE),0)</f>
        <v>0</v>
      </c>
      <c r="FC270" s="417">
        <f>IFERROR(VLOOKUP(H270,CEI_062018!$A$1:$U$489,9,FALSE),0)</f>
        <v>0</v>
      </c>
      <c r="FD270" s="417">
        <f>IFERROR(VLOOKUP(H270,CEI_072018!$A$1:$U$489,9,FALSE),0)</f>
        <v>0</v>
      </c>
      <c r="FE270" s="417">
        <f>IFERROR(VLOOKUP(H270,CEI_082018!$A$1:$U$489,9,FALSE),0)</f>
        <v>0</v>
      </c>
      <c r="FF270" s="417">
        <f>IFERROR(VLOOKUP(H270,CEI_092018!$A$1:$U$489,9,FALSE),0)</f>
        <v>0</v>
      </c>
      <c r="FG270" s="417"/>
      <c r="FH270" s="417"/>
      <c r="FI270" s="417"/>
      <c r="FJ270" s="418">
        <f>IFERROR(VLOOKUP(H270,CEI_092018!$A$1:$U$489,12,FALSE),0)</f>
        <v>0</v>
      </c>
      <c r="FK270" s="418">
        <f t="shared" si="99"/>
        <v>0</v>
      </c>
      <c r="FL270" s="418">
        <f t="shared" si="100"/>
        <v>0</v>
      </c>
      <c r="FM270" s="417"/>
      <c r="FN270" s="417"/>
      <c r="FO270" s="417"/>
      <c r="FP270" s="417"/>
      <c r="FQ270" s="417"/>
      <c r="FR270" s="417"/>
      <c r="FS270" s="417"/>
      <c r="FT270" s="417"/>
      <c r="FU270" s="417"/>
      <c r="FV270" s="417"/>
      <c r="FW270" s="417"/>
      <c r="FX270" s="417"/>
      <c r="FY270" s="418"/>
      <c r="FZ270" s="418"/>
      <c r="GA270" s="418"/>
      <c r="GB270" s="417"/>
      <c r="GC270" s="417"/>
      <c r="GD270" s="417"/>
      <c r="GE270" s="417"/>
      <c r="GF270" s="417"/>
      <c r="GG270" s="417"/>
      <c r="GH270" s="417"/>
      <c r="GI270" s="417"/>
      <c r="GJ270" s="417"/>
      <c r="GK270" s="417"/>
      <c r="GL270" s="417"/>
      <c r="GM270" s="417"/>
      <c r="GN270" s="418"/>
      <c r="GO270" s="418"/>
      <c r="GP270" s="418"/>
      <c r="GQ270" s="417"/>
      <c r="GR270" s="417"/>
      <c r="GS270" s="417"/>
      <c r="GT270" s="417"/>
      <c r="GU270" s="417"/>
      <c r="GV270" s="417"/>
      <c r="GW270" s="417"/>
      <c r="GX270" s="417"/>
      <c r="GY270" s="417"/>
      <c r="GZ270" s="417"/>
      <c r="HA270" s="417"/>
      <c r="HB270" s="417"/>
      <c r="HC270" s="418"/>
      <c r="HD270" s="418"/>
      <c r="HE270" s="418"/>
      <c r="HF270" s="417"/>
      <c r="HG270" s="417"/>
      <c r="HH270" s="417"/>
      <c r="HI270" s="417"/>
      <c r="HJ270" s="417"/>
      <c r="HK270" s="417"/>
      <c r="HL270" s="417"/>
      <c r="HM270" s="417"/>
      <c r="HN270" s="417"/>
      <c r="HO270" s="417"/>
      <c r="HP270" s="417"/>
      <c r="HQ270" s="417"/>
      <c r="HR270" s="418"/>
      <c r="HS270" s="418"/>
      <c r="HT270" s="418"/>
    </row>
    <row r="271" spans="1:228" s="387" customFormat="1" ht="12.75" customHeight="1" x14ac:dyDescent="0.2">
      <c r="A271" s="406" t="s">
        <v>55</v>
      </c>
      <c r="B271" s="407" t="s">
        <v>42</v>
      </c>
      <c r="C271" s="406" t="s">
        <v>1000</v>
      </c>
      <c r="D271" s="407" t="s">
        <v>1004</v>
      </c>
      <c r="E271" s="407" t="s">
        <v>1000</v>
      </c>
      <c r="F271" s="407" t="s">
        <v>1004</v>
      </c>
      <c r="G271" s="406" t="s">
        <v>54</v>
      </c>
      <c r="H271" s="408" t="s">
        <v>520</v>
      </c>
      <c r="I271" s="408" t="s">
        <v>57</v>
      </c>
      <c r="J271" s="406" t="s">
        <v>384</v>
      </c>
      <c r="K271" s="406" t="s">
        <v>727</v>
      </c>
      <c r="L271" s="406" t="s">
        <v>721</v>
      </c>
      <c r="M271" s="406" t="s">
        <v>1770</v>
      </c>
      <c r="N271" s="452">
        <v>0</v>
      </c>
      <c r="O271" s="452">
        <v>0</v>
      </c>
      <c r="P271" s="452">
        <v>0</v>
      </c>
      <c r="Q271" s="452">
        <v>0</v>
      </c>
      <c r="R271" s="452">
        <v>0</v>
      </c>
      <c r="S271" s="452">
        <v>0</v>
      </c>
      <c r="T271" s="452">
        <v>0</v>
      </c>
      <c r="U271" s="409">
        <v>0</v>
      </c>
      <c r="V271" s="409">
        <v>0</v>
      </c>
      <c r="W271" s="409">
        <v>0</v>
      </c>
      <c r="X271" s="409">
        <v>0</v>
      </c>
      <c r="Y271" s="409">
        <v>0</v>
      </c>
      <c r="Z271" s="453">
        <f t="shared" si="108"/>
        <v>0</v>
      </c>
      <c r="AA271" s="452">
        <v>0</v>
      </c>
      <c r="AB271" s="452">
        <v>0</v>
      </c>
      <c r="AC271" s="452">
        <v>0</v>
      </c>
      <c r="AD271" s="452">
        <v>0</v>
      </c>
      <c r="AE271" s="452">
        <v>0</v>
      </c>
      <c r="AF271" s="452">
        <v>0</v>
      </c>
      <c r="AG271" s="452">
        <v>0</v>
      </c>
      <c r="AH271" s="409">
        <v>0</v>
      </c>
      <c r="AI271" s="409">
        <v>0</v>
      </c>
      <c r="AJ271" s="409">
        <v>0</v>
      </c>
      <c r="AK271" s="409">
        <v>0</v>
      </c>
      <c r="AL271" s="409">
        <v>0</v>
      </c>
      <c r="AM271" s="453">
        <f t="shared" si="103"/>
        <v>0</v>
      </c>
      <c r="AN271" s="452">
        <v>0</v>
      </c>
      <c r="AO271" s="452">
        <v>0</v>
      </c>
      <c r="AP271" s="452">
        <v>0</v>
      </c>
      <c r="AQ271" s="452">
        <v>0</v>
      </c>
      <c r="AR271" s="452">
        <v>0</v>
      </c>
      <c r="AS271" s="452">
        <v>0</v>
      </c>
      <c r="AT271" s="452">
        <v>300</v>
      </c>
      <c r="AU271" s="409">
        <v>0</v>
      </c>
      <c r="AV271" s="409">
        <v>0</v>
      </c>
      <c r="AW271" s="409">
        <v>0</v>
      </c>
      <c r="AX271" s="409">
        <v>0</v>
      </c>
      <c r="AY271" s="409">
        <v>0</v>
      </c>
      <c r="AZ271" s="453">
        <f t="shared" si="104"/>
        <v>300</v>
      </c>
      <c r="BA271" s="452">
        <v>0</v>
      </c>
      <c r="BB271" s="452">
        <v>0</v>
      </c>
      <c r="BC271" s="452">
        <v>0</v>
      </c>
      <c r="BD271" s="452">
        <v>0</v>
      </c>
      <c r="BE271" s="452">
        <v>0</v>
      </c>
      <c r="BF271" s="452">
        <v>0</v>
      </c>
      <c r="BG271" s="452">
        <v>0</v>
      </c>
      <c r="BH271" s="409">
        <v>0</v>
      </c>
      <c r="BI271" s="409">
        <v>0</v>
      </c>
      <c r="BJ271" s="409">
        <v>0</v>
      </c>
      <c r="BK271" s="409">
        <v>0</v>
      </c>
      <c r="BL271" s="409">
        <v>0</v>
      </c>
      <c r="BM271" s="453">
        <f t="shared" si="105"/>
        <v>0</v>
      </c>
      <c r="BN271" s="452">
        <v>0</v>
      </c>
      <c r="BO271" s="452">
        <v>0</v>
      </c>
      <c r="BP271" s="452">
        <v>0</v>
      </c>
      <c r="BQ271" s="452">
        <v>0</v>
      </c>
      <c r="BR271" s="452">
        <v>0</v>
      </c>
      <c r="BS271" s="452">
        <v>0</v>
      </c>
      <c r="BT271" s="452">
        <v>0</v>
      </c>
      <c r="BU271" s="409">
        <v>0</v>
      </c>
      <c r="BV271" s="409">
        <v>0</v>
      </c>
      <c r="BW271" s="409">
        <v>0</v>
      </c>
      <c r="BX271" s="409">
        <v>0</v>
      </c>
      <c r="BY271" s="409">
        <v>0</v>
      </c>
      <c r="BZ271" s="453">
        <f t="shared" si="106"/>
        <v>0</v>
      </c>
      <c r="CA271" s="454">
        <f t="shared" si="107"/>
        <v>300</v>
      </c>
      <c r="CB271" s="411"/>
      <c r="CC271" s="411"/>
      <c r="CD271" s="411"/>
      <c r="CE271" s="411"/>
      <c r="CF271" s="411"/>
      <c r="CG271" s="412"/>
      <c r="CH271" s="413"/>
      <c r="CI271" s="414" t="s">
        <v>1621</v>
      </c>
      <c r="CJ271" s="415">
        <v>0</v>
      </c>
      <c r="CK271" s="415">
        <v>0</v>
      </c>
      <c r="CL271" s="415">
        <v>0</v>
      </c>
      <c r="CM271" s="415">
        <v>0</v>
      </c>
      <c r="CN271" s="415">
        <v>0</v>
      </c>
      <c r="CO271" s="415">
        <v>0</v>
      </c>
      <c r="CP271" s="415">
        <v>0</v>
      </c>
      <c r="CQ271" s="415">
        <v>0</v>
      </c>
      <c r="CR271" s="415">
        <v>0</v>
      </c>
      <c r="CS271" s="415">
        <v>0</v>
      </c>
      <c r="CT271" s="415">
        <v>0</v>
      </c>
      <c r="CU271" s="415">
        <v>0</v>
      </c>
      <c r="CV271" s="410">
        <f t="shared" si="111"/>
        <v>0</v>
      </c>
      <c r="CW271" s="415">
        <v>0</v>
      </c>
      <c r="CX271" s="415">
        <v>0</v>
      </c>
      <c r="CY271" s="415">
        <v>0</v>
      </c>
      <c r="CZ271" s="415">
        <v>0</v>
      </c>
      <c r="DA271" s="415">
        <v>0</v>
      </c>
      <c r="DB271" s="415">
        <v>0</v>
      </c>
      <c r="DC271" s="415">
        <v>0</v>
      </c>
      <c r="DD271" s="415">
        <v>0</v>
      </c>
      <c r="DE271" s="415">
        <v>0</v>
      </c>
      <c r="DF271" s="415">
        <v>0</v>
      </c>
      <c r="DG271" s="415">
        <v>0</v>
      </c>
      <c r="DH271" s="415">
        <v>0</v>
      </c>
      <c r="DI271" s="410">
        <f t="shared" si="112"/>
        <v>0</v>
      </c>
      <c r="DJ271" s="415">
        <v>0</v>
      </c>
      <c r="DK271" s="415">
        <v>0</v>
      </c>
      <c r="DL271" s="415">
        <v>0</v>
      </c>
      <c r="DM271" s="415">
        <v>0</v>
      </c>
      <c r="DN271" s="415">
        <v>0</v>
      </c>
      <c r="DO271" s="415">
        <v>0</v>
      </c>
      <c r="DP271" s="415">
        <v>1</v>
      </c>
      <c r="DQ271" s="415">
        <v>0</v>
      </c>
      <c r="DR271" s="415">
        <v>0</v>
      </c>
      <c r="DS271" s="415">
        <v>0</v>
      </c>
      <c r="DT271" s="415">
        <v>0</v>
      </c>
      <c r="DU271" s="415">
        <v>0</v>
      </c>
      <c r="DV271" s="410">
        <f t="shared" si="113"/>
        <v>1</v>
      </c>
      <c r="DW271" s="415">
        <v>0</v>
      </c>
      <c r="DX271" s="415">
        <v>0</v>
      </c>
      <c r="DY271" s="415">
        <v>0</v>
      </c>
      <c r="DZ271" s="415">
        <v>0</v>
      </c>
      <c r="EA271" s="415">
        <v>0</v>
      </c>
      <c r="EB271" s="415">
        <v>0</v>
      </c>
      <c r="EC271" s="415">
        <v>0</v>
      </c>
      <c r="ED271" s="415">
        <v>0</v>
      </c>
      <c r="EE271" s="415">
        <v>0</v>
      </c>
      <c r="EF271" s="415">
        <v>0</v>
      </c>
      <c r="EG271" s="415">
        <v>0</v>
      </c>
      <c r="EH271" s="415">
        <v>0</v>
      </c>
      <c r="EI271" s="410">
        <f t="shared" si="114"/>
        <v>0</v>
      </c>
      <c r="EJ271" s="415">
        <v>0</v>
      </c>
      <c r="EK271" s="415">
        <v>0</v>
      </c>
      <c r="EL271" s="415">
        <v>0</v>
      </c>
      <c r="EM271" s="415">
        <v>0</v>
      </c>
      <c r="EN271" s="415">
        <v>0</v>
      </c>
      <c r="EO271" s="415">
        <v>0</v>
      </c>
      <c r="EP271" s="415">
        <v>0</v>
      </c>
      <c r="EQ271" s="415">
        <v>0</v>
      </c>
      <c r="ER271" s="415">
        <v>0</v>
      </c>
      <c r="ES271" s="415">
        <v>0</v>
      </c>
      <c r="ET271" s="415">
        <v>0</v>
      </c>
      <c r="EU271" s="415">
        <v>0</v>
      </c>
      <c r="EV271" s="410">
        <f t="shared" si="115"/>
        <v>0</v>
      </c>
      <c r="EW271" s="416">
        <f t="shared" si="116"/>
        <v>1</v>
      </c>
      <c r="EX271" s="417">
        <f>IFERROR(VLOOKUP(H271,CEI_012018!$A$1:$U$509,9,FALSE),0)</f>
        <v>0</v>
      </c>
      <c r="EY271" s="417">
        <f>IFERROR(VLOOKUP(H271,CEI_022018!$A$1:$U$509,9,FALSE),0)</f>
        <v>0</v>
      </c>
      <c r="EZ271" s="417">
        <f>IFERROR(VLOOKUP(H271,CEI_032018!$A$1:$U$509,9,FALSE),0)</f>
        <v>0</v>
      </c>
      <c r="FA271" s="417">
        <f>IFERROR(VLOOKUP(H271,CEI_042018!$A$1:$U$491,9,FALSE),0)</f>
        <v>0</v>
      </c>
      <c r="FB271" s="417">
        <f>IFERROR(VLOOKUP(H271,CEI_052018!$A$1:$U$489,9,FALSE),0)</f>
        <v>0</v>
      </c>
      <c r="FC271" s="417">
        <f>IFERROR(VLOOKUP(H271,CEI_062018!$A$1:$U$489,9,FALSE),0)</f>
        <v>0</v>
      </c>
      <c r="FD271" s="417">
        <f>IFERROR(VLOOKUP(H271,CEI_072018!$A$1:$U$489,9,FALSE),0)</f>
        <v>0</v>
      </c>
      <c r="FE271" s="417">
        <f>IFERROR(VLOOKUP(H271,CEI_082018!$A$1:$U$489,9,FALSE),0)</f>
        <v>0</v>
      </c>
      <c r="FF271" s="417">
        <f>IFERROR(VLOOKUP(H271,CEI_092018!$A$1:$U$489,9,FALSE),0)</f>
        <v>0</v>
      </c>
      <c r="FG271" s="417"/>
      <c r="FH271" s="417"/>
      <c r="FI271" s="417"/>
      <c r="FJ271" s="418">
        <f>IFERROR(VLOOKUP(H271,CEI_092018!$A$1:$U$489,12,FALSE),0)</f>
        <v>0</v>
      </c>
      <c r="FK271" s="418">
        <f t="shared" si="99"/>
        <v>0</v>
      </c>
      <c r="FL271" s="418">
        <f t="shared" si="100"/>
        <v>0</v>
      </c>
      <c r="FM271" s="417"/>
      <c r="FN271" s="417"/>
      <c r="FO271" s="417"/>
      <c r="FP271" s="417"/>
      <c r="FQ271" s="417"/>
      <c r="FR271" s="417"/>
      <c r="FS271" s="417"/>
      <c r="FT271" s="417"/>
      <c r="FU271" s="417"/>
      <c r="FV271" s="417"/>
      <c r="FW271" s="417"/>
      <c r="FX271" s="417"/>
      <c r="FY271" s="418"/>
      <c r="FZ271" s="418"/>
      <c r="GA271" s="418"/>
      <c r="GB271" s="417"/>
      <c r="GC271" s="417"/>
      <c r="GD271" s="417"/>
      <c r="GE271" s="417"/>
      <c r="GF271" s="417"/>
      <c r="GG271" s="417"/>
      <c r="GH271" s="417"/>
      <c r="GI271" s="417"/>
      <c r="GJ271" s="417"/>
      <c r="GK271" s="417"/>
      <c r="GL271" s="417"/>
      <c r="GM271" s="417"/>
      <c r="GN271" s="418"/>
      <c r="GO271" s="418"/>
      <c r="GP271" s="418"/>
      <c r="GQ271" s="417"/>
      <c r="GR271" s="417"/>
      <c r="GS271" s="417"/>
      <c r="GT271" s="417"/>
      <c r="GU271" s="417"/>
      <c r="GV271" s="417"/>
      <c r="GW271" s="417"/>
      <c r="GX271" s="417"/>
      <c r="GY271" s="417"/>
      <c r="GZ271" s="417"/>
      <c r="HA271" s="417"/>
      <c r="HB271" s="417"/>
      <c r="HC271" s="418"/>
      <c r="HD271" s="418"/>
      <c r="HE271" s="418"/>
      <c r="HF271" s="417"/>
      <c r="HG271" s="417"/>
      <c r="HH271" s="417"/>
      <c r="HI271" s="417"/>
      <c r="HJ271" s="417"/>
      <c r="HK271" s="417"/>
      <c r="HL271" s="417"/>
      <c r="HM271" s="417"/>
      <c r="HN271" s="417"/>
      <c r="HO271" s="417"/>
      <c r="HP271" s="417"/>
      <c r="HQ271" s="417"/>
      <c r="HR271" s="418"/>
      <c r="HS271" s="418"/>
      <c r="HT271" s="418"/>
    </row>
    <row r="272" spans="1:228" s="387" customFormat="1" ht="11.25" customHeight="1" x14ac:dyDescent="0.2">
      <c r="A272" s="406" t="s">
        <v>381</v>
      </c>
      <c r="B272" s="407" t="s">
        <v>45</v>
      </c>
      <c r="C272" s="406" t="s">
        <v>1000</v>
      </c>
      <c r="D272" s="407" t="s">
        <v>1004</v>
      </c>
      <c r="E272" s="407" t="s">
        <v>1000</v>
      </c>
      <c r="F272" s="407" t="s">
        <v>1004</v>
      </c>
      <c r="G272" s="406" t="s">
        <v>54</v>
      </c>
      <c r="H272" s="408" t="s">
        <v>745</v>
      </c>
      <c r="I272" s="408" t="s">
        <v>1345</v>
      </c>
      <c r="J272" s="406" t="s">
        <v>746</v>
      </c>
      <c r="K272" s="406" t="s">
        <v>747</v>
      </c>
      <c r="L272" s="406" t="s">
        <v>748</v>
      </c>
      <c r="M272" s="406" t="s">
        <v>1777</v>
      </c>
      <c r="N272" s="452">
        <v>-660.04498291015625</v>
      </c>
      <c r="O272" s="452">
        <v>0</v>
      </c>
      <c r="P272" s="452">
        <v>667.6500244140625</v>
      </c>
      <c r="Q272" s="452">
        <v>0</v>
      </c>
      <c r="R272" s="452">
        <v>0</v>
      </c>
      <c r="S272" s="452">
        <v>0</v>
      </c>
      <c r="T272" s="452">
        <v>-4.1484832763671875E-5</v>
      </c>
      <c r="U272" s="409">
        <v>0</v>
      </c>
      <c r="V272" s="409">
        <v>212.39499998092671</v>
      </c>
      <c r="W272" s="409">
        <v>0</v>
      </c>
      <c r="X272" s="409">
        <v>0</v>
      </c>
      <c r="Y272" s="409"/>
      <c r="Z272" s="453">
        <f t="shared" si="108"/>
        <v>220.0000000000002</v>
      </c>
      <c r="AA272" s="452">
        <v>0</v>
      </c>
      <c r="AB272" s="452">
        <v>0</v>
      </c>
      <c r="AC272" s="452">
        <v>0</v>
      </c>
      <c r="AD272" s="452">
        <v>0</v>
      </c>
      <c r="AE272" s="452">
        <v>0</v>
      </c>
      <c r="AF272" s="452">
        <v>0</v>
      </c>
      <c r="AG272" s="452">
        <v>0</v>
      </c>
      <c r="AH272" s="409">
        <v>0</v>
      </c>
      <c r="AI272" s="409">
        <v>0</v>
      </c>
      <c r="AJ272" s="409">
        <v>0</v>
      </c>
      <c r="AK272" s="409">
        <v>0</v>
      </c>
      <c r="AL272" s="409">
        <v>0</v>
      </c>
      <c r="AM272" s="453">
        <f t="shared" si="103"/>
        <v>0</v>
      </c>
      <c r="AN272" s="452">
        <v>0</v>
      </c>
      <c r="AO272" s="452">
        <v>0</v>
      </c>
      <c r="AP272" s="452">
        <v>0</v>
      </c>
      <c r="AQ272" s="452">
        <v>0</v>
      </c>
      <c r="AR272" s="452">
        <v>0</v>
      </c>
      <c r="AS272" s="452">
        <v>0</v>
      </c>
      <c r="AT272" s="452">
        <v>0</v>
      </c>
      <c r="AU272" s="409">
        <v>0</v>
      </c>
      <c r="AV272" s="409">
        <v>0</v>
      </c>
      <c r="AW272" s="409">
        <v>0</v>
      </c>
      <c r="AX272" s="409">
        <v>0</v>
      </c>
      <c r="AY272" s="409">
        <v>0</v>
      </c>
      <c r="AZ272" s="453">
        <f t="shared" si="104"/>
        <v>0</v>
      </c>
      <c r="BA272" s="452">
        <v>0</v>
      </c>
      <c r="BB272" s="452">
        <v>0</v>
      </c>
      <c r="BC272" s="452">
        <v>0</v>
      </c>
      <c r="BD272" s="452">
        <v>0</v>
      </c>
      <c r="BE272" s="452">
        <v>0</v>
      </c>
      <c r="BF272" s="452">
        <v>0</v>
      </c>
      <c r="BG272" s="452">
        <v>0</v>
      </c>
      <c r="BH272" s="409">
        <v>0</v>
      </c>
      <c r="BI272" s="409">
        <v>0</v>
      </c>
      <c r="BJ272" s="409">
        <v>0</v>
      </c>
      <c r="BK272" s="409">
        <v>0</v>
      </c>
      <c r="BL272" s="409">
        <v>0</v>
      </c>
      <c r="BM272" s="453">
        <f t="shared" si="105"/>
        <v>0</v>
      </c>
      <c r="BN272" s="452">
        <v>0</v>
      </c>
      <c r="BO272" s="452">
        <v>0</v>
      </c>
      <c r="BP272" s="452">
        <v>0</v>
      </c>
      <c r="BQ272" s="452">
        <v>0</v>
      </c>
      <c r="BR272" s="452">
        <v>0</v>
      </c>
      <c r="BS272" s="452">
        <v>0</v>
      </c>
      <c r="BT272" s="452">
        <v>0</v>
      </c>
      <c r="BU272" s="409">
        <v>0</v>
      </c>
      <c r="BV272" s="409">
        <v>0</v>
      </c>
      <c r="BW272" s="409">
        <v>0</v>
      </c>
      <c r="BX272" s="409">
        <v>0</v>
      </c>
      <c r="BY272" s="409">
        <v>0</v>
      </c>
      <c r="BZ272" s="453">
        <f t="shared" si="106"/>
        <v>0</v>
      </c>
      <c r="CA272" s="454">
        <f t="shared" si="107"/>
        <v>220.0000000000002</v>
      </c>
      <c r="CB272" s="419"/>
      <c r="CC272" s="419">
        <v>1</v>
      </c>
      <c r="CD272" s="419">
        <v>1</v>
      </c>
      <c r="CE272" s="419">
        <v>1</v>
      </c>
      <c r="CF272" s="419">
        <v>1</v>
      </c>
      <c r="CG272" s="420">
        <f>IFERROR((FE272/Z272%),0)</f>
        <v>3.4568181904879451</v>
      </c>
      <c r="CH272" s="421">
        <f>IFERROR((FK272/Z272%),0)</f>
        <v>79.549139412966568</v>
      </c>
      <c r="CI272" s="414" t="s">
        <v>1621</v>
      </c>
      <c r="CJ272" s="415">
        <v>0</v>
      </c>
      <c r="CK272" s="415">
        <v>0</v>
      </c>
      <c r="CL272" s="415">
        <v>0</v>
      </c>
      <c r="CM272" s="415">
        <v>0</v>
      </c>
      <c r="CN272" s="415">
        <v>0</v>
      </c>
      <c r="CO272" s="415">
        <v>0</v>
      </c>
      <c r="CP272" s="415">
        <v>1</v>
      </c>
      <c r="CQ272" s="415">
        <v>0</v>
      </c>
      <c r="CR272" s="415">
        <v>0</v>
      </c>
      <c r="CS272" s="415">
        <v>0</v>
      </c>
      <c r="CT272" s="415">
        <v>0</v>
      </c>
      <c r="CU272" s="415">
        <v>0</v>
      </c>
      <c r="CV272" s="410">
        <f t="shared" si="111"/>
        <v>1</v>
      </c>
      <c r="CW272" s="415">
        <v>0</v>
      </c>
      <c r="CX272" s="415">
        <v>0</v>
      </c>
      <c r="CY272" s="415">
        <v>0</v>
      </c>
      <c r="CZ272" s="415">
        <v>0</v>
      </c>
      <c r="DA272" s="415">
        <v>0</v>
      </c>
      <c r="DB272" s="415">
        <v>0</v>
      </c>
      <c r="DC272" s="415">
        <v>0</v>
      </c>
      <c r="DD272" s="415">
        <v>0</v>
      </c>
      <c r="DE272" s="415">
        <v>0</v>
      </c>
      <c r="DF272" s="415">
        <v>0</v>
      </c>
      <c r="DG272" s="415">
        <v>0</v>
      </c>
      <c r="DH272" s="415">
        <v>0</v>
      </c>
      <c r="DI272" s="410">
        <f t="shared" si="112"/>
        <v>0</v>
      </c>
      <c r="DJ272" s="415">
        <v>0</v>
      </c>
      <c r="DK272" s="415">
        <v>0</v>
      </c>
      <c r="DL272" s="415">
        <v>0</v>
      </c>
      <c r="DM272" s="415">
        <v>0</v>
      </c>
      <c r="DN272" s="415">
        <v>0</v>
      </c>
      <c r="DO272" s="415">
        <v>0</v>
      </c>
      <c r="DP272" s="415">
        <v>0</v>
      </c>
      <c r="DQ272" s="415">
        <v>0</v>
      </c>
      <c r="DR272" s="415">
        <v>0</v>
      </c>
      <c r="DS272" s="415">
        <v>0</v>
      </c>
      <c r="DT272" s="415">
        <v>0</v>
      </c>
      <c r="DU272" s="415">
        <v>0</v>
      </c>
      <c r="DV272" s="410">
        <f t="shared" si="113"/>
        <v>0</v>
      </c>
      <c r="DW272" s="415">
        <v>0</v>
      </c>
      <c r="DX272" s="415">
        <v>0</v>
      </c>
      <c r="DY272" s="415">
        <v>0</v>
      </c>
      <c r="DZ272" s="415">
        <v>0</v>
      </c>
      <c r="EA272" s="415">
        <v>0</v>
      </c>
      <c r="EB272" s="415">
        <v>0</v>
      </c>
      <c r="EC272" s="415">
        <v>0</v>
      </c>
      <c r="ED272" s="415">
        <v>0</v>
      </c>
      <c r="EE272" s="415">
        <v>0</v>
      </c>
      <c r="EF272" s="415">
        <v>0</v>
      </c>
      <c r="EG272" s="415">
        <v>0</v>
      </c>
      <c r="EH272" s="415">
        <v>0</v>
      </c>
      <c r="EI272" s="410">
        <f t="shared" si="114"/>
        <v>0</v>
      </c>
      <c r="EJ272" s="415">
        <v>0</v>
      </c>
      <c r="EK272" s="415">
        <v>0</v>
      </c>
      <c r="EL272" s="415">
        <v>0</v>
      </c>
      <c r="EM272" s="415">
        <v>0</v>
      </c>
      <c r="EN272" s="415">
        <v>0</v>
      </c>
      <c r="EO272" s="415">
        <v>0</v>
      </c>
      <c r="EP272" s="415">
        <v>0</v>
      </c>
      <c r="EQ272" s="415">
        <v>0</v>
      </c>
      <c r="ER272" s="415">
        <v>0</v>
      </c>
      <c r="ES272" s="415">
        <v>0</v>
      </c>
      <c r="ET272" s="415">
        <v>0</v>
      </c>
      <c r="EU272" s="415">
        <v>0</v>
      </c>
      <c r="EV272" s="410">
        <f t="shared" si="115"/>
        <v>0</v>
      </c>
      <c r="EW272" s="416">
        <f t="shared" si="116"/>
        <v>1</v>
      </c>
      <c r="EX272" s="417">
        <f>IFERROR(VLOOKUP(H272,CEI_012018!$A$1:$U$509,9,FALSE),0)</f>
        <v>-660.04498291015625</v>
      </c>
      <c r="EY272" s="417">
        <f>IFERROR(VLOOKUP(H272,CEI_022018!$A$1:$U$509,9,FALSE),0)</f>
        <v>-660.04498291015625</v>
      </c>
      <c r="EZ272" s="417">
        <f>IFERROR(VLOOKUP(H272,CEI_032018!$A$1:$U$509,9,FALSE),0)</f>
        <v>7.60504150390625</v>
      </c>
      <c r="FA272" s="417">
        <f>IFERROR(VLOOKUP(H272,CEI_042018!$A$1:$U$491,9,FALSE),0)</f>
        <v>7.60504150390625</v>
      </c>
      <c r="FB272" s="417">
        <f>IFERROR(VLOOKUP(H272,CEI_052018!$A$1:$U$489,9,FALSE),0)</f>
        <v>7.60504150390625</v>
      </c>
      <c r="FC272" s="417">
        <f>IFERROR(VLOOKUP(H272,CEI_062018!$A$1:$U$489,9,FALSE),0)</f>
        <v>7.60504150390625</v>
      </c>
      <c r="FD272" s="417">
        <f>IFERROR(VLOOKUP(H272,CEI_072018!$A$1:$U$489,9,FALSE),0)</f>
        <v>7.6050000190734863</v>
      </c>
      <c r="FE272" s="417">
        <f>IFERROR(VLOOKUP(H272,CEI_082018!$A$1:$U$489,9,FALSE),0)</f>
        <v>7.6050000190734863</v>
      </c>
      <c r="FF272" s="417">
        <f>IFERROR(VLOOKUP(H272,CEI_092018!$A$1:$U$489,9,FALSE),0)</f>
        <v>175.00810670852661</v>
      </c>
      <c r="FG272" s="417"/>
      <c r="FH272" s="417"/>
      <c r="FI272" s="417"/>
      <c r="FJ272" s="418">
        <f>IFERROR(VLOOKUP(H272,CEI_092018!$A$1:$U$489,12,FALSE),0)</f>
        <v>0</v>
      </c>
      <c r="FK272" s="418">
        <f t="shared" si="99"/>
        <v>175.00810670852661</v>
      </c>
      <c r="FL272" s="418">
        <f t="shared" si="100"/>
        <v>44.991893291473588</v>
      </c>
      <c r="FM272" s="417"/>
      <c r="FN272" s="417"/>
      <c r="FO272" s="417"/>
      <c r="FP272" s="417"/>
      <c r="FQ272" s="417"/>
      <c r="FR272" s="417"/>
      <c r="FS272" s="417"/>
      <c r="FT272" s="417"/>
      <c r="FU272" s="417"/>
      <c r="FV272" s="417"/>
      <c r="FW272" s="417"/>
      <c r="FX272" s="417"/>
      <c r="FY272" s="418"/>
      <c r="FZ272" s="418"/>
      <c r="GA272" s="418"/>
      <c r="GB272" s="417"/>
      <c r="GC272" s="417"/>
      <c r="GD272" s="417"/>
      <c r="GE272" s="417"/>
      <c r="GF272" s="417"/>
      <c r="GG272" s="417"/>
      <c r="GH272" s="417"/>
      <c r="GI272" s="417"/>
      <c r="GJ272" s="417"/>
      <c r="GK272" s="417"/>
      <c r="GL272" s="417"/>
      <c r="GM272" s="417"/>
      <c r="GN272" s="418"/>
      <c r="GO272" s="418"/>
      <c r="GP272" s="418"/>
      <c r="GQ272" s="417"/>
      <c r="GR272" s="417"/>
      <c r="GS272" s="417"/>
      <c r="GT272" s="417"/>
      <c r="GU272" s="417"/>
      <c r="GV272" s="417"/>
      <c r="GW272" s="417"/>
      <c r="GX272" s="417"/>
      <c r="GY272" s="417"/>
      <c r="GZ272" s="417"/>
      <c r="HA272" s="417"/>
      <c r="HB272" s="417"/>
      <c r="HC272" s="418"/>
      <c r="HD272" s="418"/>
      <c r="HE272" s="418"/>
      <c r="HF272" s="417"/>
      <c r="HG272" s="417"/>
      <c r="HH272" s="417"/>
      <c r="HI272" s="417"/>
      <c r="HJ272" s="417"/>
      <c r="HK272" s="417"/>
      <c r="HL272" s="417"/>
      <c r="HM272" s="417"/>
      <c r="HN272" s="417"/>
      <c r="HO272" s="417"/>
      <c r="HP272" s="417"/>
      <c r="HQ272" s="417"/>
      <c r="HR272" s="418"/>
      <c r="HS272" s="418"/>
      <c r="HT272" s="418"/>
    </row>
    <row r="273" spans="1:228" s="387" customFormat="1" ht="12.75" customHeight="1" x14ac:dyDescent="0.2">
      <c r="A273" s="406" t="s">
        <v>52</v>
      </c>
      <c r="B273" s="407" t="s">
        <v>28</v>
      </c>
      <c r="C273" s="406" t="s">
        <v>297</v>
      </c>
      <c r="D273" s="407" t="s">
        <v>1002</v>
      </c>
      <c r="E273" s="406" t="s">
        <v>297</v>
      </c>
      <c r="F273" s="407" t="s">
        <v>1002</v>
      </c>
      <c r="G273" s="406" t="s">
        <v>54</v>
      </c>
      <c r="H273" s="408" t="s">
        <v>1835</v>
      </c>
      <c r="I273" s="408"/>
      <c r="J273" s="406" t="s">
        <v>1836</v>
      </c>
      <c r="K273" s="406"/>
      <c r="L273" s="406"/>
      <c r="M273" s="406"/>
      <c r="N273" s="452">
        <v>0</v>
      </c>
      <c r="O273" s="452">
        <v>0</v>
      </c>
      <c r="P273" s="452">
        <v>0</v>
      </c>
      <c r="Q273" s="452">
        <v>0</v>
      </c>
      <c r="R273" s="452">
        <v>0</v>
      </c>
      <c r="S273" s="452">
        <v>0</v>
      </c>
      <c r="T273" s="452">
        <v>0</v>
      </c>
      <c r="U273" s="409">
        <v>2.2655799686908722</v>
      </c>
      <c r="V273" s="409"/>
      <c r="W273" s="409">
        <v>0</v>
      </c>
      <c r="X273" s="409">
        <v>0</v>
      </c>
      <c r="Y273" s="409">
        <v>7.7344200313091296</v>
      </c>
      <c r="Z273" s="453">
        <f t="shared" si="108"/>
        <v>10.000000000000002</v>
      </c>
      <c r="AA273" s="452">
        <v>0</v>
      </c>
      <c r="AB273" s="452">
        <v>0</v>
      </c>
      <c r="AC273" s="452">
        <v>0</v>
      </c>
      <c r="AD273" s="452">
        <v>0</v>
      </c>
      <c r="AE273" s="452">
        <v>0</v>
      </c>
      <c r="AF273" s="452">
        <v>0</v>
      </c>
      <c r="AG273" s="452">
        <v>0</v>
      </c>
      <c r="AH273" s="409">
        <v>0</v>
      </c>
      <c r="AI273" s="409">
        <v>0</v>
      </c>
      <c r="AJ273" s="409">
        <v>0</v>
      </c>
      <c r="AK273" s="409">
        <v>0</v>
      </c>
      <c r="AL273" s="409">
        <v>0</v>
      </c>
      <c r="AM273" s="453">
        <f t="shared" si="103"/>
        <v>0</v>
      </c>
      <c r="AN273" s="452">
        <v>0</v>
      </c>
      <c r="AO273" s="452">
        <v>0</v>
      </c>
      <c r="AP273" s="452">
        <v>0</v>
      </c>
      <c r="AQ273" s="452">
        <v>0</v>
      </c>
      <c r="AR273" s="452">
        <v>0</v>
      </c>
      <c r="AS273" s="452">
        <v>0</v>
      </c>
      <c r="AT273" s="452">
        <v>0</v>
      </c>
      <c r="AU273" s="409">
        <v>0</v>
      </c>
      <c r="AV273" s="409">
        <v>0</v>
      </c>
      <c r="AW273" s="409">
        <v>0</v>
      </c>
      <c r="AX273" s="409">
        <v>0</v>
      </c>
      <c r="AY273" s="409">
        <v>0</v>
      </c>
      <c r="AZ273" s="453">
        <f t="shared" si="104"/>
        <v>0</v>
      </c>
      <c r="BA273" s="452">
        <v>0</v>
      </c>
      <c r="BB273" s="452">
        <v>0</v>
      </c>
      <c r="BC273" s="452">
        <v>0</v>
      </c>
      <c r="BD273" s="452">
        <v>0</v>
      </c>
      <c r="BE273" s="452">
        <v>0</v>
      </c>
      <c r="BF273" s="452">
        <v>0</v>
      </c>
      <c r="BG273" s="452">
        <v>0</v>
      </c>
      <c r="BH273" s="409">
        <v>0</v>
      </c>
      <c r="BI273" s="409">
        <v>0</v>
      </c>
      <c r="BJ273" s="409">
        <v>0</v>
      </c>
      <c r="BK273" s="409">
        <v>0</v>
      </c>
      <c r="BL273" s="409">
        <v>0</v>
      </c>
      <c r="BM273" s="453">
        <f t="shared" si="105"/>
        <v>0</v>
      </c>
      <c r="BN273" s="452">
        <v>0</v>
      </c>
      <c r="BO273" s="452">
        <v>0</v>
      </c>
      <c r="BP273" s="452">
        <v>0</v>
      </c>
      <c r="BQ273" s="452">
        <v>0</v>
      </c>
      <c r="BR273" s="452">
        <v>0</v>
      </c>
      <c r="BS273" s="452">
        <v>0</v>
      </c>
      <c r="BT273" s="452">
        <v>0</v>
      </c>
      <c r="BU273" s="409">
        <v>0</v>
      </c>
      <c r="BV273" s="409">
        <v>0</v>
      </c>
      <c r="BW273" s="409">
        <v>0</v>
      </c>
      <c r="BX273" s="409">
        <v>0</v>
      </c>
      <c r="BY273" s="409">
        <v>0</v>
      </c>
      <c r="BZ273" s="453">
        <f t="shared" si="106"/>
        <v>0</v>
      </c>
      <c r="CA273" s="454">
        <f t="shared" si="107"/>
        <v>10.000000000000002</v>
      </c>
      <c r="CB273" s="427"/>
      <c r="CC273" s="427">
        <v>1</v>
      </c>
      <c r="CD273" s="427">
        <v>1</v>
      </c>
      <c r="CE273" s="427">
        <v>1</v>
      </c>
      <c r="CF273" s="427">
        <v>1</v>
      </c>
      <c r="CG273" s="420">
        <f>IFERROR((FE273/Z273%),0)</f>
        <v>22.655799686908718</v>
      </c>
      <c r="CH273" s="421">
        <f>IFERROR((FK273/Z273%),0)</f>
        <v>22.655799686908718</v>
      </c>
      <c r="CI273" s="414"/>
      <c r="CJ273" s="415"/>
      <c r="CK273" s="415"/>
      <c r="CL273" s="415"/>
      <c r="CM273" s="415"/>
      <c r="CN273" s="415"/>
      <c r="CO273" s="415"/>
      <c r="CP273" s="415"/>
      <c r="CQ273" s="415"/>
      <c r="CR273" s="415"/>
      <c r="CS273" s="415"/>
      <c r="CT273" s="415"/>
      <c r="CU273" s="415"/>
      <c r="CV273" s="410"/>
      <c r="CW273" s="415"/>
      <c r="CX273" s="415"/>
      <c r="CY273" s="415"/>
      <c r="CZ273" s="415"/>
      <c r="DA273" s="415"/>
      <c r="DB273" s="415"/>
      <c r="DC273" s="415"/>
      <c r="DD273" s="415"/>
      <c r="DE273" s="415"/>
      <c r="DF273" s="415"/>
      <c r="DG273" s="415"/>
      <c r="DH273" s="415"/>
      <c r="DI273" s="410"/>
      <c r="DJ273" s="415"/>
      <c r="DK273" s="415"/>
      <c r="DL273" s="415"/>
      <c r="DM273" s="415"/>
      <c r="DN273" s="415"/>
      <c r="DO273" s="415"/>
      <c r="DP273" s="415"/>
      <c r="DQ273" s="415"/>
      <c r="DR273" s="415"/>
      <c r="DS273" s="415"/>
      <c r="DT273" s="415"/>
      <c r="DU273" s="415"/>
      <c r="DV273" s="410"/>
      <c r="DW273" s="415"/>
      <c r="DX273" s="415"/>
      <c r="DY273" s="415"/>
      <c r="DZ273" s="415"/>
      <c r="EA273" s="415"/>
      <c r="EB273" s="415"/>
      <c r="EC273" s="415"/>
      <c r="ED273" s="415"/>
      <c r="EE273" s="415"/>
      <c r="EF273" s="415"/>
      <c r="EG273" s="415"/>
      <c r="EH273" s="415"/>
      <c r="EI273" s="410"/>
      <c r="EJ273" s="415"/>
      <c r="EK273" s="415"/>
      <c r="EL273" s="415"/>
      <c r="EM273" s="415"/>
      <c r="EN273" s="415"/>
      <c r="EO273" s="415"/>
      <c r="EP273" s="415"/>
      <c r="EQ273" s="415"/>
      <c r="ER273" s="415"/>
      <c r="ES273" s="415"/>
      <c r="ET273" s="415"/>
      <c r="EU273" s="415"/>
      <c r="EV273" s="410"/>
      <c r="EW273" s="416"/>
      <c r="EX273" s="417">
        <f>IFERROR(VLOOKUP(H273,CEI_012018!$A$1:$U$509,9,FALSE),0)</f>
        <v>0</v>
      </c>
      <c r="EY273" s="417">
        <f>IFERROR(VLOOKUP(H273,CEI_022018!$A$1:$U$509,9,FALSE),0)</f>
        <v>0</v>
      </c>
      <c r="EZ273" s="417">
        <f>IFERROR(VLOOKUP(H273,CEI_032018!$A$1:$U$509,9,FALSE),0)</f>
        <v>0</v>
      </c>
      <c r="FA273" s="417">
        <f>IFERROR(VLOOKUP(H273,CEI_042018!$A$1:$U$491,9,FALSE),0)</f>
        <v>0</v>
      </c>
      <c r="FB273" s="417">
        <f>IFERROR(VLOOKUP(H273,CEI_052018!$A$1:$U$489,9,FALSE),0)</f>
        <v>0</v>
      </c>
      <c r="FC273" s="417">
        <f>IFERROR(VLOOKUP(H273,CEI_062018!$A$1:$U$489,9,FALSE),0)</f>
        <v>0</v>
      </c>
      <c r="FD273" s="417">
        <f>IFERROR(VLOOKUP(H273,CEI_072018!$A$1:$U$489,9,FALSE),0)</f>
        <v>0</v>
      </c>
      <c r="FE273" s="417">
        <f>IFERROR(VLOOKUP(H273,CEI_082018!$A$1:$U$489,9,FALSE),0)</f>
        <v>2.2655799686908722</v>
      </c>
      <c r="FF273" s="417">
        <f>IFERROR(VLOOKUP(H273,CEI_092018!$A$1:$U$489,9,FALSE),0)</f>
        <v>2.2655799686908722</v>
      </c>
      <c r="FG273" s="417"/>
      <c r="FH273" s="417"/>
      <c r="FI273" s="417"/>
      <c r="FJ273" s="418">
        <f>IFERROR(VLOOKUP(H273,CEI_092018!$A$1:$U$489,12,FALSE),0)</f>
        <v>0</v>
      </c>
      <c r="FK273" s="418">
        <f t="shared" si="99"/>
        <v>2.2655799686908722</v>
      </c>
      <c r="FL273" s="418">
        <f t="shared" si="100"/>
        <v>7.7344200313091296</v>
      </c>
      <c r="FM273" s="417"/>
      <c r="FN273" s="417"/>
      <c r="FO273" s="417"/>
      <c r="FP273" s="417"/>
      <c r="FQ273" s="417"/>
      <c r="FR273" s="417"/>
      <c r="FS273" s="417"/>
      <c r="FT273" s="417"/>
      <c r="FU273" s="417"/>
      <c r="FV273" s="417"/>
      <c r="FW273" s="417"/>
      <c r="FX273" s="417"/>
      <c r="FY273" s="418"/>
      <c r="FZ273" s="418"/>
      <c r="GA273" s="418"/>
      <c r="GB273" s="417"/>
      <c r="GC273" s="417"/>
      <c r="GD273" s="417"/>
      <c r="GE273" s="417"/>
      <c r="GF273" s="417"/>
      <c r="GG273" s="417"/>
      <c r="GH273" s="417"/>
      <c r="GI273" s="417"/>
      <c r="GJ273" s="417"/>
      <c r="GK273" s="417"/>
      <c r="GL273" s="417"/>
      <c r="GM273" s="417"/>
      <c r="GN273" s="418"/>
      <c r="GO273" s="418"/>
      <c r="GP273" s="418"/>
      <c r="GQ273" s="417"/>
      <c r="GR273" s="417"/>
      <c r="GS273" s="417"/>
      <c r="GT273" s="417"/>
      <c r="GU273" s="417"/>
      <c r="GV273" s="417"/>
      <c r="GW273" s="417"/>
      <c r="GX273" s="417"/>
      <c r="GY273" s="417"/>
      <c r="GZ273" s="417"/>
      <c r="HA273" s="417"/>
      <c r="HB273" s="417"/>
      <c r="HC273" s="418"/>
      <c r="HD273" s="418"/>
      <c r="HE273" s="418"/>
      <c r="HF273" s="417"/>
      <c r="HG273" s="417"/>
      <c r="HH273" s="417"/>
      <c r="HI273" s="417"/>
      <c r="HJ273" s="417"/>
      <c r="HK273" s="417"/>
      <c r="HL273" s="417"/>
      <c r="HM273" s="417"/>
      <c r="HN273" s="417"/>
      <c r="HO273" s="417"/>
      <c r="HP273" s="417"/>
      <c r="HQ273" s="417"/>
      <c r="HR273" s="418"/>
      <c r="HS273" s="418"/>
      <c r="HT273" s="418"/>
    </row>
    <row r="274" spans="1:228" s="387" customFormat="1" ht="12.75" customHeight="1" x14ac:dyDescent="0.2">
      <c r="A274" s="406" t="s">
        <v>52</v>
      </c>
      <c r="B274" s="407" t="s">
        <v>28</v>
      </c>
      <c r="C274" s="406" t="s">
        <v>297</v>
      </c>
      <c r="D274" s="407" t="s">
        <v>1002</v>
      </c>
      <c r="E274" s="407" t="s">
        <v>297</v>
      </c>
      <c r="F274" s="407" t="s">
        <v>1002</v>
      </c>
      <c r="G274" s="406" t="s">
        <v>54</v>
      </c>
      <c r="H274" s="408" t="s">
        <v>520</v>
      </c>
      <c r="I274" s="408" t="s">
        <v>57</v>
      </c>
      <c r="J274" s="406" t="s">
        <v>694</v>
      </c>
      <c r="K274" s="406" t="s">
        <v>692</v>
      </c>
      <c r="L274" s="406" t="s">
        <v>693</v>
      </c>
      <c r="M274" s="406" t="s">
        <v>1770</v>
      </c>
      <c r="N274" s="452">
        <v>0</v>
      </c>
      <c r="O274" s="452">
        <v>0</v>
      </c>
      <c r="P274" s="452">
        <v>0</v>
      </c>
      <c r="Q274" s="452">
        <v>0</v>
      </c>
      <c r="R274" s="452">
        <v>0</v>
      </c>
      <c r="S274" s="452">
        <v>0</v>
      </c>
      <c r="T274" s="452">
        <v>0</v>
      </c>
      <c r="U274" s="409">
        <v>0</v>
      </c>
      <c r="V274" s="409"/>
      <c r="W274" s="409">
        <v>0</v>
      </c>
      <c r="X274" s="409">
        <v>0</v>
      </c>
      <c r="Y274" s="409">
        <v>0</v>
      </c>
      <c r="Z274" s="453">
        <f t="shared" si="108"/>
        <v>0</v>
      </c>
      <c r="AA274" s="452">
        <v>0</v>
      </c>
      <c r="AB274" s="452">
        <v>0</v>
      </c>
      <c r="AC274" s="452">
        <v>0</v>
      </c>
      <c r="AD274" s="452">
        <v>0</v>
      </c>
      <c r="AE274" s="452">
        <v>0</v>
      </c>
      <c r="AF274" s="452">
        <v>0</v>
      </c>
      <c r="AG274" s="452">
        <v>0</v>
      </c>
      <c r="AH274" s="409">
        <v>0</v>
      </c>
      <c r="AI274" s="409">
        <v>0</v>
      </c>
      <c r="AJ274" s="409">
        <v>157</v>
      </c>
      <c r="AK274" s="409">
        <v>0</v>
      </c>
      <c r="AL274" s="409">
        <v>0</v>
      </c>
      <c r="AM274" s="453">
        <f t="shared" si="103"/>
        <v>157</v>
      </c>
      <c r="AN274" s="452">
        <v>0</v>
      </c>
      <c r="AO274" s="452">
        <v>0</v>
      </c>
      <c r="AP274" s="452">
        <v>0</v>
      </c>
      <c r="AQ274" s="452">
        <v>0</v>
      </c>
      <c r="AR274" s="452">
        <v>0</v>
      </c>
      <c r="AS274" s="452">
        <v>0</v>
      </c>
      <c r="AT274" s="452">
        <v>0</v>
      </c>
      <c r="AU274" s="409">
        <v>0</v>
      </c>
      <c r="AV274" s="409">
        <v>0</v>
      </c>
      <c r="AW274" s="409">
        <v>0</v>
      </c>
      <c r="AX274" s="409">
        <v>0</v>
      </c>
      <c r="AY274" s="409">
        <v>0</v>
      </c>
      <c r="AZ274" s="453">
        <f t="shared" si="104"/>
        <v>0</v>
      </c>
      <c r="BA274" s="452">
        <v>0</v>
      </c>
      <c r="BB274" s="452">
        <v>0</v>
      </c>
      <c r="BC274" s="452">
        <v>0</v>
      </c>
      <c r="BD274" s="452">
        <v>0</v>
      </c>
      <c r="BE274" s="452">
        <v>0</v>
      </c>
      <c r="BF274" s="452">
        <v>0</v>
      </c>
      <c r="BG274" s="452">
        <v>0</v>
      </c>
      <c r="BH274" s="409">
        <v>0</v>
      </c>
      <c r="BI274" s="409">
        <v>0</v>
      </c>
      <c r="BJ274" s="409">
        <v>0</v>
      </c>
      <c r="BK274" s="409">
        <v>0</v>
      </c>
      <c r="BL274" s="409">
        <v>0</v>
      </c>
      <c r="BM274" s="453">
        <f t="shared" si="105"/>
        <v>0</v>
      </c>
      <c r="BN274" s="452">
        <v>0</v>
      </c>
      <c r="BO274" s="452">
        <v>0</v>
      </c>
      <c r="BP274" s="452">
        <v>0</v>
      </c>
      <c r="BQ274" s="452">
        <v>0</v>
      </c>
      <c r="BR274" s="452">
        <v>0</v>
      </c>
      <c r="BS274" s="452">
        <v>0</v>
      </c>
      <c r="BT274" s="452">
        <v>0</v>
      </c>
      <c r="BU274" s="409">
        <v>0</v>
      </c>
      <c r="BV274" s="409">
        <v>0</v>
      </c>
      <c r="BW274" s="409">
        <v>0</v>
      </c>
      <c r="BX274" s="409">
        <v>0</v>
      </c>
      <c r="BY274" s="409">
        <v>0</v>
      </c>
      <c r="BZ274" s="453">
        <f t="shared" si="106"/>
        <v>0</v>
      </c>
      <c r="CA274" s="454">
        <f t="shared" si="107"/>
        <v>157</v>
      </c>
      <c r="CB274" s="411"/>
      <c r="CC274" s="411"/>
      <c r="CD274" s="411"/>
      <c r="CE274" s="411"/>
      <c r="CF274" s="411"/>
      <c r="CG274" s="412"/>
      <c r="CH274" s="413"/>
      <c r="CI274" s="414" t="s">
        <v>1603</v>
      </c>
      <c r="CJ274" s="415">
        <v>0</v>
      </c>
      <c r="CK274" s="415">
        <v>0</v>
      </c>
      <c r="CL274" s="415">
        <v>0</v>
      </c>
      <c r="CM274" s="415">
        <v>0</v>
      </c>
      <c r="CN274" s="415">
        <v>0</v>
      </c>
      <c r="CO274" s="415">
        <v>0</v>
      </c>
      <c r="CP274" s="415">
        <v>0</v>
      </c>
      <c r="CQ274" s="415">
        <v>0</v>
      </c>
      <c r="CR274" s="415">
        <v>0</v>
      </c>
      <c r="CS274" s="415">
        <v>0</v>
      </c>
      <c r="CT274" s="415">
        <v>0</v>
      </c>
      <c r="CU274" s="415">
        <v>0</v>
      </c>
      <c r="CV274" s="410">
        <f t="shared" ref="CV274:CV315" si="117">SUM(CJ274:CU274)</f>
        <v>0</v>
      </c>
      <c r="CW274" s="415">
        <v>0</v>
      </c>
      <c r="CX274" s="415">
        <v>0</v>
      </c>
      <c r="CY274" s="415">
        <v>0</v>
      </c>
      <c r="CZ274" s="415">
        <v>0</v>
      </c>
      <c r="DA274" s="415">
        <v>0</v>
      </c>
      <c r="DB274" s="415">
        <v>0</v>
      </c>
      <c r="DC274" s="415">
        <v>0</v>
      </c>
      <c r="DD274" s="415">
        <v>0</v>
      </c>
      <c r="DE274" s="415">
        <v>0</v>
      </c>
      <c r="DF274" s="415">
        <v>2</v>
      </c>
      <c r="DG274" s="415">
        <v>0</v>
      </c>
      <c r="DH274" s="415">
        <v>0</v>
      </c>
      <c r="DI274" s="410">
        <f t="shared" ref="DI274:DI315" si="118">SUM(CW274:DH274)</f>
        <v>2</v>
      </c>
      <c r="DJ274" s="415">
        <v>0</v>
      </c>
      <c r="DK274" s="415">
        <v>0</v>
      </c>
      <c r="DL274" s="415">
        <v>0</v>
      </c>
      <c r="DM274" s="415">
        <v>0</v>
      </c>
      <c r="DN274" s="415">
        <v>0</v>
      </c>
      <c r="DO274" s="415">
        <v>0</v>
      </c>
      <c r="DP274" s="415">
        <v>0</v>
      </c>
      <c r="DQ274" s="415">
        <v>0</v>
      </c>
      <c r="DR274" s="415">
        <v>0</v>
      </c>
      <c r="DS274" s="415">
        <v>0</v>
      </c>
      <c r="DT274" s="415">
        <v>0</v>
      </c>
      <c r="DU274" s="415">
        <v>0</v>
      </c>
      <c r="DV274" s="410">
        <f t="shared" ref="DV274:DV315" si="119">SUM(DJ274:DU274)</f>
        <v>0</v>
      </c>
      <c r="DW274" s="415">
        <v>0</v>
      </c>
      <c r="DX274" s="415">
        <v>0</v>
      </c>
      <c r="DY274" s="415">
        <v>0</v>
      </c>
      <c r="DZ274" s="415">
        <v>0</v>
      </c>
      <c r="EA274" s="415">
        <v>0</v>
      </c>
      <c r="EB274" s="415">
        <v>0</v>
      </c>
      <c r="EC274" s="415">
        <v>0</v>
      </c>
      <c r="ED274" s="415">
        <v>0</v>
      </c>
      <c r="EE274" s="415">
        <v>0</v>
      </c>
      <c r="EF274" s="415">
        <v>0</v>
      </c>
      <c r="EG274" s="415">
        <v>0</v>
      </c>
      <c r="EH274" s="415">
        <v>0</v>
      </c>
      <c r="EI274" s="410">
        <f t="shared" ref="EI274:EI315" si="120">SUM(DW274:EH274)</f>
        <v>0</v>
      </c>
      <c r="EJ274" s="415">
        <v>0</v>
      </c>
      <c r="EK274" s="415">
        <v>0</v>
      </c>
      <c r="EL274" s="415">
        <v>0</v>
      </c>
      <c r="EM274" s="415">
        <v>0</v>
      </c>
      <c r="EN274" s="415">
        <v>0</v>
      </c>
      <c r="EO274" s="415">
        <v>0</v>
      </c>
      <c r="EP274" s="415">
        <v>0</v>
      </c>
      <c r="EQ274" s="415">
        <v>0</v>
      </c>
      <c r="ER274" s="415">
        <v>0</v>
      </c>
      <c r="ES274" s="415">
        <v>0</v>
      </c>
      <c r="ET274" s="415">
        <v>0</v>
      </c>
      <c r="EU274" s="415">
        <v>0</v>
      </c>
      <c r="EV274" s="410">
        <f t="shared" ref="EV274:EV315" si="121">SUM(EJ274:EU274)</f>
        <v>0</v>
      </c>
      <c r="EW274" s="416">
        <f t="shared" ref="EW274:EW315" si="122">SUM(EV274,EI274,DV274,DI274,CV274)</f>
        <v>2</v>
      </c>
      <c r="EX274" s="417">
        <f>IFERROR(VLOOKUP(H274,CEI_012018!$A$1:$U$509,9,FALSE),0)</f>
        <v>0</v>
      </c>
      <c r="EY274" s="417">
        <f>IFERROR(VLOOKUP(H274,CEI_022018!$A$1:$U$509,9,FALSE),0)</f>
        <v>0</v>
      </c>
      <c r="EZ274" s="417">
        <f>IFERROR(VLOOKUP(H274,CEI_032018!$A$1:$U$509,9,FALSE),0)</f>
        <v>0</v>
      </c>
      <c r="FA274" s="417">
        <f>IFERROR(VLOOKUP(H274,CEI_042018!$A$1:$U$491,9,FALSE),0)</f>
        <v>0</v>
      </c>
      <c r="FB274" s="417">
        <f>IFERROR(VLOOKUP(H274,CEI_052018!$A$1:$U$489,9,FALSE),0)</f>
        <v>0</v>
      </c>
      <c r="FC274" s="417">
        <f>IFERROR(VLOOKUP(H274,CEI_062018!$A$1:$U$489,9,FALSE),0)</f>
        <v>0</v>
      </c>
      <c r="FD274" s="417">
        <f>IFERROR(VLOOKUP(H274,CEI_072018!$A$1:$U$489,9,FALSE),0)</f>
        <v>0</v>
      </c>
      <c r="FE274" s="417">
        <f>IFERROR(VLOOKUP(H274,CEI_082018!$A$1:$U$489,9,FALSE),0)</f>
        <v>0</v>
      </c>
      <c r="FF274" s="417">
        <f>IFERROR(VLOOKUP(H274,CEI_092018!$A$1:$U$489,9,FALSE),0)</f>
        <v>0</v>
      </c>
      <c r="FG274" s="417"/>
      <c r="FH274" s="417"/>
      <c r="FI274" s="417"/>
      <c r="FJ274" s="418">
        <f>IFERROR(VLOOKUP(H274,CEI_092018!$A$1:$U$489,12,FALSE),0)</f>
        <v>0</v>
      </c>
      <c r="FK274" s="418">
        <f t="shared" si="99"/>
        <v>0</v>
      </c>
      <c r="FL274" s="418">
        <f t="shared" si="100"/>
        <v>0</v>
      </c>
      <c r="FM274" s="417"/>
      <c r="FN274" s="417"/>
      <c r="FO274" s="417"/>
      <c r="FP274" s="417"/>
      <c r="FQ274" s="417"/>
      <c r="FR274" s="417"/>
      <c r="FS274" s="417"/>
      <c r="FT274" s="417"/>
      <c r="FU274" s="417"/>
      <c r="FV274" s="417"/>
      <c r="FW274" s="417"/>
      <c r="FX274" s="417"/>
      <c r="FY274" s="418"/>
      <c r="FZ274" s="418"/>
      <c r="GA274" s="418"/>
      <c r="GB274" s="417"/>
      <c r="GC274" s="417"/>
      <c r="GD274" s="417"/>
      <c r="GE274" s="417"/>
      <c r="GF274" s="417"/>
      <c r="GG274" s="417"/>
      <c r="GH274" s="417"/>
      <c r="GI274" s="417"/>
      <c r="GJ274" s="417"/>
      <c r="GK274" s="417"/>
      <c r="GL274" s="417"/>
      <c r="GM274" s="417"/>
      <c r="GN274" s="418"/>
      <c r="GO274" s="418"/>
      <c r="GP274" s="418"/>
      <c r="GQ274" s="417"/>
      <c r="GR274" s="417"/>
      <c r="GS274" s="417"/>
      <c r="GT274" s="417"/>
      <c r="GU274" s="417"/>
      <c r="GV274" s="417"/>
      <c r="GW274" s="417"/>
      <c r="GX274" s="417"/>
      <c r="GY274" s="417"/>
      <c r="GZ274" s="417"/>
      <c r="HA274" s="417"/>
      <c r="HB274" s="417"/>
      <c r="HC274" s="418"/>
      <c r="HD274" s="418"/>
      <c r="HE274" s="418"/>
      <c r="HF274" s="417"/>
      <c r="HG274" s="417"/>
      <c r="HH274" s="417"/>
      <c r="HI274" s="417"/>
      <c r="HJ274" s="417"/>
      <c r="HK274" s="417"/>
      <c r="HL274" s="417"/>
      <c r="HM274" s="417"/>
      <c r="HN274" s="417"/>
      <c r="HO274" s="417"/>
      <c r="HP274" s="417"/>
      <c r="HQ274" s="417"/>
      <c r="HR274" s="418"/>
      <c r="HS274" s="418"/>
      <c r="HT274" s="418"/>
    </row>
    <row r="275" spans="1:228" s="387" customFormat="1" ht="12.75" customHeight="1" x14ac:dyDescent="0.2">
      <c r="A275" s="406" t="s">
        <v>61</v>
      </c>
      <c r="B275" s="407" t="s">
        <v>34</v>
      </c>
      <c r="C275" s="406" t="s">
        <v>297</v>
      </c>
      <c r="D275" s="407" t="s">
        <v>1002</v>
      </c>
      <c r="E275" s="407" t="s">
        <v>62</v>
      </c>
      <c r="F275" s="407" t="s">
        <v>64</v>
      </c>
      <c r="G275" s="406" t="s">
        <v>54</v>
      </c>
      <c r="H275" s="408" t="s">
        <v>1659</v>
      </c>
      <c r="I275" s="408" t="s">
        <v>57</v>
      </c>
      <c r="J275" s="406" t="s">
        <v>1645</v>
      </c>
      <c r="K275" s="406" t="s">
        <v>1632</v>
      </c>
      <c r="L275" s="406" t="s">
        <v>525</v>
      </c>
      <c r="M275" s="406" t="s">
        <v>1777</v>
      </c>
      <c r="N275" s="452">
        <v>0</v>
      </c>
      <c r="O275" s="452">
        <v>0</v>
      </c>
      <c r="P275" s="452">
        <v>0</v>
      </c>
      <c r="Q275" s="452">
        <v>0</v>
      </c>
      <c r="R275" s="452">
        <v>0</v>
      </c>
      <c r="S275" s="452">
        <v>0</v>
      </c>
      <c r="T275" s="452">
        <v>0</v>
      </c>
      <c r="U275" s="409">
        <v>0</v>
      </c>
      <c r="V275" s="409">
        <v>0</v>
      </c>
      <c r="W275" s="409">
        <v>142.21934999999999</v>
      </c>
      <c r="X275" s="409">
        <v>0</v>
      </c>
      <c r="Y275" s="409">
        <v>0</v>
      </c>
      <c r="Z275" s="453">
        <f t="shared" si="108"/>
        <v>142.21934999999999</v>
      </c>
      <c r="AA275" s="452">
        <v>0</v>
      </c>
      <c r="AB275" s="452">
        <v>0</v>
      </c>
      <c r="AC275" s="452">
        <v>0</v>
      </c>
      <c r="AD275" s="452">
        <v>0</v>
      </c>
      <c r="AE275" s="452">
        <v>0</v>
      </c>
      <c r="AF275" s="452">
        <v>0</v>
      </c>
      <c r="AG275" s="452">
        <v>0</v>
      </c>
      <c r="AH275" s="409">
        <v>0</v>
      </c>
      <c r="AI275" s="409">
        <v>0</v>
      </c>
      <c r="AJ275" s="409">
        <v>0</v>
      </c>
      <c r="AK275" s="409">
        <v>0</v>
      </c>
      <c r="AL275" s="409">
        <v>0</v>
      </c>
      <c r="AM275" s="453">
        <f t="shared" si="103"/>
        <v>0</v>
      </c>
      <c r="AN275" s="452">
        <v>0</v>
      </c>
      <c r="AO275" s="452">
        <v>0</v>
      </c>
      <c r="AP275" s="452">
        <v>0</v>
      </c>
      <c r="AQ275" s="452">
        <v>0</v>
      </c>
      <c r="AR275" s="452">
        <v>0</v>
      </c>
      <c r="AS275" s="452">
        <v>0</v>
      </c>
      <c r="AT275" s="452">
        <v>0</v>
      </c>
      <c r="AU275" s="409">
        <v>0</v>
      </c>
      <c r="AV275" s="409">
        <v>0</v>
      </c>
      <c r="AW275" s="409">
        <v>0</v>
      </c>
      <c r="AX275" s="409">
        <v>0</v>
      </c>
      <c r="AY275" s="409">
        <v>0</v>
      </c>
      <c r="AZ275" s="453">
        <f t="shared" si="104"/>
        <v>0</v>
      </c>
      <c r="BA275" s="452">
        <v>0</v>
      </c>
      <c r="BB275" s="452">
        <v>0</v>
      </c>
      <c r="BC275" s="452">
        <v>0</v>
      </c>
      <c r="BD275" s="452">
        <v>0</v>
      </c>
      <c r="BE275" s="452">
        <v>0</v>
      </c>
      <c r="BF275" s="452">
        <v>0</v>
      </c>
      <c r="BG275" s="452">
        <v>0</v>
      </c>
      <c r="BH275" s="409">
        <v>0</v>
      </c>
      <c r="BI275" s="409">
        <v>0</v>
      </c>
      <c r="BJ275" s="409">
        <v>0</v>
      </c>
      <c r="BK275" s="409">
        <v>0</v>
      </c>
      <c r="BL275" s="409">
        <v>0</v>
      </c>
      <c r="BM275" s="453">
        <f t="shared" si="105"/>
        <v>0</v>
      </c>
      <c r="BN275" s="452">
        <v>0</v>
      </c>
      <c r="BO275" s="452">
        <v>0</v>
      </c>
      <c r="BP275" s="452">
        <v>0</v>
      </c>
      <c r="BQ275" s="452">
        <v>0</v>
      </c>
      <c r="BR275" s="452">
        <v>0</v>
      </c>
      <c r="BS275" s="452">
        <v>0</v>
      </c>
      <c r="BT275" s="452">
        <v>0</v>
      </c>
      <c r="BU275" s="409">
        <v>0</v>
      </c>
      <c r="BV275" s="409">
        <v>0</v>
      </c>
      <c r="BW275" s="409">
        <v>0</v>
      </c>
      <c r="BX275" s="409">
        <v>0</v>
      </c>
      <c r="BY275" s="409">
        <v>0</v>
      </c>
      <c r="BZ275" s="453">
        <f t="shared" si="106"/>
        <v>0</v>
      </c>
      <c r="CA275" s="454">
        <f t="shared" si="107"/>
        <v>142.21934999999999</v>
      </c>
      <c r="CB275" s="419"/>
      <c r="CC275" s="419">
        <v>-1</v>
      </c>
      <c r="CD275" s="419">
        <v>-1</v>
      </c>
      <c r="CE275" s="419">
        <v>-1</v>
      </c>
      <c r="CF275" s="419">
        <v>-1</v>
      </c>
      <c r="CG275" s="420">
        <f>IFERROR((FE275/Z275%),0)</f>
        <v>0</v>
      </c>
      <c r="CH275" s="421">
        <f>IFERROR((FK275/Z275%),0)</f>
        <v>79.706564621180078</v>
      </c>
      <c r="CI275" s="414" t="s">
        <v>1603</v>
      </c>
      <c r="CJ275" s="415">
        <v>0</v>
      </c>
      <c r="CK275" s="415">
        <v>0</v>
      </c>
      <c r="CL275" s="415">
        <v>0</v>
      </c>
      <c r="CM275" s="415">
        <v>0</v>
      </c>
      <c r="CN275" s="415">
        <v>0</v>
      </c>
      <c r="CO275" s="415">
        <v>0</v>
      </c>
      <c r="CP275" s="415">
        <v>0</v>
      </c>
      <c r="CQ275" s="415">
        <v>0</v>
      </c>
      <c r="CR275" s="415">
        <v>0</v>
      </c>
      <c r="CS275" s="415">
        <v>21</v>
      </c>
      <c r="CT275" s="415">
        <v>0</v>
      </c>
      <c r="CU275" s="415">
        <v>0</v>
      </c>
      <c r="CV275" s="410">
        <f t="shared" si="117"/>
        <v>21</v>
      </c>
      <c r="CW275" s="415">
        <v>0</v>
      </c>
      <c r="CX275" s="415">
        <v>0</v>
      </c>
      <c r="CY275" s="415">
        <v>0</v>
      </c>
      <c r="CZ275" s="415">
        <v>0</v>
      </c>
      <c r="DA275" s="415">
        <v>0</v>
      </c>
      <c r="DB275" s="415">
        <v>0</v>
      </c>
      <c r="DC275" s="415">
        <v>0</v>
      </c>
      <c r="DD275" s="415">
        <v>0</v>
      </c>
      <c r="DE275" s="415">
        <v>0</v>
      </c>
      <c r="DF275" s="415">
        <v>0</v>
      </c>
      <c r="DG275" s="415">
        <v>0</v>
      </c>
      <c r="DH275" s="415">
        <v>0</v>
      </c>
      <c r="DI275" s="410">
        <f t="shared" si="118"/>
        <v>0</v>
      </c>
      <c r="DJ275" s="415">
        <v>0</v>
      </c>
      <c r="DK275" s="415">
        <v>0</v>
      </c>
      <c r="DL275" s="415">
        <v>0</v>
      </c>
      <c r="DM275" s="415">
        <v>0</v>
      </c>
      <c r="DN275" s="415">
        <v>0</v>
      </c>
      <c r="DO275" s="415">
        <v>0</v>
      </c>
      <c r="DP275" s="415">
        <v>0</v>
      </c>
      <c r="DQ275" s="415">
        <v>0</v>
      </c>
      <c r="DR275" s="415">
        <v>0</v>
      </c>
      <c r="DS275" s="415">
        <v>0</v>
      </c>
      <c r="DT275" s="415">
        <v>0</v>
      </c>
      <c r="DU275" s="415">
        <v>0</v>
      </c>
      <c r="DV275" s="410">
        <f t="shared" si="119"/>
        <v>0</v>
      </c>
      <c r="DW275" s="415">
        <v>0</v>
      </c>
      <c r="DX275" s="415">
        <v>0</v>
      </c>
      <c r="DY275" s="415">
        <v>0</v>
      </c>
      <c r="DZ275" s="415">
        <v>0</v>
      </c>
      <c r="EA275" s="415">
        <v>0</v>
      </c>
      <c r="EB275" s="415">
        <v>0</v>
      </c>
      <c r="EC275" s="415">
        <v>0</v>
      </c>
      <c r="ED275" s="415">
        <v>0</v>
      </c>
      <c r="EE275" s="415">
        <v>0</v>
      </c>
      <c r="EF275" s="415">
        <v>0</v>
      </c>
      <c r="EG275" s="415">
        <v>0</v>
      </c>
      <c r="EH275" s="415">
        <v>0</v>
      </c>
      <c r="EI275" s="410">
        <f t="shared" si="120"/>
        <v>0</v>
      </c>
      <c r="EJ275" s="415">
        <v>0</v>
      </c>
      <c r="EK275" s="415">
        <v>0</v>
      </c>
      <c r="EL275" s="415">
        <v>0</v>
      </c>
      <c r="EM275" s="415">
        <v>0</v>
      </c>
      <c r="EN275" s="415">
        <v>0</v>
      </c>
      <c r="EO275" s="415">
        <v>0</v>
      </c>
      <c r="EP275" s="415">
        <v>0</v>
      </c>
      <c r="EQ275" s="415">
        <v>0</v>
      </c>
      <c r="ER275" s="415">
        <v>0</v>
      </c>
      <c r="ES275" s="415">
        <v>0</v>
      </c>
      <c r="ET275" s="415">
        <v>0</v>
      </c>
      <c r="EU275" s="415">
        <v>0</v>
      </c>
      <c r="EV275" s="410">
        <f t="shared" si="121"/>
        <v>0</v>
      </c>
      <c r="EW275" s="416">
        <f t="shared" si="122"/>
        <v>21</v>
      </c>
      <c r="EX275" s="417">
        <f>IFERROR(VLOOKUP(H275,CEI_012018!$A$1:$U$509,9,FALSE),0)</f>
        <v>0</v>
      </c>
      <c r="EY275" s="417">
        <f>IFERROR(VLOOKUP(H275,CEI_022018!$A$1:$U$509,9,FALSE),0)</f>
        <v>0</v>
      </c>
      <c r="EZ275" s="417">
        <f>IFERROR(VLOOKUP(H275,CEI_032018!$A$1:$U$509,9,FALSE),0)</f>
        <v>0</v>
      </c>
      <c r="FA275" s="417">
        <f>IFERROR(VLOOKUP(H275,CEI_042018!$A$1:$U$491,9,FALSE),0)</f>
        <v>0</v>
      </c>
      <c r="FB275" s="417">
        <f>IFERROR(VLOOKUP(H275,CEI_052018!$A$1:$U$489,9,FALSE),0)</f>
        <v>0</v>
      </c>
      <c r="FC275" s="417">
        <f>IFERROR(VLOOKUP(H275,CEI_062018!$A$1:$U$489,9,FALSE),0)</f>
        <v>0</v>
      </c>
      <c r="FD275" s="417">
        <f>IFERROR(VLOOKUP(H275,CEI_072018!$A$1:$U$489,9,FALSE),0)</f>
        <v>0</v>
      </c>
      <c r="FE275" s="417">
        <f>IFERROR(VLOOKUP(H275,CEI_082018!$A$1:$U$489,9,FALSE),0)</f>
        <v>0</v>
      </c>
      <c r="FF275" s="417">
        <f>IFERROR(VLOOKUP(H275,CEI_092018!$A$1:$U$489,9,FALSE),0)</f>
        <v>0</v>
      </c>
      <c r="FG275" s="417"/>
      <c r="FH275" s="417"/>
      <c r="FI275" s="417"/>
      <c r="FJ275" s="418">
        <f>IFERROR(VLOOKUP(H275,CEI_092018!$A$1:$U$489,12,FALSE),0)</f>
        <v>113.35815811157227</v>
      </c>
      <c r="FK275" s="418">
        <f t="shared" si="99"/>
        <v>113.35815811157227</v>
      </c>
      <c r="FL275" s="418">
        <f t="shared" si="100"/>
        <v>28.861191888427726</v>
      </c>
      <c r="FM275" s="417"/>
      <c r="FN275" s="417"/>
      <c r="FO275" s="417"/>
      <c r="FP275" s="417"/>
      <c r="FQ275" s="417"/>
      <c r="FR275" s="417"/>
      <c r="FS275" s="417"/>
      <c r="FT275" s="417"/>
      <c r="FU275" s="417"/>
      <c r="FV275" s="417"/>
      <c r="FW275" s="417"/>
      <c r="FX275" s="417"/>
      <c r="FY275" s="418"/>
      <c r="FZ275" s="418"/>
      <c r="GA275" s="418"/>
      <c r="GB275" s="417"/>
      <c r="GC275" s="417"/>
      <c r="GD275" s="417"/>
      <c r="GE275" s="417"/>
      <c r="GF275" s="417"/>
      <c r="GG275" s="417"/>
      <c r="GH275" s="417"/>
      <c r="GI275" s="417"/>
      <c r="GJ275" s="417"/>
      <c r="GK275" s="417"/>
      <c r="GL275" s="417"/>
      <c r="GM275" s="417"/>
      <c r="GN275" s="418"/>
      <c r="GO275" s="418"/>
      <c r="GP275" s="418"/>
      <c r="GQ275" s="417"/>
      <c r="GR275" s="417"/>
      <c r="GS275" s="417"/>
      <c r="GT275" s="417"/>
      <c r="GU275" s="417"/>
      <c r="GV275" s="417"/>
      <c r="GW275" s="417"/>
      <c r="GX275" s="417"/>
      <c r="GY275" s="417"/>
      <c r="GZ275" s="417"/>
      <c r="HA275" s="417"/>
      <c r="HB275" s="417"/>
      <c r="HC275" s="418"/>
      <c r="HD275" s="418"/>
      <c r="HE275" s="418"/>
      <c r="HF275" s="417"/>
      <c r="HG275" s="417"/>
      <c r="HH275" s="417"/>
      <c r="HI275" s="417"/>
      <c r="HJ275" s="417"/>
      <c r="HK275" s="417"/>
      <c r="HL275" s="417"/>
      <c r="HM275" s="417"/>
      <c r="HN275" s="417"/>
      <c r="HO275" s="417"/>
      <c r="HP275" s="417"/>
      <c r="HQ275" s="417"/>
      <c r="HR275" s="418"/>
      <c r="HS275" s="418"/>
      <c r="HT275" s="418"/>
    </row>
    <row r="276" spans="1:228" s="387" customFormat="1" ht="12.75" customHeight="1" x14ac:dyDescent="0.2">
      <c r="A276" s="406" t="s">
        <v>61</v>
      </c>
      <c r="B276" s="407" t="s">
        <v>34</v>
      </c>
      <c r="C276" s="406" t="s">
        <v>297</v>
      </c>
      <c r="D276" s="407" t="s">
        <v>1002</v>
      </c>
      <c r="E276" s="407" t="s">
        <v>297</v>
      </c>
      <c r="F276" s="407" t="s">
        <v>1002</v>
      </c>
      <c r="G276" s="406" t="s">
        <v>54</v>
      </c>
      <c r="H276" s="408" t="s">
        <v>520</v>
      </c>
      <c r="I276" s="408" t="s">
        <v>57</v>
      </c>
      <c r="J276" s="406" t="s">
        <v>691</v>
      </c>
      <c r="K276" s="406" t="s">
        <v>692</v>
      </c>
      <c r="L276" s="406" t="s">
        <v>693</v>
      </c>
      <c r="M276" s="406" t="s">
        <v>1778</v>
      </c>
      <c r="N276" s="452">
        <v>0</v>
      </c>
      <c r="O276" s="452">
        <v>0</v>
      </c>
      <c r="P276" s="452">
        <v>0</v>
      </c>
      <c r="Q276" s="452">
        <v>0</v>
      </c>
      <c r="R276" s="452">
        <v>0</v>
      </c>
      <c r="S276" s="452">
        <v>0</v>
      </c>
      <c r="T276" s="452">
        <v>0</v>
      </c>
      <c r="U276" s="409">
        <v>0</v>
      </c>
      <c r="V276" s="409">
        <v>0</v>
      </c>
      <c r="W276" s="409">
        <v>0</v>
      </c>
      <c r="X276" s="409">
        <v>0</v>
      </c>
      <c r="Y276" s="409">
        <v>0</v>
      </c>
      <c r="Z276" s="453">
        <f t="shared" si="108"/>
        <v>0</v>
      </c>
      <c r="AA276" s="452">
        <v>0</v>
      </c>
      <c r="AB276" s="452">
        <v>0</v>
      </c>
      <c r="AC276" s="452">
        <v>0</v>
      </c>
      <c r="AD276" s="452">
        <v>0</v>
      </c>
      <c r="AE276" s="452">
        <v>0</v>
      </c>
      <c r="AF276" s="452">
        <v>0</v>
      </c>
      <c r="AG276" s="452">
        <v>0</v>
      </c>
      <c r="AH276" s="409">
        <v>0</v>
      </c>
      <c r="AI276" s="409">
        <v>0</v>
      </c>
      <c r="AJ276" s="409">
        <v>0</v>
      </c>
      <c r="AK276" s="409">
        <v>0</v>
      </c>
      <c r="AL276" s="409">
        <v>0</v>
      </c>
      <c r="AM276" s="453">
        <f t="shared" si="103"/>
        <v>0</v>
      </c>
      <c r="AN276" s="452">
        <v>0</v>
      </c>
      <c r="AO276" s="452">
        <v>0</v>
      </c>
      <c r="AP276" s="452">
        <v>0</v>
      </c>
      <c r="AQ276" s="452">
        <v>0</v>
      </c>
      <c r="AR276" s="452">
        <v>0</v>
      </c>
      <c r="AS276" s="452">
        <v>200</v>
      </c>
      <c r="AT276" s="452">
        <v>0</v>
      </c>
      <c r="AU276" s="409">
        <v>0</v>
      </c>
      <c r="AV276" s="409">
        <v>0</v>
      </c>
      <c r="AW276" s="409">
        <v>0</v>
      </c>
      <c r="AX276" s="409">
        <v>0</v>
      </c>
      <c r="AY276" s="409">
        <v>0</v>
      </c>
      <c r="AZ276" s="453">
        <f t="shared" si="104"/>
        <v>200</v>
      </c>
      <c r="BA276" s="452">
        <v>0</v>
      </c>
      <c r="BB276" s="452">
        <v>0</v>
      </c>
      <c r="BC276" s="452">
        <v>0</v>
      </c>
      <c r="BD276" s="452">
        <v>0</v>
      </c>
      <c r="BE276" s="452">
        <v>0</v>
      </c>
      <c r="BF276" s="452">
        <v>50</v>
      </c>
      <c r="BG276" s="452">
        <v>0</v>
      </c>
      <c r="BH276" s="409">
        <v>0</v>
      </c>
      <c r="BI276" s="409">
        <v>0</v>
      </c>
      <c r="BJ276" s="409">
        <v>0</v>
      </c>
      <c r="BK276" s="409">
        <v>0</v>
      </c>
      <c r="BL276" s="409">
        <v>0</v>
      </c>
      <c r="BM276" s="453">
        <f t="shared" si="105"/>
        <v>50</v>
      </c>
      <c r="BN276" s="452">
        <v>0</v>
      </c>
      <c r="BO276" s="452">
        <v>0</v>
      </c>
      <c r="BP276" s="452">
        <v>0</v>
      </c>
      <c r="BQ276" s="452">
        <v>0</v>
      </c>
      <c r="BR276" s="452">
        <v>0</v>
      </c>
      <c r="BS276" s="452">
        <v>0</v>
      </c>
      <c r="BT276" s="452">
        <v>0</v>
      </c>
      <c r="BU276" s="409">
        <v>0</v>
      </c>
      <c r="BV276" s="409">
        <v>0</v>
      </c>
      <c r="BW276" s="409">
        <v>0</v>
      </c>
      <c r="BX276" s="409">
        <v>0</v>
      </c>
      <c r="BY276" s="409">
        <v>0</v>
      </c>
      <c r="BZ276" s="453">
        <f t="shared" si="106"/>
        <v>0</v>
      </c>
      <c r="CA276" s="454">
        <f t="shared" si="107"/>
        <v>250</v>
      </c>
      <c r="CB276" s="411"/>
      <c r="CC276" s="411"/>
      <c r="CD276" s="411"/>
      <c r="CE276" s="411"/>
      <c r="CF276" s="411"/>
      <c r="CG276" s="412"/>
      <c r="CH276" s="413"/>
      <c r="CI276" s="414" t="s">
        <v>1603</v>
      </c>
      <c r="CJ276" s="415">
        <v>0</v>
      </c>
      <c r="CK276" s="415">
        <v>0</v>
      </c>
      <c r="CL276" s="415">
        <v>0</v>
      </c>
      <c r="CM276" s="415">
        <v>0</v>
      </c>
      <c r="CN276" s="415">
        <v>0</v>
      </c>
      <c r="CO276" s="415">
        <v>0</v>
      </c>
      <c r="CP276" s="415">
        <v>0</v>
      </c>
      <c r="CQ276" s="415">
        <v>0</v>
      </c>
      <c r="CR276" s="415">
        <v>0</v>
      </c>
      <c r="CS276" s="415">
        <v>0</v>
      </c>
      <c r="CT276" s="415">
        <v>0</v>
      </c>
      <c r="CU276" s="415">
        <v>0</v>
      </c>
      <c r="CV276" s="410">
        <f t="shared" si="117"/>
        <v>0</v>
      </c>
      <c r="CW276" s="415">
        <v>0</v>
      </c>
      <c r="CX276" s="415">
        <v>0</v>
      </c>
      <c r="CY276" s="415">
        <v>0</v>
      </c>
      <c r="CZ276" s="415">
        <v>0</v>
      </c>
      <c r="DA276" s="415">
        <v>0</v>
      </c>
      <c r="DB276" s="415">
        <v>0</v>
      </c>
      <c r="DC276" s="415">
        <v>0</v>
      </c>
      <c r="DD276" s="415">
        <v>0</v>
      </c>
      <c r="DE276" s="415">
        <v>0</v>
      </c>
      <c r="DF276" s="415">
        <v>2</v>
      </c>
      <c r="DG276" s="415">
        <v>0</v>
      </c>
      <c r="DH276" s="415">
        <v>0</v>
      </c>
      <c r="DI276" s="410">
        <f t="shared" si="118"/>
        <v>2</v>
      </c>
      <c r="DJ276" s="415">
        <v>0</v>
      </c>
      <c r="DK276" s="415">
        <v>0</v>
      </c>
      <c r="DL276" s="415">
        <v>0</v>
      </c>
      <c r="DM276" s="415">
        <v>0</v>
      </c>
      <c r="DN276" s="415">
        <v>0</v>
      </c>
      <c r="DO276" s="415">
        <v>0</v>
      </c>
      <c r="DP276" s="415">
        <v>0</v>
      </c>
      <c r="DQ276" s="415">
        <v>0</v>
      </c>
      <c r="DR276" s="415">
        <v>0</v>
      </c>
      <c r="DS276" s="415">
        <v>0</v>
      </c>
      <c r="DT276" s="415">
        <v>0</v>
      </c>
      <c r="DU276" s="415">
        <v>0</v>
      </c>
      <c r="DV276" s="410">
        <f t="shared" si="119"/>
        <v>0</v>
      </c>
      <c r="DW276" s="415">
        <v>0</v>
      </c>
      <c r="DX276" s="415">
        <v>0</v>
      </c>
      <c r="DY276" s="415">
        <v>0</v>
      </c>
      <c r="DZ276" s="415">
        <v>0</v>
      </c>
      <c r="EA276" s="415">
        <v>0</v>
      </c>
      <c r="EB276" s="415">
        <v>0</v>
      </c>
      <c r="EC276" s="415">
        <v>0</v>
      </c>
      <c r="ED276" s="415">
        <v>0</v>
      </c>
      <c r="EE276" s="415">
        <v>0</v>
      </c>
      <c r="EF276" s="415">
        <v>0</v>
      </c>
      <c r="EG276" s="415">
        <v>0</v>
      </c>
      <c r="EH276" s="415">
        <v>0</v>
      </c>
      <c r="EI276" s="410">
        <f t="shared" si="120"/>
        <v>0</v>
      </c>
      <c r="EJ276" s="415">
        <v>0</v>
      </c>
      <c r="EK276" s="415">
        <v>0</v>
      </c>
      <c r="EL276" s="415">
        <v>0</v>
      </c>
      <c r="EM276" s="415">
        <v>0</v>
      </c>
      <c r="EN276" s="415">
        <v>0</v>
      </c>
      <c r="EO276" s="415">
        <v>0</v>
      </c>
      <c r="EP276" s="415">
        <v>0</v>
      </c>
      <c r="EQ276" s="415">
        <v>0</v>
      </c>
      <c r="ER276" s="415">
        <v>0</v>
      </c>
      <c r="ES276" s="415">
        <v>0</v>
      </c>
      <c r="ET276" s="415">
        <v>0</v>
      </c>
      <c r="EU276" s="415">
        <v>0</v>
      </c>
      <c r="EV276" s="410">
        <f t="shared" si="121"/>
        <v>0</v>
      </c>
      <c r="EW276" s="416">
        <f t="shared" si="122"/>
        <v>2</v>
      </c>
      <c r="EX276" s="417">
        <f>IFERROR(VLOOKUP(H276,CEI_012018!$A$1:$U$509,9,FALSE),0)</f>
        <v>0</v>
      </c>
      <c r="EY276" s="417">
        <f>IFERROR(VLOOKUP(H276,CEI_022018!$A$1:$U$509,9,FALSE),0)</f>
        <v>0</v>
      </c>
      <c r="EZ276" s="417">
        <f>IFERROR(VLOOKUP(H276,CEI_032018!$A$1:$U$509,9,FALSE),0)</f>
        <v>0</v>
      </c>
      <c r="FA276" s="417">
        <f>IFERROR(VLOOKUP(H276,CEI_042018!$A$1:$U$491,9,FALSE),0)</f>
        <v>0</v>
      </c>
      <c r="FB276" s="417">
        <f>IFERROR(VLOOKUP(H276,CEI_052018!$A$1:$U$489,9,FALSE),0)</f>
        <v>0</v>
      </c>
      <c r="FC276" s="417">
        <f>IFERROR(VLOOKUP(H276,CEI_062018!$A$1:$U$489,9,FALSE),0)</f>
        <v>0</v>
      </c>
      <c r="FD276" s="417">
        <f>IFERROR(VLOOKUP(H276,CEI_072018!$A$1:$U$489,9,FALSE),0)</f>
        <v>0</v>
      </c>
      <c r="FE276" s="417">
        <f>IFERROR(VLOOKUP(H276,CEI_082018!$A$1:$U$489,9,FALSE),0)</f>
        <v>0</v>
      </c>
      <c r="FF276" s="417">
        <f>IFERROR(VLOOKUP(H276,CEI_092018!$A$1:$U$489,9,FALSE),0)</f>
        <v>0</v>
      </c>
      <c r="FG276" s="417"/>
      <c r="FH276" s="417"/>
      <c r="FI276" s="417"/>
      <c r="FJ276" s="418">
        <f>IFERROR(VLOOKUP(H276,CEI_092018!$A$1:$U$489,12,FALSE),0)</f>
        <v>0</v>
      </c>
      <c r="FK276" s="418">
        <f t="shared" si="99"/>
        <v>0</v>
      </c>
      <c r="FL276" s="418">
        <f t="shared" si="100"/>
        <v>0</v>
      </c>
      <c r="FM276" s="417"/>
      <c r="FN276" s="417"/>
      <c r="FO276" s="417"/>
      <c r="FP276" s="417"/>
      <c r="FQ276" s="417"/>
      <c r="FR276" s="417"/>
      <c r="FS276" s="417"/>
      <c r="FT276" s="417"/>
      <c r="FU276" s="417"/>
      <c r="FV276" s="417"/>
      <c r="FW276" s="417"/>
      <c r="FX276" s="417"/>
      <c r="FY276" s="418"/>
      <c r="FZ276" s="418"/>
      <c r="GA276" s="418"/>
      <c r="GB276" s="417"/>
      <c r="GC276" s="417"/>
      <c r="GD276" s="417"/>
      <c r="GE276" s="417"/>
      <c r="GF276" s="417"/>
      <c r="GG276" s="417"/>
      <c r="GH276" s="417"/>
      <c r="GI276" s="417"/>
      <c r="GJ276" s="417"/>
      <c r="GK276" s="417"/>
      <c r="GL276" s="417"/>
      <c r="GM276" s="417"/>
      <c r="GN276" s="418"/>
      <c r="GO276" s="418"/>
      <c r="GP276" s="418"/>
      <c r="GQ276" s="417"/>
      <c r="GR276" s="417"/>
      <c r="GS276" s="417"/>
      <c r="GT276" s="417"/>
      <c r="GU276" s="417"/>
      <c r="GV276" s="417"/>
      <c r="GW276" s="417"/>
      <c r="GX276" s="417"/>
      <c r="GY276" s="417"/>
      <c r="GZ276" s="417"/>
      <c r="HA276" s="417"/>
      <c r="HB276" s="417"/>
      <c r="HC276" s="418"/>
      <c r="HD276" s="418"/>
      <c r="HE276" s="418"/>
      <c r="HF276" s="417"/>
      <c r="HG276" s="417"/>
      <c r="HH276" s="417"/>
      <c r="HI276" s="417"/>
      <c r="HJ276" s="417"/>
      <c r="HK276" s="417"/>
      <c r="HL276" s="417"/>
      <c r="HM276" s="417"/>
      <c r="HN276" s="417"/>
      <c r="HO276" s="417"/>
      <c r="HP276" s="417"/>
      <c r="HQ276" s="417"/>
      <c r="HR276" s="418"/>
      <c r="HS276" s="418"/>
      <c r="HT276" s="418"/>
    </row>
    <row r="277" spans="1:228" s="387" customFormat="1" ht="12.75" customHeight="1" x14ac:dyDescent="0.2">
      <c r="A277" s="406" t="s">
        <v>61</v>
      </c>
      <c r="B277" s="407" t="s">
        <v>36</v>
      </c>
      <c r="C277" s="406" t="s">
        <v>297</v>
      </c>
      <c r="D277" s="407" t="s">
        <v>1007</v>
      </c>
      <c r="E277" s="407" t="s">
        <v>297</v>
      </c>
      <c r="F277" s="407" t="s">
        <v>1007</v>
      </c>
      <c r="G277" s="406" t="s">
        <v>54</v>
      </c>
      <c r="H277" s="408" t="s">
        <v>1590</v>
      </c>
      <c r="I277" s="408" t="s">
        <v>1592</v>
      </c>
      <c r="J277" s="406" t="s">
        <v>1630</v>
      </c>
      <c r="K277" s="406" t="s">
        <v>1631</v>
      </c>
      <c r="L277" s="406" t="s">
        <v>1633</v>
      </c>
      <c r="M277" s="406" t="s">
        <v>1771</v>
      </c>
      <c r="N277" s="452">
        <v>0</v>
      </c>
      <c r="O277" s="452">
        <v>0</v>
      </c>
      <c r="P277" s="452">
        <v>0</v>
      </c>
      <c r="Q277" s="452">
        <v>0</v>
      </c>
      <c r="R277" s="452">
        <v>0</v>
      </c>
      <c r="S277" s="452">
        <v>0</v>
      </c>
      <c r="T277" s="452">
        <v>97.797317504882813</v>
      </c>
      <c r="U277" s="409">
        <v>0</v>
      </c>
      <c r="V277" s="409">
        <v>0</v>
      </c>
      <c r="W277" s="409">
        <v>0</v>
      </c>
      <c r="X277" s="409">
        <v>0</v>
      </c>
      <c r="Y277" s="409"/>
      <c r="Z277" s="453">
        <f t="shared" si="108"/>
        <v>97.797317504882813</v>
      </c>
      <c r="AA277" s="452">
        <v>0</v>
      </c>
      <c r="AB277" s="452">
        <v>0</v>
      </c>
      <c r="AC277" s="452">
        <v>0</v>
      </c>
      <c r="AD277" s="452">
        <v>0</v>
      </c>
      <c r="AE277" s="452">
        <v>0</v>
      </c>
      <c r="AF277" s="452">
        <v>0</v>
      </c>
      <c r="AG277" s="452">
        <v>0</v>
      </c>
      <c r="AH277" s="409">
        <v>0</v>
      </c>
      <c r="AI277" s="409">
        <v>0</v>
      </c>
      <c r="AJ277" s="409">
        <v>0</v>
      </c>
      <c r="AK277" s="409">
        <v>0</v>
      </c>
      <c r="AL277" s="409">
        <v>0</v>
      </c>
      <c r="AM277" s="453">
        <f t="shared" si="103"/>
        <v>0</v>
      </c>
      <c r="AN277" s="452">
        <v>0</v>
      </c>
      <c r="AO277" s="452">
        <v>0</v>
      </c>
      <c r="AP277" s="452">
        <v>0</v>
      </c>
      <c r="AQ277" s="452">
        <v>0</v>
      </c>
      <c r="AR277" s="452">
        <v>0</v>
      </c>
      <c r="AS277" s="452">
        <v>0</v>
      </c>
      <c r="AT277" s="452">
        <v>0</v>
      </c>
      <c r="AU277" s="409">
        <v>0</v>
      </c>
      <c r="AV277" s="409">
        <v>0</v>
      </c>
      <c r="AW277" s="409">
        <v>0</v>
      </c>
      <c r="AX277" s="409">
        <v>0</v>
      </c>
      <c r="AY277" s="409">
        <v>0</v>
      </c>
      <c r="AZ277" s="453">
        <f t="shared" si="104"/>
        <v>0</v>
      </c>
      <c r="BA277" s="452">
        <v>0</v>
      </c>
      <c r="BB277" s="452">
        <v>0</v>
      </c>
      <c r="BC277" s="452">
        <v>0</v>
      </c>
      <c r="BD277" s="452">
        <v>0</v>
      </c>
      <c r="BE277" s="452">
        <v>0</v>
      </c>
      <c r="BF277" s="452">
        <v>0</v>
      </c>
      <c r="BG277" s="452">
        <v>186</v>
      </c>
      <c r="BH277" s="409">
        <v>0</v>
      </c>
      <c r="BI277" s="409">
        <v>0</v>
      </c>
      <c r="BJ277" s="409">
        <v>0</v>
      </c>
      <c r="BK277" s="409">
        <v>0</v>
      </c>
      <c r="BL277" s="409">
        <v>0</v>
      </c>
      <c r="BM277" s="453">
        <f t="shared" si="105"/>
        <v>186</v>
      </c>
      <c r="BN277" s="452">
        <v>0</v>
      </c>
      <c r="BO277" s="452">
        <v>0</v>
      </c>
      <c r="BP277" s="452">
        <v>0</v>
      </c>
      <c r="BQ277" s="452">
        <v>0</v>
      </c>
      <c r="BR277" s="452">
        <v>0</v>
      </c>
      <c r="BS277" s="452">
        <v>206</v>
      </c>
      <c r="BT277" s="452">
        <v>0</v>
      </c>
      <c r="BU277" s="409">
        <v>0</v>
      </c>
      <c r="BV277" s="409">
        <v>0</v>
      </c>
      <c r="BW277" s="409">
        <v>0</v>
      </c>
      <c r="BX277" s="409">
        <v>0</v>
      </c>
      <c r="BY277" s="409">
        <v>0</v>
      </c>
      <c r="BZ277" s="453">
        <f t="shared" si="106"/>
        <v>206</v>
      </c>
      <c r="CA277" s="454">
        <f t="shared" si="107"/>
        <v>489.79731750488281</v>
      </c>
      <c r="CB277" s="419"/>
      <c r="CC277" s="419">
        <v>1</v>
      </c>
      <c r="CD277" s="419">
        <v>1</v>
      </c>
      <c r="CE277" s="419">
        <v>1</v>
      </c>
      <c r="CF277" s="419">
        <v>1</v>
      </c>
      <c r="CG277" s="420">
        <f>IFERROR((FE277/Z277%),0)</f>
        <v>100</v>
      </c>
      <c r="CH277" s="421">
        <f>IFERROR((FK277/Z277%),0)</f>
        <v>100</v>
      </c>
      <c r="CI277" s="414" t="s">
        <v>1624</v>
      </c>
      <c r="CJ277" s="415">
        <v>0</v>
      </c>
      <c r="CK277" s="415">
        <v>0</v>
      </c>
      <c r="CL277" s="415">
        <v>0</v>
      </c>
      <c r="CM277" s="415">
        <v>0</v>
      </c>
      <c r="CN277" s="415">
        <v>0</v>
      </c>
      <c r="CO277" s="415">
        <v>0</v>
      </c>
      <c r="CP277" s="415">
        <v>1</v>
      </c>
      <c r="CQ277" s="415">
        <v>0</v>
      </c>
      <c r="CR277" s="415">
        <v>0</v>
      </c>
      <c r="CS277" s="415">
        <v>0</v>
      </c>
      <c r="CT277" s="415">
        <v>0</v>
      </c>
      <c r="CU277" s="415">
        <v>0</v>
      </c>
      <c r="CV277" s="410">
        <f t="shared" si="117"/>
        <v>1</v>
      </c>
      <c r="CW277" s="415">
        <v>0</v>
      </c>
      <c r="CX277" s="415">
        <v>0</v>
      </c>
      <c r="CY277" s="415">
        <v>0</v>
      </c>
      <c r="CZ277" s="415">
        <v>0</v>
      </c>
      <c r="DA277" s="415">
        <v>0</v>
      </c>
      <c r="DB277" s="415">
        <v>0</v>
      </c>
      <c r="DC277" s="415">
        <v>0</v>
      </c>
      <c r="DD277" s="415">
        <v>0</v>
      </c>
      <c r="DE277" s="415">
        <v>0</v>
      </c>
      <c r="DF277" s="415">
        <v>1</v>
      </c>
      <c r="DG277" s="415">
        <v>0</v>
      </c>
      <c r="DH277" s="415">
        <v>0</v>
      </c>
      <c r="DI277" s="410">
        <f t="shared" si="118"/>
        <v>1</v>
      </c>
      <c r="DJ277" s="415">
        <v>0</v>
      </c>
      <c r="DK277" s="415">
        <v>0</v>
      </c>
      <c r="DL277" s="415">
        <v>0</v>
      </c>
      <c r="DM277" s="415">
        <v>0</v>
      </c>
      <c r="DN277" s="415">
        <v>0</v>
      </c>
      <c r="DO277" s="415">
        <v>1</v>
      </c>
      <c r="DP277" s="415">
        <v>0</v>
      </c>
      <c r="DQ277" s="415">
        <v>0</v>
      </c>
      <c r="DR277" s="415">
        <v>0</v>
      </c>
      <c r="DS277" s="415">
        <v>0</v>
      </c>
      <c r="DT277" s="415">
        <v>0</v>
      </c>
      <c r="DU277" s="415">
        <v>0</v>
      </c>
      <c r="DV277" s="410">
        <f t="shared" si="119"/>
        <v>1</v>
      </c>
      <c r="DW277" s="415">
        <v>0</v>
      </c>
      <c r="DX277" s="415">
        <v>0</v>
      </c>
      <c r="DY277" s="415">
        <v>0</v>
      </c>
      <c r="DZ277" s="415">
        <v>0</v>
      </c>
      <c r="EA277" s="415">
        <v>0</v>
      </c>
      <c r="EB277" s="415">
        <v>1</v>
      </c>
      <c r="EC277" s="415">
        <v>0</v>
      </c>
      <c r="ED277" s="415">
        <v>0</v>
      </c>
      <c r="EE277" s="415">
        <v>0</v>
      </c>
      <c r="EF277" s="415">
        <v>0</v>
      </c>
      <c r="EG277" s="415">
        <v>0</v>
      </c>
      <c r="EH277" s="415">
        <v>0</v>
      </c>
      <c r="EI277" s="410">
        <f t="shared" si="120"/>
        <v>1</v>
      </c>
      <c r="EJ277" s="415">
        <v>0</v>
      </c>
      <c r="EK277" s="415">
        <v>0</v>
      </c>
      <c r="EL277" s="415">
        <v>0</v>
      </c>
      <c r="EM277" s="415">
        <v>0</v>
      </c>
      <c r="EN277" s="415">
        <v>0</v>
      </c>
      <c r="EO277" s="415">
        <v>1</v>
      </c>
      <c r="EP277" s="415">
        <v>0</v>
      </c>
      <c r="EQ277" s="415">
        <v>0</v>
      </c>
      <c r="ER277" s="415">
        <v>0</v>
      </c>
      <c r="ES277" s="415">
        <v>0</v>
      </c>
      <c r="ET277" s="415">
        <v>0</v>
      </c>
      <c r="EU277" s="415">
        <v>0</v>
      </c>
      <c r="EV277" s="410">
        <f t="shared" si="121"/>
        <v>1</v>
      </c>
      <c r="EW277" s="416">
        <f t="shared" si="122"/>
        <v>5</v>
      </c>
      <c r="EX277" s="417">
        <f>IFERROR(VLOOKUP(H277,CEI_012018!$A$1:$U$509,9,FALSE),0)</f>
        <v>0</v>
      </c>
      <c r="EY277" s="417">
        <f>IFERROR(VLOOKUP(H277,CEI_022018!$A$1:$U$509,9,FALSE),0)</f>
        <v>0</v>
      </c>
      <c r="EZ277" s="417">
        <f>IFERROR(VLOOKUP(H277,CEI_032018!$A$1:$U$509,9,FALSE),0)</f>
        <v>0</v>
      </c>
      <c r="FA277" s="417">
        <f>IFERROR(VLOOKUP(H277,CEI_042018!$A$1:$U$491,9,FALSE),0)</f>
        <v>0</v>
      </c>
      <c r="FB277" s="417">
        <f>IFERROR(VLOOKUP(H277,CEI_052018!$A$1:$U$489,9,FALSE),0)</f>
        <v>0</v>
      </c>
      <c r="FC277" s="417">
        <f>IFERROR(VLOOKUP(H277,CEI_062018!$A$1:$U$489,9,FALSE),0)</f>
        <v>0</v>
      </c>
      <c r="FD277" s="417">
        <f>IFERROR(VLOOKUP(H277,CEI_072018!$A$1:$U$489,9,FALSE),0)</f>
        <v>97.797317504882813</v>
      </c>
      <c r="FE277" s="417">
        <f>IFERROR(VLOOKUP(H277,CEI_082018!$A$1:$U$489,9,FALSE),0)</f>
        <v>97.797317504882813</v>
      </c>
      <c r="FF277" s="417">
        <f>IFERROR(VLOOKUP(H277,CEI_092018!$A$1:$U$489,9,FALSE),0)</f>
        <v>97.797317504882813</v>
      </c>
      <c r="FG277" s="417"/>
      <c r="FH277" s="417"/>
      <c r="FI277" s="417"/>
      <c r="FJ277" s="418">
        <f>IFERROR(VLOOKUP(H277,CEI_092018!$A$1:$U$489,12,FALSE),0)</f>
        <v>0</v>
      </c>
      <c r="FK277" s="418">
        <f t="shared" si="99"/>
        <v>97.797317504882813</v>
      </c>
      <c r="FL277" s="418">
        <f t="shared" si="100"/>
        <v>0</v>
      </c>
      <c r="FM277" s="417"/>
      <c r="FN277" s="417"/>
      <c r="FO277" s="417"/>
      <c r="FP277" s="417"/>
      <c r="FQ277" s="417"/>
      <c r="FR277" s="417"/>
      <c r="FS277" s="417"/>
      <c r="FT277" s="417"/>
      <c r="FU277" s="417"/>
      <c r="FV277" s="417"/>
      <c r="FW277" s="417"/>
      <c r="FX277" s="417"/>
      <c r="FY277" s="418"/>
      <c r="FZ277" s="418"/>
      <c r="GA277" s="418"/>
      <c r="GB277" s="417"/>
      <c r="GC277" s="417"/>
      <c r="GD277" s="417"/>
      <c r="GE277" s="417"/>
      <c r="GF277" s="417"/>
      <c r="GG277" s="417"/>
      <c r="GH277" s="417"/>
      <c r="GI277" s="417"/>
      <c r="GJ277" s="417"/>
      <c r="GK277" s="417"/>
      <c r="GL277" s="417"/>
      <c r="GM277" s="417"/>
      <c r="GN277" s="418"/>
      <c r="GO277" s="418"/>
      <c r="GP277" s="418"/>
      <c r="GQ277" s="417"/>
      <c r="GR277" s="417"/>
      <c r="GS277" s="417"/>
      <c r="GT277" s="417"/>
      <c r="GU277" s="417"/>
      <c r="GV277" s="417"/>
      <c r="GW277" s="417"/>
      <c r="GX277" s="417"/>
      <c r="GY277" s="417"/>
      <c r="GZ277" s="417"/>
      <c r="HA277" s="417"/>
      <c r="HB277" s="417"/>
      <c r="HC277" s="418"/>
      <c r="HD277" s="418"/>
      <c r="HE277" s="418"/>
      <c r="HF277" s="417"/>
      <c r="HG277" s="417"/>
      <c r="HH277" s="417"/>
      <c r="HI277" s="417"/>
      <c r="HJ277" s="417"/>
      <c r="HK277" s="417"/>
      <c r="HL277" s="417"/>
      <c r="HM277" s="417"/>
      <c r="HN277" s="417"/>
      <c r="HO277" s="417"/>
      <c r="HP277" s="417"/>
      <c r="HQ277" s="417"/>
      <c r="HR277" s="418"/>
      <c r="HS277" s="418"/>
      <c r="HT277" s="418"/>
    </row>
    <row r="278" spans="1:228" s="387" customFormat="1" ht="12.75" customHeight="1" x14ac:dyDescent="0.2">
      <c r="A278" s="406" t="s">
        <v>55</v>
      </c>
      <c r="B278" s="407" t="s">
        <v>39</v>
      </c>
      <c r="C278" s="406" t="s">
        <v>297</v>
      </c>
      <c r="D278" s="407" t="s">
        <v>976</v>
      </c>
      <c r="E278" s="407" t="s">
        <v>297</v>
      </c>
      <c r="F278" s="407" t="s">
        <v>976</v>
      </c>
      <c r="G278" s="406" t="s">
        <v>54</v>
      </c>
      <c r="H278" s="408" t="s">
        <v>1476</v>
      </c>
      <c r="I278" s="408" t="s">
        <v>1477</v>
      </c>
      <c r="J278" s="406" t="s">
        <v>977</v>
      </c>
      <c r="K278" s="406" t="s">
        <v>980</v>
      </c>
      <c r="L278" s="406" t="s">
        <v>978</v>
      </c>
      <c r="M278" s="406"/>
      <c r="N278" s="452">
        <v>0</v>
      </c>
      <c r="O278" s="452">
        <v>0</v>
      </c>
      <c r="P278" s="452">
        <v>0</v>
      </c>
      <c r="Q278" s="452">
        <v>0</v>
      </c>
      <c r="R278" s="452">
        <v>0</v>
      </c>
      <c r="S278" s="452">
        <v>0</v>
      </c>
      <c r="T278" s="452">
        <v>11.725610017776489</v>
      </c>
      <c r="U278" s="409">
        <v>0</v>
      </c>
      <c r="V278" s="409"/>
      <c r="W278" s="409"/>
      <c r="X278" s="409"/>
      <c r="Y278" s="409"/>
      <c r="Z278" s="453">
        <f t="shared" si="108"/>
        <v>11.725610017776489</v>
      </c>
      <c r="AA278" s="452"/>
      <c r="AB278" s="452"/>
      <c r="AC278" s="452"/>
      <c r="AD278" s="452"/>
      <c r="AE278" s="452"/>
      <c r="AF278" s="452"/>
      <c r="AG278" s="452"/>
      <c r="AH278" s="409"/>
      <c r="AI278" s="409"/>
      <c r="AJ278" s="409"/>
      <c r="AK278" s="409"/>
      <c r="AL278" s="409"/>
      <c r="AM278" s="453">
        <f t="shared" si="103"/>
        <v>0</v>
      </c>
      <c r="AN278" s="452"/>
      <c r="AO278" s="452"/>
      <c r="AP278" s="452"/>
      <c r="AQ278" s="452"/>
      <c r="AR278" s="452"/>
      <c r="AS278" s="452"/>
      <c r="AT278" s="452"/>
      <c r="AU278" s="409"/>
      <c r="AV278" s="409"/>
      <c r="AW278" s="409"/>
      <c r="AX278" s="409"/>
      <c r="AY278" s="409"/>
      <c r="AZ278" s="453">
        <f t="shared" si="104"/>
        <v>0</v>
      </c>
      <c r="BA278" s="452"/>
      <c r="BB278" s="452"/>
      <c r="BC278" s="452"/>
      <c r="BD278" s="452"/>
      <c r="BE278" s="452"/>
      <c r="BF278" s="452"/>
      <c r="BG278" s="452"/>
      <c r="BH278" s="409"/>
      <c r="BI278" s="409"/>
      <c r="BJ278" s="409"/>
      <c r="BK278" s="409"/>
      <c r="BL278" s="409"/>
      <c r="BM278" s="453">
        <f t="shared" si="105"/>
        <v>0</v>
      </c>
      <c r="BN278" s="452"/>
      <c r="BO278" s="452"/>
      <c r="BP278" s="452"/>
      <c r="BQ278" s="452"/>
      <c r="BR278" s="452"/>
      <c r="BS278" s="452"/>
      <c r="BT278" s="452"/>
      <c r="BU278" s="409"/>
      <c r="BV278" s="409"/>
      <c r="BW278" s="409"/>
      <c r="BX278" s="409"/>
      <c r="BY278" s="409"/>
      <c r="BZ278" s="453">
        <f t="shared" si="106"/>
        <v>0</v>
      </c>
      <c r="CA278" s="454">
        <f t="shared" si="107"/>
        <v>11.725610017776489</v>
      </c>
      <c r="CB278" s="419"/>
      <c r="CC278" s="419">
        <v>1</v>
      </c>
      <c r="CD278" s="419">
        <v>1</v>
      </c>
      <c r="CE278" s="419">
        <v>1</v>
      </c>
      <c r="CF278" s="419">
        <v>1</v>
      </c>
      <c r="CG278" s="420">
        <f>IFERROR((FE278/Z278%),0)</f>
        <v>100</v>
      </c>
      <c r="CH278" s="421">
        <f>IFERROR((FK278/Z278%),0)</f>
        <v>100</v>
      </c>
      <c r="CI278" s="414" t="s">
        <v>979</v>
      </c>
      <c r="CJ278" s="415"/>
      <c r="CK278" s="415"/>
      <c r="CL278" s="415"/>
      <c r="CM278" s="415"/>
      <c r="CN278" s="415"/>
      <c r="CO278" s="415">
        <v>7</v>
      </c>
      <c r="CP278" s="415"/>
      <c r="CQ278" s="415"/>
      <c r="CR278" s="415"/>
      <c r="CS278" s="415"/>
      <c r="CT278" s="415"/>
      <c r="CU278" s="415"/>
      <c r="CV278" s="410">
        <f t="shared" si="117"/>
        <v>7</v>
      </c>
      <c r="CW278" s="415"/>
      <c r="CX278" s="415"/>
      <c r="CY278" s="415"/>
      <c r="CZ278" s="415"/>
      <c r="DA278" s="415"/>
      <c r="DB278" s="415"/>
      <c r="DC278" s="415"/>
      <c r="DD278" s="415"/>
      <c r="DE278" s="415"/>
      <c r="DF278" s="415"/>
      <c r="DG278" s="415"/>
      <c r="DH278" s="415"/>
      <c r="DI278" s="410">
        <f t="shared" si="118"/>
        <v>0</v>
      </c>
      <c r="DJ278" s="415"/>
      <c r="DK278" s="415"/>
      <c r="DL278" s="415"/>
      <c r="DM278" s="415"/>
      <c r="DN278" s="415"/>
      <c r="DO278" s="415"/>
      <c r="DP278" s="415"/>
      <c r="DQ278" s="415"/>
      <c r="DR278" s="415"/>
      <c r="DS278" s="415"/>
      <c r="DT278" s="415"/>
      <c r="DU278" s="415"/>
      <c r="DV278" s="410">
        <f t="shared" si="119"/>
        <v>0</v>
      </c>
      <c r="DW278" s="415"/>
      <c r="DX278" s="415"/>
      <c r="DY278" s="415"/>
      <c r="DZ278" s="415"/>
      <c r="EA278" s="415"/>
      <c r="EB278" s="415"/>
      <c r="EC278" s="415"/>
      <c r="ED278" s="415"/>
      <c r="EE278" s="415"/>
      <c r="EF278" s="415"/>
      <c r="EG278" s="415"/>
      <c r="EH278" s="415"/>
      <c r="EI278" s="410">
        <f t="shared" si="120"/>
        <v>0</v>
      </c>
      <c r="EJ278" s="415"/>
      <c r="EK278" s="415"/>
      <c r="EL278" s="415"/>
      <c r="EM278" s="415"/>
      <c r="EN278" s="415"/>
      <c r="EO278" s="415"/>
      <c r="EP278" s="415"/>
      <c r="EQ278" s="415"/>
      <c r="ER278" s="415"/>
      <c r="ES278" s="415"/>
      <c r="ET278" s="415"/>
      <c r="EU278" s="415"/>
      <c r="EV278" s="410">
        <f t="shared" si="121"/>
        <v>0</v>
      </c>
      <c r="EW278" s="416">
        <f t="shared" si="122"/>
        <v>7</v>
      </c>
      <c r="EX278" s="417">
        <f>IFERROR(VLOOKUP(H278,CEI_012018!$A$1:$U$509,9,FALSE),0)</f>
        <v>0</v>
      </c>
      <c r="EY278" s="417">
        <f>IFERROR(VLOOKUP(H278,CEI_022018!$A$1:$U$509,9,FALSE),0)</f>
        <v>0</v>
      </c>
      <c r="EZ278" s="417">
        <f>IFERROR(VLOOKUP(H278,CEI_032018!$A$1:$U$509,9,FALSE),0)</f>
        <v>0</v>
      </c>
      <c r="FA278" s="417">
        <f>IFERROR(VLOOKUP(H278,CEI_042018!$A$1:$U$491,9,FALSE),0)</f>
        <v>0</v>
      </c>
      <c r="FB278" s="417">
        <f>IFERROR(VLOOKUP(H278,CEI_052018!$A$1:$U$489,9,FALSE),0)</f>
        <v>0</v>
      </c>
      <c r="FC278" s="417">
        <f>IFERROR(VLOOKUP(H278,CEI_062018!$A$1:$U$489,9,FALSE),0)</f>
        <v>0</v>
      </c>
      <c r="FD278" s="417">
        <f>IFERROR(VLOOKUP(H278,CEI_072018!$A$1:$U$489,9,FALSE),0)</f>
        <v>11.725610017776489</v>
      </c>
      <c r="FE278" s="417">
        <f>IFERROR(VLOOKUP(H278,CEI_082018!$A$1:$U$489,9,FALSE),0)</f>
        <v>11.725610017776489</v>
      </c>
      <c r="FF278" s="417">
        <f>IFERROR(VLOOKUP(H278,CEI_092018!$A$1:$U$489,9,FALSE),0)</f>
        <v>11.725610017776489</v>
      </c>
      <c r="FG278" s="417"/>
      <c r="FH278" s="417"/>
      <c r="FI278" s="417"/>
      <c r="FJ278" s="418">
        <f>IFERROR(VLOOKUP(H278,CEI_092018!$A$1:$U$489,12,FALSE),0)</f>
        <v>0</v>
      </c>
      <c r="FK278" s="418">
        <f t="shared" si="99"/>
        <v>11.725610017776489</v>
      </c>
      <c r="FL278" s="418">
        <f t="shared" si="100"/>
        <v>0</v>
      </c>
      <c r="FM278" s="417"/>
      <c r="FN278" s="417"/>
      <c r="FO278" s="417"/>
      <c r="FP278" s="417"/>
      <c r="FQ278" s="417"/>
      <c r="FR278" s="417"/>
      <c r="FS278" s="417"/>
      <c r="FT278" s="417"/>
      <c r="FU278" s="417"/>
      <c r="FV278" s="417"/>
      <c r="FW278" s="417"/>
      <c r="FX278" s="417"/>
      <c r="FY278" s="418"/>
      <c r="FZ278" s="418"/>
      <c r="GA278" s="418"/>
      <c r="GB278" s="417"/>
      <c r="GC278" s="417"/>
      <c r="GD278" s="417"/>
      <c r="GE278" s="417"/>
      <c r="GF278" s="417"/>
      <c r="GG278" s="417"/>
      <c r="GH278" s="417"/>
      <c r="GI278" s="417"/>
      <c r="GJ278" s="417"/>
      <c r="GK278" s="417"/>
      <c r="GL278" s="417"/>
      <c r="GM278" s="417"/>
      <c r="GN278" s="418"/>
      <c r="GO278" s="418"/>
      <c r="GP278" s="418"/>
      <c r="GQ278" s="417"/>
      <c r="GR278" s="417"/>
      <c r="GS278" s="417"/>
      <c r="GT278" s="417"/>
      <c r="GU278" s="417"/>
      <c r="GV278" s="417"/>
      <c r="GW278" s="417"/>
      <c r="GX278" s="417"/>
      <c r="GY278" s="417"/>
      <c r="GZ278" s="417"/>
      <c r="HA278" s="417"/>
      <c r="HB278" s="417"/>
      <c r="HC278" s="418"/>
      <c r="HD278" s="418"/>
      <c r="HE278" s="418"/>
      <c r="HF278" s="417"/>
      <c r="HG278" s="417"/>
      <c r="HH278" s="417"/>
      <c r="HI278" s="417"/>
      <c r="HJ278" s="417"/>
      <c r="HK278" s="417"/>
      <c r="HL278" s="417"/>
      <c r="HM278" s="417"/>
      <c r="HN278" s="417"/>
      <c r="HO278" s="417"/>
      <c r="HP278" s="417"/>
      <c r="HQ278" s="417"/>
      <c r="HR278" s="418"/>
      <c r="HS278" s="418"/>
      <c r="HT278" s="418"/>
    </row>
    <row r="279" spans="1:228" s="387" customFormat="1" ht="12.75" customHeight="1" x14ac:dyDescent="0.2">
      <c r="A279" s="406" t="s">
        <v>55</v>
      </c>
      <c r="B279" s="407" t="s">
        <v>40</v>
      </c>
      <c r="C279" s="406" t="s">
        <v>297</v>
      </c>
      <c r="D279" s="407" t="s">
        <v>1002</v>
      </c>
      <c r="E279" s="407" t="s">
        <v>56</v>
      </c>
      <c r="F279" s="407" t="s">
        <v>1750</v>
      </c>
      <c r="G279" s="406" t="s">
        <v>54</v>
      </c>
      <c r="H279" s="408" t="s">
        <v>520</v>
      </c>
      <c r="I279" s="408" t="s">
        <v>57</v>
      </c>
      <c r="J279" s="406" t="s">
        <v>419</v>
      </c>
      <c r="K279" s="406" t="s">
        <v>420</v>
      </c>
      <c r="L279" s="406" t="s">
        <v>421</v>
      </c>
      <c r="M279" s="406" t="s">
        <v>1770</v>
      </c>
      <c r="N279" s="452">
        <v>0</v>
      </c>
      <c r="O279" s="452">
        <v>0</v>
      </c>
      <c r="P279" s="452">
        <v>0</v>
      </c>
      <c r="Q279" s="452">
        <v>0</v>
      </c>
      <c r="R279" s="452">
        <v>0</v>
      </c>
      <c r="S279" s="452">
        <v>0</v>
      </c>
      <c r="T279" s="452">
        <v>0</v>
      </c>
      <c r="U279" s="409">
        <v>0</v>
      </c>
      <c r="V279" s="409">
        <v>0</v>
      </c>
      <c r="W279" s="409" t="s">
        <v>660</v>
      </c>
      <c r="X279" s="409">
        <v>0</v>
      </c>
      <c r="Y279" s="409" t="s">
        <v>660</v>
      </c>
      <c r="Z279" s="453">
        <f t="shared" si="108"/>
        <v>0</v>
      </c>
      <c r="AA279" s="452">
        <v>0</v>
      </c>
      <c r="AB279" s="452">
        <v>0</v>
      </c>
      <c r="AC279" s="452">
        <v>0</v>
      </c>
      <c r="AD279" s="452">
        <v>400</v>
      </c>
      <c r="AE279" s="452">
        <v>0</v>
      </c>
      <c r="AF279" s="452">
        <v>0</v>
      </c>
      <c r="AG279" s="452">
        <v>0</v>
      </c>
      <c r="AH279" s="409">
        <v>0</v>
      </c>
      <c r="AI279" s="409">
        <v>0</v>
      </c>
      <c r="AJ279" s="409">
        <v>0</v>
      </c>
      <c r="AK279" s="409">
        <v>0</v>
      </c>
      <c r="AL279" s="409">
        <v>0</v>
      </c>
      <c r="AM279" s="453">
        <f t="shared" si="103"/>
        <v>400</v>
      </c>
      <c r="AN279" s="452">
        <v>0</v>
      </c>
      <c r="AO279" s="452">
        <v>0</v>
      </c>
      <c r="AP279" s="452">
        <v>0</v>
      </c>
      <c r="AQ279" s="452">
        <v>0</v>
      </c>
      <c r="AR279" s="452">
        <v>0</v>
      </c>
      <c r="AS279" s="452">
        <v>0</v>
      </c>
      <c r="AT279" s="452">
        <v>0</v>
      </c>
      <c r="AU279" s="409">
        <v>0</v>
      </c>
      <c r="AV279" s="409">
        <v>0</v>
      </c>
      <c r="AW279" s="409">
        <v>0</v>
      </c>
      <c r="AX279" s="409">
        <v>0</v>
      </c>
      <c r="AY279" s="409">
        <v>0</v>
      </c>
      <c r="AZ279" s="453">
        <f t="shared" si="104"/>
        <v>0</v>
      </c>
      <c r="BA279" s="452">
        <v>0</v>
      </c>
      <c r="BB279" s="452">
        <v>0</v>
      </c>
      <c r="BC279" s="452">
        <v>0</v>
      </c>
      <c r="BD279" s="452">
        <v>0</v>
      </c>
      <c r="BE279" s="452">
        <v>0</v>
      </c>
      <c r="BF279" s="452">
        <v>0</v>
      </c>
      <c r="BG279" s="452">
        <v>0</v>
      </c>
      <c r="BH279" s="409">
        <v>0</v>
      </c>
      <c r="BI279" s="409">
        <v>0</v>
      </c>
      <c r="BJ279" s="409">
        <v>0</v>
      </c>
      <c r="BK279" s="409">
        <v>0</v>
      </c>
      <c r="BL279" s="409">
        <v>0</v>
      </c>
      <c r="BM279" s="453">
        <f t="shared" si="105"/>
        <v>0</v>
      </c>
      <c r="BN279" s="452">
        <v>0</v>
      </c>
      <c r="BO279" s="452">
        <v>0</v>
      </c>
      <c r="BP279" s="452">
        <v>0</v>
      </c>
      <c r="BQ279" s="452">
        <v>0</v>
      </c>
      <c r="BR279" s="452">
        <v>0</v>
      </c>
      <c r="BS279" s="452">
        <v>0</v>
      </c>
      <c r="BT279" s="452">
        <v>0</v>
      </c>
      <c r="BU279" s="409">
        <v>0</v>
      </c>
      <c r="BV279" s="409">
        <v>0</v>
      </c>
      <c r="BW279" s="409">
        <v>0</v>
      </c>
      <c r="BX279" s="409">
        <v>0</v>
      </c>
      <c r="BY279" s="409">
        <v>0</v>
      </c>
      <c r="BZ279" s="453">
        <f t="shared" si="106"/>
        <v>0</v>
      </c>
      <c r="CA279" s="454">
        <f t="shared" si="107"/>
        <v>400</v>
      </c>
      <c r="CB279" s="411"/>
      <c r="CC279" s="411"/>
      <c r="CD279" s="411"/>
      <c r="CE279" s="411"/>
      <c r="CF279" s="411"/>
      <c r="CG279" s="412"/>
      <c r="CH279" s="413"/>
      <c r="CI279" s="414" t="s">
        <v>1603</v>
      </c>
      <c r="CJ279" s="415">
        <v>0</v>
      </c>
      <c r="CK279" s="415">
        <v>0</v>
      </c>
      <c r="CL279" s="415">
        <v>0</v>
      </c>
      <c r="CM279" s="415">
        <v>0</v>
      </c>
      <c r="CN279" s="415">
        <v>0</v>
      </c>
      <c r="CO279" s="415">
        <v>0</v>
      </c>
      <c r="CP279" s="415">
        <v>0</v>
      </c>
      <c r="CQ279" s="415">
        <v>0</v>
      </c>
      <c r="CR279" s="415">
        <v>0</v>
      </c>
      <c r="CS279" s="415">
        <v>0</v>
      </c>
      <c r="CT279" s="415">
        <v>0</v>
      </c>
      <c r="CU279" s="415">
        <v>0</v>
      </c>
      <c r="CV279" s="410">
        <f t="shared" si="117"/>
        <v>0</v>
      </c>
      <c r="CW279" s="415">
        <v>0</v>
      </c>
      <c r="CX279" s="415">
        <v>0</v>
      </c>
      <c r="CY279" s="415">
        <v>0</v>
      </c>
      <c r="CZ279" s="415">
        <v>4</v>
      </c>
      <c r="DA279" s="415">
        <v>0</v>
      </c>
      <c r="DB279" s="415">
        <v>0</v>
      </c>
      <c r="DC279" s="415">
        <v>0</v>
      </c>
      <c r="DD279" s="415">
        <v>0</v>
      </c>
      <c r="DE279" s="415">
        <v>0</v>
      </c>
      <c r="DF279" s="415">
        <v>0</v>
      </c>
      <c r="DG279" s="415">
        <v>0</v>
      </c>
      <c r="DH279" s="415">
        <v>0</v>
      </c>
      <c r="DI279" s="410">
        <f t="shared" si="118"/>
        <v>4</v>
      </c>
      <c r="DJ279" s="415">
        <v>0</v>
      </c>
      <c r="DK279" s="415">
        <v>0</v>
      </c>
      <c r="DL279" s="415">
        <v>0</v>
      </c>
      <c r="DM279" s="415">
        <v>0</v>
      </c>
      <c r="DN279" s="415">
        <v>0</v>
      </c>
      <c r="DO279" s="415">
        <v>0</v>
      </c>
      <c r="DP279" s="415">
        <v>0</v>
      </c>
      <c r="DQ279" s="415">
        <v>0</v>
      </c>
      <c r="DR279" s="415">
        <v>0</v>
      </c>
      <c r="DS279" s="415">
        <v>0</v>
      </c>
      <c r="DT279" s="415">
        <v>0</v>
      </c>
      <c r="DU279" s="415">
        <v>0</v>
      </c>
      <c r="DV279" s="410">
        <f t="shared" si="119"/>
        <v>0</v>
      </c>
      <c r="DW279" s="415">
        <v>0</v>
      </c>
      <c r="DX279" s="415">
        <v>0</v>
      </c>
      <c r="DY279" s="415">
        <v>0</v>
      </c>
      <c r="DZ279" s="415">
        <v>0</v>
      </c>
      <c r="EA279" s="415">
        <v>0</v>
      </c>
      <c r="EB279" s="415">
        <v>0</v>
      </c>
      <c r="EC279" s="415">
        <v>0</v>
      </c>
      <c r="ED279" s="415">
        <v>0</v>
      </c>
      <c r="EE279" s="415">
        <v>0</v>
      </c>
      <c r="EF279" s="415">
        <v>0</v>
      </c>
      <c r="EG279" s="415">
        <v>0</v>
      </c>
      <c r="EH279" s="415">
        <v>0</v>
      </c>
      <c r="EI279" s="410">
        <f t="shared" si="120"/>
        <v>0</v>
      </c>
      <c r="EJ279" s="415">
        <v>0</v>
      </c>
      <c r="EK279" s="415">
        <v>0</v>
      </c>
      <c r="EL279" s="415">
        <v>0</v>
      </c>
      <c r="EM279" s="415">
        <v>0</v>
      </c>
      <c r="EN279" s="415">
        <v>0</v>
      </c>
      <c r="EO279" s="415">
        <v>0</v>
      </c>
      <c r="EP279" s="415">
        <v>0</v>
      </c>
      <c r="EQ279" s="415">
        <v>0</v>
      </c>
      <c r="ER279" s="415">
        <v>0</v>
      </c>
      <c r="ES279" s="415">
        <v>0</v>
      </c>
      <c r="ET279" s="415">
        <v>0</v>
      </c>
      <c r="EU279" s="415">
        <v>0</v>
      </c>
      <c r="EV279" s="410">
        <f t="shared" si="121"/>
        <v>0</v>
      </c>
      <c r="EW279" s="416">
        <f t="shared" si="122"/>
        <v>4</v>
      </c>
      <c r="EX279" s="417">
        <f>IFERROR(VLOOKUP(H279,CEI_012018!$A$1:$U$509,9,FALSE),0)</f>
        <v>0</v>
      </c>
      <c r="EY279" s="417">
        <f>IFERROR(VLOOKUP(H279,CEI_022018!$A$1:$U$509,9,FALSE),0)</f>
        <v>0</v>
      </c>
      <c r="EZ279" s="417">
        <f>IFERROR(VLOOKUP(H279,CEI_032018!$A$1:$U$509,9,FALSE),0)</f>
        <v>0</v>
      </c>
      <c r="FA279" s="417">
        <f>IFERROR(VLOOKUP(H279,CEI_042018!$A$1:$U$491,9,FALSE),0)</f>
        <v>0</v>
      </c>
      <c r="FB279" s="417">
        <f>IFERROR(VLOOKUP(H279,CEI_052018!$A$1:$U$489,9,FALSE),0)</f>
        <v>0</v>
      </c>
      <c r="FC279" s="417">
        <f>IFERROR(VLOOKUP(H279,CEI_062018!$A$1:$U$489,9,FALSE),0)</f>
        <v>0</v>
      </c>
      <c r="FD279" s="417">
        <f>IFERROR(VLOOKUP(H279,CEI_072018!$A$1:$U$489,9,FALSE),0)</f>
        <v>0</v>
      </c>
      <c r="FE279" s="417">
        <f>IFERROR(VLOOKUP(H279,CEI_082018!$A$1:$U$489,9,FALSE),0)</f>
        <v>0</v>
      </c>
      <c r="FF279" s="417">
        <f>IFERROR(VLOOKUP(H279,CEI_092018!$A$1:$U$489,9,FALSE),0)</f>
        <v>0</v>
      </c>
      <c r="FG279" s="417"/>
      <c r="FH279" s="417"/>
      <c r="FI279" s="417"/>
      <c r="FJ279" s="418">
        <f>IFERROR(VLOOKUP(H279,CEI_092018!$A$1:$U$489,12,FALSE),0)</f>
        <v>0</v>
      </c>
      <c r="FK279" s="418">
        <f t="shared" si="99"/>
        <v>0</v>
      </c>
      <c r="FL279" s="418">
        <f t="shared" si="100"/>
        <v>0</v>
      </c>
      <c r="FM279" s="417"/>
      <c r="FN279" s="417"/>
      <c r="FO279" s="417"/>
      <c r="FP279" s="417"/>
      <c r="FQ279" s="417"/>
      <c r="FR279" s="417"/>
      <c r="FS279" s="417"/>
      <c r="FT279" s="417"/>
      <c r="FU279" s="417"/>
      <c r="FV279" s="417"/>
      <c r="FW279" s="417"/>
      <c r="FX279" s="417"/>
      <c r="FY279" s="418"/>
      <c r="FZ279" s="418"/>
      <c r="GA279" s="418"/>
      <c r="GB279" s="417"/>
      <c r="GC279" s="417"/>
      <c r="GD279" s="417"/>
      <c r="GE279" s="417"/>
      <c r="GF279" s="417"/>
      <c r="GG279" s="417"/>
      <c r="GH279" s="417"/>
      <c r="GI279" s="417"/>
      <c r="GJ279" s="417"/>
      <c r="GK279" s="417"/>
      <c r="GL279" s="417"/>
      <c r="GM279" s="417"/>
      <c r="GN279" s="418"/>
      <c r="GO279" s="418"/>
      <c r="GP279" s="418"/>
      <c r="GQ279" s="417"/>
      <c r="GR279" s="417"/>
      <c r="GS279" s="417"/>
      <c r="GT279" s="417"/>
      <c r="GU279" s="417"/>
      <c r="GV279" s="417"/>
      <c r="GW279" s="417"/>
      <c r="GX279" s="417"/>
      <c r="GY279" s="417"/>
      <c r="GZ279" s="417"/>
      <c r="HA279" s="417"/>
      <c r="HB279" s="417"/>
      <c r="HC279" s="418"/>
      <c r="HD279" s="418"/>
      <c r="HE279" s="418"/>
      <c r="HF279" s="417"/>
      <c r="HG279" s="417"/>
      <c r="HH279" s="417"/>
      <c r="HI279" s="417"/>
      <c r="HJ279" s="417"/>
      <c r="HK279" s="417"/>
      <c r="HL279" s="417"/>
      <c r="HM279" s="417"/>
      <c r="HN279" s="417"/>
      <c r="HO279" s="417"/>
      <c r="HP279" s="417"/>
      <c r="HQ279" s="417"/>
      <c r="HR279" s="418"/>
      <c r="HS279" s="418"/>
      <c r="HT279" s="418"/>
    </row>
    <row r="280" spans="1:228" s="387" customFormat="1" ht="12.75" customHeight="1" x14ac:dyDescent="0.2">
      <c r="A280" s="406" t="s">
        <v>55</v>
      </c>
      <c r="B280" s="407" t="s">
        <v>40</v>
      </c>
      <c r="C280" s="406" t="s">
        <v>297</v>
      </c>
      <c r="D280" s="407" t="s">
        <v>1536</v>
      </c>
      <c r="E280" s="407" t="s">
        <v>297</v>
      </c>
      <c r="F280" s="407" t="s">
        <v>1536</v>
      </c>
      <c r="G280" s="406" t="s">
        <v>54</v>
      </c>
      <c r="H280" s="408" t="s">
        <v>1131</v>
      </c>
      <c r="I280" s="408" t="s">
        <v>1132</v>
      </c>
      <c r="J280" s="406" t="s">
        <v>535</v>
      </c>
      <c r="K280" s="406" t="s">
        <v>661</v>
      </c>
      <c r="L280" s="406" t="s">
        <v>536</v>
      </c>
      <c r="M280" s="406" t="s">
        <v>57</v>
      </c>
      <c r="N280" s="452">
        <v>0</v>
      </c>
      <c r="O280" s="452">
        <v>0</v>
      </c>
      <c r="P280" s="452">
        <v>0</v>
      </c>
      <c r="Q280" s="452">
        <v>0</v>
      </c>
      <c r="R280" s="452">
        <v>0</v>
      </c>
      <c r="S280" s="452">
        <v>0</v>
      </c>
      <c r="T280" s="452">
        <v>0</v>
      </c>
      <c r="U280" s="409">
        <v>0</v>
      </c>
      <c r="V280" s="409">
        <v>0</v>
      </c>
      <c r="W280" s="409">
        <v>0</v>
      </c>
      <c r="X280" s="409">
        <v>367</v>
      </c>
      <c r="Y280" s="409">
        <v>0</v>
      </c>
      <c r="Z280" s="453">
        <f t="shared" si="108"/>
        <v>367</v>
      </c>
      <c r="AA280" s="452">
        <v>0</v>
      </c>
      <c r="AB280" s="452">
        <v>0</v>
      </c>
      <c r="AC280" s="452">
        <v>0</v>
      </c>
      <c r="AD280" s="452">
        <v>0</v>
      </c>
      <c r="AE280" s="452">
        <v>0</v>
      </c>
      <c r="AF280" s="452">
        <v>0</v>
      </c>
      <c r="AG280" s="452">
        <v>0</v>
      </c>
      <c r="AH280" s="409">
        <v>0</v>
      </c>
      <c r="AI280" s="409">
        <v>0</v>
      </c>
      <c r="AJ280" s="409">
        <v>0</v>
      </c>
      <c r="AK280" s="409">
        <v>0</v>
      </c>
      <c r="AL280" s="409">
        <v>0</v>
      </c>
      <c r="AM280" s="453">
        <f t="shared" si="103"/>
        <v>0</v>
      </c>
      <c r="AN280" s="452">
        <v>0</v>
      </c>
      <c r="AO280" s="452">
        <v>0</v>
      </c>
      <c r="AP280" s="452">
        <v>0</v>
      </c>
      <c r="AQ280" s="452">
        <v>0</v>
      </c>
      <c r="AR280" s="452">
        <v>0</v>
      </c>
      <c r="AS280" s="452">
        <v>0</v>
      </c>
      <c r="AT280" s="452">
        <v>0</v>
      </c>
      <c r="AU280" s="409">
        <v>0</v>
      </c>
      <c r="AV280" s="409">
        <v>0</v>
      </c>
      <c r="AW280" s="409">
        <v>0</v>
      </c>
      <c r="AX280" s="409">
        <v>0</v>
      </c>
      <c r="AY280" s="409">
        <v>0</v>
      </c>
      <c r="AZ280" s="453">
        <f t="shared" si="104"/>
        <v>0</v>
      </c>
      <c r="BA280" s="452">
        <v>0</v>
      </c>
      <c r="BB280" s="452">
        <v>0</v>
      </c>
      <c r="BC280" s="452">
        <v>0</v>
      </c>
      <c r="BD280" s="452">
        <v>0</v>
      </c>
      <c r="BE280" s="452">
        <v>0</v>
      </c>
      <c r="BF280" s="452">
        <v>0</v>
      </c>
      <c r="BG280" s="452">
        <v>0</v>
      </c>
      <c r="BH280" s="409">
        <v>0</v>
      </c>
      <c r="BI280" s="409">
        <v>0</v>
      </c>
      <c r="BJ280" s="409">
        <v>0</v>
      </c>
      <c r="BK280" s="409">
        <v>0</v>
      </c>
      <c r="BL280" s="409">
        <v>0</v>
      </c>
      <c r="BM280" s="453">
        <f t="shared" si="105"/>
        <v>0</v>
      </c>
      <c r="BN280" s="452">
        <v>0</v>
      </c>
      <c r="BO280" s="452">
        <v>0</v>
      </c>
      <c r="BP280" s="452">
        <v>0</v>
      </c>
      <c r="BQ280" s="452">
        <v>0</v>
      </c>
      <c r="BR280" s="452">
        <v>0</v>
      </c>
      <c r="BS280" s="452">
        <v>0</v>
      </c>
      <c r="BT280" s="452">
        <v>0</v>
      </c>
      <c r="BU280" s="409">
        <v>0</v>
      </c>
      <c r="BV280" s="409">
        <v>0</v>
      </c>
      <c r="BW280" s="409">
        <v>0</v>
      </c>
      <c r="BX280" s="409">
        <v>0</v>
      </c>
      <c r="BY280" s="409">
        <v>0</v>
      </c>
      <c r="BZ280" s="453">
        <f t="shared" si="106"/>
        <v>0</v>
      </c>
      <c r="CA280" s="454">
        <f t="shared" si="107"/>
        <v>367</v>
      </c>
      <c r="CB280" s="419"/>
      <c r="CC280" s="419">
        <v>1</v>
      </c>
      <c r="CD280" s="419">
        <v>1</v>
      </c>
      <c r="CE280" s="419">
        <v>1</v>
      </c>
      <c r="CF280" s="419">
        <v>-1</v>
      </c>
      <c r="CG280" s="420">
        <f>IFERROR((FE280/Z280%),0)</f>
        <v>0</v>
      </c>
      <c r="CH280" s="421">
        <f>IFERROR((FK280/Z280%),0)</f>
        <v>97.275202800532455</v>
      </c>
      <c r="CI280" s="414" t="s">
        <v>1603</v>
      </c>
      <c r="CJ280" s="415">
        <v>0</v>
      </c>
      <c r="CK280" s="415">
        <v>0</v>
      </c>
      <c r="CL280" s="415">
        <v>0</v>
      </c>
      <c r="CM280" s="415">
        <v>0</v>
      </c>
      <c r="CN280" s="415">
        <v>0</v>
      </c>
      <c r="CO280" s="415">
        <v>0</v>
      </c>
      <c r="CP280" s="415">
        <v>0</v>
      </c>
      <c r="CQ280" s="415">
        <v>0</v>
      </c>
      <c r="CR280" s="415">
        <v>1</v>
      </c>
      <c r="CS280" s="415">
        <v>0</v>
      </c>
      <c r="CT280" s="415">
        <v>0</v>
      </c>
      <c r="CU280" s="415">
        <v>0</v>
      </c>
      <c r="CV280" s="410">
        <f t="shared" si="117"/>
        <v>1</v>
      </c>
      <c r="CW280" s="415">
        <v>0</v>
      </c>
      <c r="CX280" s="415">
        <v>0</v>
      </c>
      <c r="CY280" s="415">
        <v>0</v>
      </c>
      <c r="CZ280" s="415">
        <v>0</v>
      </c>
      <c r="DA280" s="415">
        <v>0</v>
      </c>
      <c r="DB280" s="415">
        <v>0</v>
      </c>
      <c r="DC280" s="415">
        <v>0</v>
      </c>
      <c r="DD280" s="415">
        <v>0</v>
      </c>
      <c r="DE280" s="415">
        <v>0</v>
      </c>
      <c r="DF280" s="415">
        <v>0</v>
      </c>
      <c r="DG280" s="415">
        <v>0</v>
      </c>
      <c r="DH280" s="415">
        <v>0</v>
      </c>
      <c r="DI280" s="410">
        <f t="shared" si="118"/>
        <v>0</v>
      </c>
      <c r="DJ280" s="415">
        <v>0</v>
      </c>
      <c r="DK280" s="415">
        <v>0</v>
      </c>
      <c r="DL280" s="415">
        <v>0</v>
      </c>
      <c r="DM280" s="415">
        <v>0</v>
      </c>
      <c r="DN280" s="415">
        <v>0</v>
      </c>
      <c r="DO280" s="415">
        <v>0</v>
      </c>
      <c r="DP280" s="415">
        <v>0</v>
      </c>
      <c r="DQ280" s="415">
        <v>0</v>
      </c>
      <c r="DR280" s="415">
        <v>0</v>
      </c>
      <c r="DS280" s="415">
        <v>0</v>
      </c>
      <c r="DT280" s="415">
        <v>0</v>
      </c>
      <c r="DU280" s="415">
        <v>0</v>
      </c>
      <c r="DV280" s="410">
        <f t="shared" si="119"/>
        <v>0</v>
      </c>
      <c r="DW280" s="415">
        <v>0</v>
      </c>
      <c r="DX280" s="415">
        <v>0</v>
      </c>
      <c r="DY280" s="415">
        <v>0</v>
      </c>
      <c r="DZ280" s="415">
        <v>0</v>
      </c>
      <c r="EA280" s="415">
        <v>0</v>
      </c>
      <c r="EB280" s="415">
        <v>0</v>
      </c>
      <c r="EC280" s="415">
        <v>0</v>
      </c>
      <c r="ED280" s="415">
        <v>0</v>
      </c>
      <c r="EE280" s="415">
        <v>0</v>
      </c>
      <c r="EF280" s="415">
        <v>0</v>
      </c>
      <c r="EG280" s="415">
        <v>0</v>
      </c>
      <c r="EH280" s="415">
        <v>0</v>
      </c>
      <c r="EI280" s="410">
        <f t="shared" si="120"/>
        <v>0</v>
      </c>
      <c r="EJ280" s="415">
        <v>0</v>
      </c>
      <c r="EK280" s="415">
        <v>0</v>
      </c>
      <c r="EL280" s="415">
        <v>0</v>
      </c>
      <c r="EM280" s="415">
        <v>0</v>
      </c>
      <c r="EN280" s="415">
        <v>0</v>
      </c>
      <c r="EO280" s="415">
        <v>0</v>
      </c>
      <c r="EP280" s="415">
        <v>0</v>
      </c>
      <c r="EQ280" s="415">
        <v>0</v>
      </c>
      <c r="ER280" s="415">
        <v>0</v>
      </c>
      <c r="ES280" s="415">
        <v>0</v>
      </c>
      <c r="ET280" s="415">
        <v>0</v>
      </c>
      <c r="EU280" s="415">
        <v>0</v>
      </c>
      <c r="EV280" s="410">
        <f t="shared" si="121"/>
        <v>0</v>
      </c>
      <c r="EW280" s="416">
        <f t="shared" si="122"/>
        <v>1</v>
      </c>
      <c r="EX280" s="417">
        <f>IFERROR(VLOOKUP(H280,CEI_012018!$A$1:$U$509,9,FALSE),0)</f>
        <v>0</v>
      </c>
      <c r="EY280" s="417">
        <f>IFERROR(VLOOKUP(H280,CEI_022018!$A$1:$U$509,9,FALSE),0)</f>
        <v>0</v>
      </c>
      <c r="EZ280" s="417">
        <f>IFERROR(VLOOKUP(H280,CEI_032018!$A$1:$U$509,9,FALSE),0)</f>
        <v>0</v>
      </c>
      <c r="FA280" s="417">
        <f>IFERROR(VLOOKUP(H280,CEI_042018!$A$1:$U$491,9,FALSE),0)</f>
        <v>0</v>
      </c>
      <c r="FB280" s="417">
        <f>IFERROR(VLOOKUP(H280,CEI_052018!$A$1:$U$489,9,FALSE),0)</f>
        <v>0</v>
      </c>
      <c r="FC280" s="417">
        <f>IFERROR(VLOOKUP(H280,CEI_062018!$A$1:$U$489,9,FALSE),0)</f>
        <v>0</v>
      </c>
      <c r="FD280" s="417">
        <f>IFERROR(VLOOKUP(H280,CEI_072018!$A$1:$U$489,9,FALSE),0)</f>
        <v>0</v>
      </c>
      <c r="FE280" s="417">
        <f>IFERROR(VLOOKUP(H280,CEI_082018!$A$1:$U$489,9,FALSE),0)</f>
        <v>0</v>
      </c>
      <c r="FF280" s="417">
        <f>IFERROR(VLOOKUP(H280,CEI_092018!$A$1:$U$489,9,FALSE),0)</f>
        <v>0</v>
      </c>
      <c r="FG280" s="417"/>
      <c r="FH280" s="417"/>
      <c r="FI280" s="417"/>
      <c r="FJ280" s="418">
        <f>IFERROR(VLOOKUP(H280,CEI_092018!$A$1:$U$489,12,FALSE),0)</f>
        <v>356.9999942779541</v>
      </c>
      <c r="FK280" s="418">
        <f t="shared" si="99"/>
        <v>356.9999942779541</v>
      </c>
      <c r="FL280" s="418">
        <f t="shared" si="100"/>
        <v>10.000005722045898</v>
      </c>
      <c r="FM280" s="417"/>
      <c r="FN280" s="417"/>
      <c r="FO280" s="417"/>
      <c r="FP280" s="417"/>
      <c r="FQ280" s="417"/>
      <c r="FR280" s="417"/>
      <c r="FS280" s="417"/>
      <c r="FT280" s="417"/>
      <c r="FU280" s="417"/>
      <c r="FV280" s="417"/>
      <c r="FW280" s="417"/>
      <c r="FX280" s="417"/>
      <c r="FY280" s="418"/>
      <c r="FZ280" s="418"/>
      <c r="GA280" s="418"/>
      <c r="GB280" s="417"/>
      <c r="GC280" s="417"/>
      <c r="GD280" s="417"/>
      <c r="GE280" s="417"/>
      <c r="GF280" s="417"/>
      <c r="GG280" s="417"/>
      <c r="GH280" s="417"/>
      <c r="GI280" s="417"/>
      <c r="GJ280" s="417"/>
      <c r="GK280" s="417"/>
      <c r="GL280" s="417"/>
      <c r="GM280" s="417"/>
      <c r="GN280" s="418"/>
      <c r="GO280" s="418"/>
      <c r="GP280" s="418"/>
      <c r="GQ280" s="417"/>
      <c r="GR280" s="417"/>
      <c r="GS280" s="417"/>
      <c r="GT280" s="417"/>
      <c r="GU280" s="417"/>
      <c r="GV280" s="417"/>
      <c r="GW280" s="417"/>
      <c r="GX280" s="417"/>
      <c r="GY280" s="417"/>
      <c r="GZ280" s="417"/>
      <c r="HA280" s="417"/>
      <c r="HB280" s="417"/>
      <c r="HC280" s="418"/>
      <c r="HD280" s="418"/>
      <c r="HE280" s="418"/>
      <c r="HF280" s="417"/>
      <c r="HG280" s="417"/>
      <c r="HH280" s="417"/>
      <c r="HI280" s="417"/>
      <c r="HJ280" s="417"/>
      <c r="HK280" s="417"/>
      <c r="HL280" s="417"/>
      <c r="HM280" s="417"/>
      <c r="HN280" s="417"/>
      <c r="HO280" s="417"/>
      <c r="HP280" s="417"/>
      <c r="HQ280" s="417"/>
      <c r="HR280" s="418"/>
      <c r="HS280" s="418"/>
      <c r="HT280" s="418"/>
    </row>
    <row r="281" spans="1:228" s="387" customFormat="1" ht="12.75" customHeight="1" x14ac:dyDescent="0.2">
      <c r="A281" s="406" t="s">
        <v>55</v>
      </c>
      <c r="B281" s="407" t="s">
        <v>40</v>
      </c>
      <c r="C281" s="406" t="s">
        <v>297</v>
      </c>
      <c r="D281" s="407" t="s">
        <v>1002</v>
      </c>
      <c r="E281" s="407" t="s">
        <v>297</v>
      </c>
      <c r="F281" s="407" t="s">
        <v>1002</v>
      </c>
      <c r="G281" s="406" t="s">
        <v>54</v>
      </c>
      <c r="H281" s="408" t="s">
        <v>1838</v>
      </c>
      <c r="I281" s="408" t="s">
        <v>1839</v>
      </c>
      <c r="J281" s="406" t="s">
        <v>668</v>
      </c>
      <c r="K281" s="406" t="s">
        <v>669</v>
      </c>
      <c r="L281" s="406" t="s">
        <v>670</v>
      </c>
      <c r="M281" s="406" t="s">
        <v>1770</v>
      </c>
      <c r="N281" s="452">
        <v>0</v>
      </c>
      <c r="O281" s="452">
        <v>0</v>
      </c>
      <c r="P281" s="452">
        <v>0</v>
      </c>
      <c r="Q281" s="452">
        <v>0</v>
      </c>
      <c r="R281" s="452">
        <v>0</v>
      </c>
      <c r="S281" s="452">
        <v>0</v>
      </c>
      <c r="T281" s="452">
        <v>0</v>
      </c>
      <c r="U281" s="409">
        <v>146.51003949344158</v>
      </c>
      <c r="V281" s="409">
        <v>50</v>
      </c>
      <c r="W281" s="409">
        <v>50</v>
      </c>
      <c r="X281" s="409">
        <v>50</v>
      </c>
      <c r="Y281" s="409">
        <v>413.48996000000005</v>
      </c>
      <c r="Z281" s="453">
        <f t="shared" si="108"/>
        <v>709.99999949344169</v>
      </c>
      <c r="AA281" s="452">
        <v>0</v>
      </c>
      <c r="AB281" s="452">
        <v>0</v>
      </c>
      <c r="AC281" s="452">
        <v>0</v>
      </c>
      <c r="AD281" s="452">
        <v>0</v>
      </c>
      <c r="AE281" s="452">
        <v>0</v>
      </c>
      <c r="AF281" s="452">
        <v>0</v>
      </c>
      <c r="AG281" s="452">
        <v>63</v>
      </c>
      <c r="AH281" s="409">
        <v>0</v>
      </c>
      <c r="AI281" s="409">
        <v>0</v>
      </c>
      <c r="AJ281" s="409">
        <v>0</v>
      </c>
      <c r="AK281" s="409">
        <v>0</v>
      </c>
      <c r="AL281" s="409">
        <v>0</v>
      </c>
      <c r="AM281" s="453">
        <f t="shared" si="103"/>
        <v>63</v>
      </c>
      <c r="AN281" s="452">
        <v>0</v>
      </c>
      <c r="AO281" s="452">
        <v>0</v>
      </c>
      <c r="AP281" s="452">
        <v>0</v>
      </c>
      <c r="AQ281" s="452">
        <v>0</v>
      </c>
      <c r="AR281" s="452">
        <v>0</v>
      </c>
      <c r="AS281" s="452">
        <v>0</v>
      </c>
      <c r="AT281" s="452">
        <v>0</v>
      </c>
      <c r="AU281" s="409">
        <v>0</v>
      </c>
      <c r="AV281" s="409">
        <v>0</v>
      </c>
      <c r="AW281" s="409">
        <v>0</v>
      </c>
      <c r="AX281" s="409">
        <v>0</v>
      </c>
      <c r="AY281" s="409">
        <v>137.17400000000001</v>
      </c>
      <c r="AZ281" s="453">
        <f t="shared" si="104"/>
        <v>137.17400000000001</v>
      </c>
      <c r="BA281" s="452">
        <v>0</v>
      </c>
      <c r="BB281" s="452">
        <v>0</v>
      </c>
      <c r="BC281" s="452">
        <v>0</v>
      </c>
      <c r="BD281" s="452">
        <v>0</v>
      </c>
      <c r="BE281" s="452">
        <v>0</v>
      </c>
      <c r="BF281" s="452">
        <v>0</v>
      </c>
      <c r="BG281" s="452">
        <v>0</v>
      </c>
      <c r="BH281" s="409">
        <v>0</v>
      </c>
      <c r="BI281" s="409">
        <v>0</v>
      </c>
      <c r="BJ281" s="409">
        <v>0</v>
      </c>
      <c r="BK281" s="409">
        <v>43.896000000000001</v>
      </c>
      <c r="BL281" s="409">
        <v>0</v>
      </c>
      <c r="BM281" s="453">
        <f t="shared" si="105"/>
        <v>43.896000000000001</v>
      </c>
      <c r="BN281" s="452">
        <v>0</v>
      </c>
      <c r="BO281" s="452">
        <v>0</v>
      </c>
      <c r="BP281" s="452">
        <v>0</v>
      </c>
      <c r="BQ281" s="452">
        <v>0</v>
      </c>
      <c r="BR281" s="452">
        <v>0</v>
      </c>
      <c r="BS281" s="452">
        <v>0</v>
      </c>
      <c r="BT281" s="452">
        <v>0</v>
      </c>
      <c r="BU281" s="409">
        <v>0</v>
      </c>
      <c r="BV281" s="409">
        <v>0</v>
      </c>
      <c r="BW281" s="409">
        <v>0</v>
      </c>
      <c r="BX281" s="409">
        <v>0</v>
      </c>
      <c r="BY281" s="409">
        <v>30.178000000000001</v>
      </c>
      <c r="BZ281" s="453">
        <f t="shared" si="106"/>
        <v>30.178000000000001</v>
      </c>
      <c r="CA281" s="454">
        <f t="shared" si="107"/>
        <v>984.24799949344174</v>
      </c>
      <c r="CB281" s="427"/>
      <c r="CC281" s="427">
        <v>1</v>
      </c>
      <c r="CD281" s="427">
        <v>1</v>
      </c>
      <c r="CE281" s="427">
        <v>1</v>
      </c>
      <c r="CF281" s="427">
        <v>1</v>
      </c>
      <c r="CG281" s="420">
        <f>IFERROR((FE281/Z281%),0)</f>
        <v>20.635216844784647</v>
      </c>
      <c r="CH281" s="421">
        <f>IFERROR((FK281/Z281%),0)</f>
        <v>23.095025249877132</v>
      </c>
      <c r="CI281" s="414" t="s">
        <v>1603</v>
      </c>
      <c r="CJ281" s="415">
        <v>0</v>
      </c>
      <c r="CK281" s="415">
        <v>0</v>
      </c>
      <c r="CL281" s="415">
        <v>0</v>
      </c>
      <c r="CM281" s="415">
        <v>0</v>
      </c>
      <c r="CN281" s="415">
        <v>0</v>
      </c>
      <c r="CO281" s="415">
        <v>0</v>
      </c>
      <c r="CP281" s="415">
        <v>0</v>
      </c>
      <c r="CQ281" s="415">
        <v>0</v>
      </c>
      <c r="CR281" s="415">
        <v>0</v>
      </c>
      <c r="CS281" s="415">
        <v>0</v>
      </c>
      <c r="CT281" s="415">
        <v>0</v>
      </c>
      <c r="CU281" s="415">
        <v>0</v>
      </c>
      <c r="CV281" s="410">
        <f t="shared" si="117"/>
        <v>0</v>
      </c>
      <c r="CW281" s="415">
        <v>0</v>
      </c>
      <c r="CX281" s="415">
        <v>0</v>
      </c>
      <c r="CY281" s="415">
        <v>0</v>
      </c>
      <c r="CZ281" s="415">
        <v>0</v>
      </c>
      <c r="DA281" s="415">
        <v>0</v>
      </c>
      <c r="DB281" s="415">
        <v>0</v>
      </c>
      <c r="DC281" s="415">
        <v>2</v>
      </c>
      <c r="DD281" s="415">
        <v>0</v>
      </c>
      <c r="DE281" s="415">
        <v>0</v>
      </c>
      <c r="DF281" s="415">
        <v>0</v>
      </c>
      <c r="DG281" s="415">
        <v>0</v>
      </c>
      <c r="DH281" s="415">
        <v>0</v>
      </c>
      <c r="DI281" s="410">
        <f t="shared" si="118"/>
        <v>2</v>
      </c>
      <c r="DJ281" s="415">
        <v>0</v>
      </c>
      <c r="DK281" s="415">
        <v>0</v>
      </c>
      <c r="DL281" s="415">
        <v>0</v>
      </c>
      <c r="DM281" s="415">
        <v>0</v>
      </c>
      <c r="DN281" s="415">
        <v>0</v>
      </c>
      <c r="DO281" s="415">
        <v>0</v>
      </c>
      <c r="DP281" s="415">
        <v>0</v>
      </c>
      <c r="DQ281" s="415">
        <v>0</v>
      </c>
      <c r="DR281" s="415">
        <v>0</v>
      </c>
      <c r="DS281" s="415">
        <v>0</v>
      </c>
      <c r="DT281" s="415">
        <v>0</v>
      </c>
      <c r="DU281" s="415">
        <v>4.5666666666666664</v>
      </c>
      <c r="DV281" s="410">
        <f t="shared" si="119"/>
        <v>4.5666666666666664</v>
      </c>
      <c r="DW281" s="415">
        <v>0</v>
      </c>
      <c r="DX281" s="415">
        <v>0</v>
      </c>
      <c r="DY281" s="415">
        <v>0</v>
      </c>
      <c r="DZ281" s="415">
        <v>0</v>
      </c>
      <c r="EA281" s="415">
        <v>0</v>
      </c>
      <c r="EB281" s="415">
        <v>0</v>
      </c>
      <c r="EC281" s="415">
        <v>0</v>
      </c>
      <c r="ED281" s="415">
        <v>0</v>
      </c>
      <c r="EE281" s="415">
        <v>0</v>
      </c>
      <c r="EF281" s="415">
        <v>0</v>
      </c>
      <c r="EG281" s="415">
        <v>1</v>
      </c>
      <c r="EH281" s="415">
        <v>0</v>
      </c>
      <c r="EI281" s="410">
        <f t="shared" si="120"/>
        <v>1</v>
      </c>
      <c r="EJ281" s="415">
        <v>0</v>
      </c>
      <c r="EK281" s="415">
        <v>0</v>
      </c>
      <c r="EL281" s="415">
        <v>0</v>
      </c>
      <c r="EM281" s="415">
        <v>0</v>
      </c>
      <c r="EN281" s="415">
        <v>0</v>
      </c>
      <c r="EO281" s="415">
        <v>0</v>
      </c>
      <c r="EP281" s="415">
        <v>0</v>
      </c>
      <c r="EQ281" s="415">
        <v>0</v>
      </c>
      <c r="ER281" s="415">
        <v>0</v>
      </c>
      <c r="ES281" s="415">
        <v>0</v>
      </c>
      <c r="ET281" s="415">
        <v>0</v>
      </c>
      <c r="EU281" s="415">
        <v>1</v>
      </c>
      <c r="EV281" s="410">
        <f t="shared" si="121"/>
        <v>1</v>
      </c>
      <c r="EW281" s="416">
        <f t="shared" si="122"/>
        <v>8.5666666666666664</v>
      </c>
      <c r="EX281" s="417">
        <f>IFERROR(VLOOKUP(H281,CEI_012018!$A$1:$U$509,9,FALSE),0)</f>
        <v>0</v>
      </c>
      <c r="EY281" s="417">
        <f>IFERROR(VLOOKUP(H281,CEI_022018!$A$1:$U$509,9,FALSE),0)</f>
        <v>0</v>
      </c>
      <c r="EZ281" s="417">
        <f>IFERROR(VLOOKUP(H281,CEI_032018!$A$1:$U$509,9,FALSE),0)</f>
        <v>0</v>
      </c>
      <c r="FA281" s="417">
        <f>IFERROR(VLOOKUP(H281,CEI_042018!$A$1:$U$491,9,FALSE),0)</f>
        <v>0</v>
      </c>
      <c r="FB281" s="417">
        <f>IFERROR(VLOOKUP(H281,CEI_052018!$A$1:$U$489,9,FALSE),0)</f>
        <v>0</v>
      </c>
      <c r="FC281" s="417">
        <f>IFERROR(VLOOKUP(H281,CEI_062018!$A$1:$U$489,9,FALSE),0)</f>
        <v>0</v>
      </c>
      <c r="FD281" s="417">
        <f>IFERROR(VLOOKUP(H281,CEI_072018!$A$1:$U$489,9,FALSE),0)</f>
        <v>0</v>
      </c>
      <c r="FE281" s="417">
        <f>IFERROR(VLOOKUP(H281,CEI_082018!$A$1:$U$489,9,FALSE),0)</f>
        <v>146.51003949344158</v>
      </c>
      <c r="FF281" s="417">
        <f>IFERROR(VLOOKUP(H281,CEI_092018!$A$1:$U$489,9,FALSE),0)</f>
        <v>163.97467915713787</v>
      </c>
      <c r="FG281" s="417"/>
      <c r="FH281" s="417"/>
      <c r="FI281" s="417"/>
      <c r="FJ281" s="418">
        <f>IFERROR(VLOOKUP(H281,CEI_092018!$A$1:$U$489,12,FALSE),0)</f>
        <v>0</v>
      </c>
      <c r="FK281" s="418">
        <f t="shared" si="99"/>
        <v>163.97467915713787</v>
      </c>
      <c r="FL281" s="418">
        <f t="shared" si="100"/>
        <v>546.02532033630382</v>
      </c>
      <c r="FM281" s="417"/>
      <c r="FN281" s="417"/>
      <c r="FO281" s="417"/>
      <c r="FP281" s="417"/>
      <c r="FQ281" s="417"/>
      <c r="FR281" s="417"/>
      <c r="FS281" s="417"/>
      <c r="FT281" s="417"/>
      <c r="FU281" s="417"/>
      <c r="FV281" s="417"/>
      <c r="FW281" s="417"/>
      <c r="FX281" s="417"/>
      <c r="FY281" s="418"/>
      <c r="FZ281" s="418"/>
      <c r="GA281" s="418"/>
      <c r="GB281" s="417"/>
      <c r="GC281" s="417"/>
      <c r="GD281" s="417"/>
      <c r="GE281" s="417"/>
      <c r="GF281" s="417"/>
      <c r="GG281" s="417"/>
      <c r="GH281" s="417"/>
      <c r="GI281" s="417"/>
      <c r="GJ281" s="417"/>
      <c r="GK281" s="417"/>
      <c r="GL281" s="417"/>
      <c r="GM281" s="417"/>
      <c r="GN281" s="418"/>
      <c r="GO281" s="418"/>
      <c r="GP281" s="418"/>
      <c r="GQ281" s="417"/>
      <c r="GR281" s="417"/>
      <c r="GS281" s="417"/>
      <c r="GT281" s="417"/>
      <c r="GU281" s="417"/>
      <c r="GV281" s="417"/>
      <c r="GW281" s="417"/>
      <c r="GX281" s="417"/>
      <c r="GY281" s="417"/>
      <c r="GZ281" s="417"/>
      <c r="HA281" s="417"/>
      <c r="HB281" s="417"/>
      <c r="HC281" s="418"/>
      <c r="HD281" s="418"/>
      <c r="HE281" s="418"/>
      <c r="HF281" s="417"/>
      <c r="HG281" s="417"/>
      <c r="HH281" s="417"/>
      <c r="HI281" s="417"/>
      <c r="HJ281" s="417"/>
      <c r="HK281" s="417"/>
      <c r="HL281" s="417"/>
      <c r="HM281" s="417"/>
      <c r="HN281" s="417"/>
      <c r="HO281" s="417"/>
      <c r="HP281" s="417"/>
      <c r="HQ281" s="417"/>
      <c r="HR281" s="418"/>
      <c r="HS281" s="418"/>
      <c r="HT281" s="418"/>
    </row>
    <row r="282" spans="1:228" s="387" customFormat="1" ht="12.75" customHeight="1" x14ac:dyDescent="0.2">
      <c r="A282" s="406" t="s">
        <v>55</v>
      </c>
      <c r="B282" s="407" t="s">
        <v>40</v>
      </c>
      <c r="C282" s="406" t="s">
        <v>297</v>
      </c>
      <c r="D282" s="407" t="s">
        <v>1002</v>
      </c>
      <c r="E282" s="407" t="s">
        <v>297</v>
      </c>
      <c r="F282" s="407" t="s">
        <v>1002</v>
      </c>
      <c r="G282" s="406" t="s">
        <v>54</v>
      </c>
      <c r="H282" s="408" t="s">
        <v>1799</v>
      </c>
      <c r="I282" s="408" t="s">
        <v>1801</v>
      </c>
      <c r="J282" s="406" t="s">
        <v>671</v>
      </c>
      <c r="K282" s="406" t="s">
        <v>672</v>
      </c>
      <c r="L282" s="406" t="s">
        <v>673</v>
      </c>
      <c r="M282" s="406" t="s">
        <v>1780</v>
      </c>
      <c r="N282" s="452">
        <v>0</v>
      </c>
      <c r="O282" s="452">
        <v>0</v>
      </c>
      <c r="P282" s="452">
        <v>0</v>
      </c>
      <c r="Q282" s="452">
        <v>0</v>
      </c>
      <c r="R282" s="452">
        <v>0</v>
      </c>
      <c r="S282" s="452">
        <v>0</v>
      </c>
      <c r="T282" s="452">
        <v>0</v>
      </c>
      <c r="U282" s="409">
        <v>0</v>
      </c>
      <c r="V282" s="409">
        <v>0</v>
      </c>
      <c r="W282" s="409">
        <v>0</v>
      </c>
      <c r="X282" s="409">
        <v>0</v>
      </c>
      <c r="Y282" s="409">
        <v>80</v>
      </c>
      <c r="Z282" s="453">
        <f t="shared" si="108"/>
        <v>80</v>
      </c>
      <c r="AA282" s="452">
        <v>0</v>
      </c>
      <c r="AB282" s="452">
        <v>0</v>
      </c>
      <c r="AC282" s="452">
        <v>0</v>
      </c>
      <c r="AD282" s="452">
        <v>0</v>
      </c>
      <c r="AE282" s="452">
        <v>0</v>
      </c>
      <c r="AF282" s="452">
        <v>0</v>
      </c>
      <c r="AG282" s="452">
        <v>0</v>
      </c>
      <c r="AH282" s="409">
        <v>0</v>
      </c>
      <c r="AI282" s="409">
        <v>0</v>
      </c>
      <c r="AJ282" s="409">
        <v>0</v>
      </c>
      <c r="AK282" s="409">
        <v>0</v>
      </c>
      <c r="AL282" s="409">
        <v>265.02199999999999</v>
      </c>
      <c r="AM282" s="453">
        <f t="shared" si="103"/>
        <v>265.02199999999999</v>
      </c>
      <c r="AN282" s="452">
        <v>0</v>
      </c>
      <c r="AO282" s="452">
        <v>0</v>
      </c>
      <c r="AP282" s="452">
        <v>0</v>
      </c>
      <c r="AQ282" s="452">
        <v>0</v>
      </c>
      <c r="AR282" s="452">
        <v>0</v>
      </c>
      <c r="AS282" s="452">
        <v>0</v>
      </c>
      <c r="AT282" s="452">
        <v>0</v>
      </c>
      <c r="AU282" s="409">
        <v>0</v>
      </c>
      <c r="AV282" s="409">
        <v>647</v>
      </c>
      <c r="AW282" s="409">
        <v>0</v>
      </c>
      <c r="AX282" s="409">
        <v>0</v>
      </c>
      <c r="AY282" s="409">
        <v>0</v>
      </c>
      <c r="AZ282" s="453">
        <f t="shared" si="104"/>
        <v>647</v>
      </c>
      <c r="BA282" s="452">
        <v>0</v>
      </c>
      <c r="BB282" s="452">
        <v>0</v>
      </c>
      <c r="BC282" s="452">
        <v>0</v>
      </c>
      <c r="BD282" s="452">
        <v>0</v>
      </c>
      <c r="BE282" s="452">
        <v>0</v>
      </c>
      <c r="BF282" s="452">
        <v>0</v>
      </c>
      <c r="BG282" s="452">
        <v>0</v>
      </c>
      <c r="BH282" s="409">
        <v>0</v>
      </c>
      <c r="BI282" s="409">
        <v>0</v>
      </c>
      <c r="BJ282" s="409">
        <v>0</v>
      </c>
      <c r="BK282" s="409">
        <v>602.88200000000006</v>
      </c>
      <c r="BL282" s="409">
        <v>0</v>
      </c>
      <c r="BM282" s="453">
        <f t="shared" si="105"/>
        <v>602.88200000000006</v>
      </c>
      <c r="BN282" s="452">
        <v>0</v>
      </c>
      <c r="BO282" s="452">
        <v>0</v>
      </c>
      <c r="BP282" s="452">
        <v>0</v>
      </c>
      <c r="BQ282" s="452">
        <v>0</v>
      </c>
      <c r="BR282" s="452">
        <v>0</v>
      </c>
      <c r="BS282" s="452">
        <v>0</v>
      </c>
      <c r="BT282" s="452">
        <v>0</v>
      </c>
      <c r="BU282" s="409">
        <v>0</v>
      </c>
      <c r="BV282" s="409">
        <v>0</v>
      </c>
      <c r="BW282" s="409">
        <v>0</v>
      </c>
      <c r="BX282" s="409">
        <v>0</v>
      </c>
      <c r="BY282" s="409">
        <v>208.232</v>
      </c>
      <c r="BZ282" s="453">
        <f t="shared" si="106"/>
        <v>208.232</v>
      </c>
      <c r="CA282" s="454">
        <f t="shared" si="107"/>
        <v>1803.136</v>
      </c>
      <c r="CB282" s="419"/>
      <c r="CC282" s="419">
        <v>-1</v>
      </c>
      <c r="CD282" s="419">
        <v>-1</v>
      </c>
      <c r="CE282" s="419">
        <v>-1</v>
      </c>
      <c r="CF282" s="419">
        <v>-1</v>
      </c>
      <c r="CG282" s="420">
        <f>IFERROR((FE282/Z282%),0)</f>
        <v>0</v>
      </c>
      <c r="CH282" s="421">
        <f>IFERROR((FK282/Z282%),0)</f>
        <v>0</v>
      </c>
      <c r="CI282" s="414" t="s">
        <v>1603</v>
      </c>
      <c r="CJ282" s="415">
        <v>0</v>
      </c>
      <c r="CK282" s="415">
        <v>0</v>
      </c>
      <c r="CL282" s="415">
        <v>0</v>
      </c>
      <c r="CM282" s="415">
        <v>0</v>
      </c>
      <c r="CN282" s="415">
        <v>0</v>
      </c>
      <c r="CO282" s="415">
        <v>0</v>
      </c>
      <c r="CP282" s="415">
        <v>0</v>
      </c>
      <c r="CQ282" s="415">
        <v>0</v>
      </c>
      <c r="CR282" s="415">
        <v>0</v>
      </c>
      <c r="CS282" s="415">
        <v>0</v>
      </c>
      <c r="CT282" s="415">
        <v>0</v>
      </c>
      <c r="CU282" s="415">
        <v>1</v>
      </c>
      <c r="CV282" s="410">
        <f t="shared" si="117"/>
        <v>1</v>
      </c>
      <c r="CW282" s="415">
        <v>0</v>
      </c>
      <c r="CX282" s="415">
        <v>0</v>
      </c>
      <c r="CY282" s="415">
        <v>0</v>
      </c>
      <c r="CZ282" s="415">
        <v>0</v>
      </c>
      <c r="DA282" s="415">
        <v>0</v>
      </c>
      <c r="DB282" s="415">
        <v>0</v>
      </c>
      <c r="DC282" s="415">
        <v>0</v>
      </c>
      <c r="DD282" s="415">
        <v>0</v>
      </c>
      <c r="DE282" s="415">
        <v>0</v>
      </c>
      <c r="DF282" s="415">
        <v>0</v>
      </c>
      <c r="DG282" s="415">
        <v>0</v>
      </c>
      <c r="DH282" s="415">
        <v>4</v>
      </c>
      <c r="DI282" s="410">
        <f t="shared" si="118"/>
        <v>4</v>
      </c>
      <c r="DJ282" s="415">
        <v>0</v>
      </c>
      <c r="DK282" s="415">
        <v>0</v>
      </c>
      <c r="DL282" s="415">
        <v>0</v>
      </c>
      <c r="DM282" s="415">
        <v>0</v>
      </c>
      <c r="DN282" s="415">
        <v>0</v>
      </c>
      <c r="DO282" s="415">
        <v>0</v>
      </c>
      <c r="DP282" s="415">
        <v>0</v>
      </c>
      <c r="DQ282" s="415">
        <v>0</v>
      </c>
      <c r="DR282" s="415">
        <v>11</v>
      </c>
      <c r="DS282" s="415">
        <v>0</v>
      </c>
      <c r="DT282" s="415">
        <v>0</v>
      </c>
      <c r="DU282" s="415">
        <v>0</v>
      </c>
      <c r="DV282" s="410">
        <f t="shared" si="119"/>
        <v>11</v>
      </c>
      <c r="DW282" s="415">
        <v>0</v>
      </c>
      <c r="DX282" s="415">
        <v>0</v>
      </c>
      <c r="DY282" s="415">
        <v>0</v>
      </c>
      <c r="DZ282" s="415">
        <v>0</v>
      </c>
      <c r="EA282" s="415">
        <v>0</v>
      </c>
      <c r="EB282" s="415">
        <v>0</v>
      </c>
      <c r="EC282" s="415">
        <v>0</v>
      </c>
      <c r="ED282" s="415">
        <v>0</v>
      </c>
      <c r="EE282" s="415">
        <v>0</v>
      </c>
      <c r="EF282" s="415">
        <v>0</v>
      </c>
      <c r="EG282" s="415">
        <v>11</v>
      </c>
      <c r="EH282" s="415">
        <v>0</v>
      </c>
      <c r="EI282" s="410">
        <f t="shared" si="120"/>
        <v>11</v>
      </c>
      <c r="EJ282" s="415">
        <v>0</v>
      </c>
      <c r="EK282" s="415">
        <v>0</v>
      </c>
      <c r="EL282" s="415">
        <v>0</v>
      </c>
      <c r="EM282" s="415">
        <v>0</v>
      </c>
      <c r="EN282" s="415">
        <v>0</v>
      </c>
      <c r="EO282" s="415">
        <v>0</v>
      </c>
      <c r="EP282" s="415">
        <v>0</v>
      </c>
      <c r="EQ282" s="415">
        <v>0</v>
      </c>
      <c r="ER282" s="415">
        <v>0</v>
      </c>
      <c r="ES282" s="415">
        <v>0</v>
      </c>
      <c r="ET282" s="415">
        <v>0</v>
      </c>
      <c r="EU282" s="415">
        <v>4</v>
      </c>
      <c r="EV282" s="410">
        <f t="shared" si="121"/>
        <v>4</v>
      </c>
      <c r="EW282" s="416">
        <f t="shared" si="122"/>
        <v>31</v>
      </c>
      <c r="EX282" s="417">
        <f>IFERROR(VLOOKUP(H282,CEI_012018!$A$1:$U$509,9,FALSE),0)</f>
        <v>0</v>
      </c>
      <c r="EY282" s="417">
        <f>IFERROR(VLOOKUP(H282,CEI_022018!$A$1:$U$509,9,FALSE),0)</f>
        <v>0</v>
      </c>
      <c r="EZ282" s="417">
        <f>IFERROR(VLOOKUP(H282,CEI_032018!$A$1:$U$509,9,FALSE),0)</f>
        <v>0</v>
      </c>
      <c r="FA282" s="417">
        <f>IFERROR(VLOOKUP(H282,CEI_042018!$A$1:$U$491,9,FALSE),0)</f>
        <v>0</v>
      </c>
      <c r="FB282" s="417">
        <f>IFERROR(VLOOKUP(H282,CEI_052018!$A$1:$U$489,9,FALSE),0)</f>
        <v>0</v>
      </c>
      <c r="FC282" s="417">
        <f>IFERROR(VLOOKUP(H282,CEI_062018!$A$1:$U$489,9,FALSE),0)</f>
        <v>0</v>
      </c>
      <c r="FD282" s="417">
        <f>IFERROR(VLOOKUP(H282,CEI_072018!$A$1:$U$489,9,FALSE),0)</f>
        <v>0</v>
      </c>
      <c r="FE282" s="417">
        <f>IFERROR(VLOOKUP(H282,CEI_082018!$A$1:$U$489,9,FALSE),0)</f>
        <v>0</v>
      </c>
      <c r="FF282" s="417">
        <f>IFERROR(VLOOKUP(H282,CEI_092018!$A$1:$U$489,9,FALSE),0)</f>
        <v>0</v>
      </c>
      <c r="FG282" s="417"/>
      <c r="FH282" s="417"/>
      <c r="FI282" s="417"/>
      <c r="FJ282" s="418">
        <f>IFERROR(VLOOKUP(H282,CEI_092018!$A$1:$U$489,12,FALSE),0)</f>
        <v>0</v>
      </c>
      <c r="FK282" s="418">
        <f t="shared" si="99"/>
        <v>0</v>
      </c>
      <c r="FL282" s="418">
        <f t="shared" si="100"/>
        <v>80</v>
      </c>
      <c r="FM282" s="417"/>
      <c r="FN282" s="417"/>
      <c r="FO282" s="417"/>
      <c r="FP282" s="417"/>
      <c r="FQ282" s="417"/>
      <c r="FR282" s="417"/>
      <c r="FS282" s="417"/>
      <c r="FT282" s="417"/>
      <c r="FU282" s="417"/>
      <c r="FV282" s="417"/>
      <c r="FW282" s="417"/>
      <c r="FX282" s="417"/>
      <c r="FY282" s="418"/>
      <c r="FZ282" s="418"/>
      <c r="GA282" s="418"/>
      <c r="GB282" s="417"/>
      <c r="GC282" s="417"/>
      <c r="GD282" s="417"/>
      <c r="GE282" s="417"/>
      <c r="GF282" s="417"/>
      <c r="GG282" s="417"/>
      <c r="GH282" s="417"/>
      <c r="GI282" s="417"/>
      <c r="GJ282" s="417"/>
      <c r="GK282" s="417"/>
      <c r="GL282" s="417"/>
      <c r="GM282" s="417"/>
      <c r="GN282" s="418"/>
      <c r="GO282" s="418"/>
      <c r="GP282" s="418"/>
      <c r="GQ282" s="417"/>
      <c r="GR282" s="417"/>
      <c r="GS282" s="417"/>
      <c r="GT282" s="417"/>
      <c r="GU282" s="417"/>
      <c r="GV282" s="417"/>
      <c r="GW282" s="417"/>
      <c r="GX282" s="417"/>
      <c r="GY282" s="417"/>
      <c r="GZ282" s="417"/>
      <c r="HA282" s="417"/>
      <c r="HB282" s="417"/>
      <c r="HC282" s="418"/>
      <c r="HD282" s="418"/>
      <c r="HE282" s="418"/>
      <c r="HF282" s="417"/>
      <c r="HG282" s="417"/>
      <c r="HH282" s="417"/>
      <c r="HI282" s="417"/>
      <c r="HJ282" s="417"/>
      <c r="HK282" s="417"/>
      <c r="HL282" s="417"/>
      <c r="HM282" s="417"/>
      <c r="HN282" s="417"/>
      <c r="HO282" s="417"/>
      <c r="HP282" s="417"/>
      <c r="HQ282" s="417"/>
      <c r="HR282" s="418"/>
      <c r="HS282" s="418"/>
      <c r="HT282" s="418"/>
    </row>
    <row r="283" spans="1:228" s="387" customFormat="1" ht="12.75" customHeight="1" x14ac:dyDescent="0.2">
      <c r="A283" s="406" t="s">
        <v>55</v>
      </c>
      <c r="B283" s="407" t="s">
        <v>40</v>
      </c>
      <c r="C283" s="406" t="s">
        <v>297</v>
      </c>
      <c r="D283" s="407" t="s">
        <v>1002</v>
      </c>
      <c r="E283" s="407" t="s">
        <v>297</v>
      </c>
      <c r="F283" s="407" t="s">
        <v>1002</v>
      </c>
      <c r="G283" s="406" t="s">
        <v>54</v>
      </c>
      <c r="H283" s="408" t="s">
        <v>520</v>
      </c>
      <c r="I283" s="408" t="s">
        <v>57</v>
      </c>
      <c r="J283" s="406" t="s">
        <v>674</v>
      </c>
      <c r="K283" s="406" t="s">
        <v>675</v>
      </c>
      <c r="L283" s="406" t="s">
        <v>670</v>
      </c>
      <c r="M283" s="406" t="s">
        <v>1770</v>
      </c>
      <c r="N283" s="452">
        <v>0</v>
      </c>
      <c r="O283" s="452">
        <v>0</v>
      </c>
      <c r="P283" s="452">
        <v>0</v>
      </c>
      <c r="Q283" s="452">
        <v>0</v>
      </c>
      <c r="R283" s="452">
        <v>0</v>
      </c>
      <c r="S283" s="452">
        <v>0</v>
      </c>
      <c r="T283" s="452">
        <v>0</v>
      </c>
      <c r="U283" s="409">
        <v>0</v>
      </c>
      <c r="V283" s="409">
        <v>0</v>
      </c>
      <c r="W283" s="409">
        <v>0</v>
      </c>
      <c r="X283" s="409">
        <v>0</v>
      </c>
      <c r="Y283" s="409">
        <v>0</v>
      </c>
      <c r="Z283" s="453">
        <f t="shared" si="108"/>
        <v>0</v>
      </c>
      <c r="AA283" s="452">
        <v>0</v>
      </c>
      <c r="AB283" s="452">
        <v>0</v>
      </c>
      <c r="AC283" s="452">
        <v>0</v>
      </c>
      <c r="AD283" s="452">
        <v>0</v>
      </c>
      <c r="AE283" s="452">
        <v>0</v>
      </c>
      <c r="AF283" s="452">
        <v>0</v>
      </c>
      <c r="AG283" s="452">
        <v>0</v>
      </c>
      <c r="AH283" s="409">
        <v>46</v>
      </c>
      <c r="AI283" s="409">
        <v>0</v>
      </c>
      <c r="AJ283" s="409">
        <v>0</v>
      </c>
      <c r="AK283" s="409">
        <v>0</v>
      </c>
      <c r="AL283" s="409">
        <v>0</v>
      </c>
      <c r="AM283" s="453">
        <f t="shared" si="103"/>
        <v>46</v>
      </c>
      <c r="AN283" s="452">
        <v>0</v>
      </c>
      <c r="AO283" s="452">
        <v>0</v>
      </c>
      <c r="AP283" s="452">
        <v>0</v>
      </c>
      <c r="AQ283" s="452">
        <v>0</v>
      </c>
      <c r="AR283" s="452">
        <v>0</v>
      </c>
      <c r="AS283" s="452">
        <v>0</v>
      </c>
      <c r="AT283" s="452">
        <v>0</v>
      </c>
      <c r="AU283" s="409">
        <v>0</v>
      </c>
      <c r="AV283" s="409">
        <v>0</v>
      </c>
      <c r="AW283" s="409">
        <v>0</v>
      </c>
      <c r="AX283" s="409">
        <v>0</v>
      </c>
      <c r="AY283" s="409">
        <v>99.700999999999993</v>
      </c>
      <c r="AZ283" s="453">
        <f t="shared" si="104"/>
        <v>99.700999999999993</v>
      </c>
      <c r="BA283" s="452">
        <v>0</v>
      </c>
      <c r="BB283" s="452">
        <v>0</v>
      </c>
      <c r="BC283" s="452">
        <v>0</v>
      </c>
      <c r="BD283" s="452">
        <v>0</v>
      </c>
      <c r="BE283" s="452">
        <v>0</v>
      </c>
      <c r="BF283" s="452">
        <v>0</v>
      </c>
      <c r="BG283" s="452">
        <v>0</v>
      </c>
      <c r="BH283" s="409">
        <v>0</v>
      </c>
      <c r="BI283" s="409">
        <v>0</v>
      </c>
      <c r="BJ283" s="409">
        <v>0</v>
      </c>
      <c r="BK283" s="409">
        <v>31.904</v>
      </c>
      <c r="BL283" s="409">
        <v>0</v>
      </c>
      <c r="BM283" s="453">
        <f t="shared" si="105"/>
        <v>31.904</v>
      </c>
      <c r="BN283" s="452">
        <v>0</v>
      </c>
      <c r="BO283" s="452">
        <v>0</v>
      </c>
      <c r="BP283" s="452">
        <v>0</v>
      </c>
      <c r="BQ283" s="452">
        <v>0</v>
      </c>
      <c r="BR283" s="452">
        <v>0</v>
      </c>
      <c r="BS283" s="452">
        <v>0</v>
      </c>
      <c r="BT283" s="452">
        <v>0</v>
      </c>
      <c r="BU283" s="409">
        <v>0</v>
      </c>
      <c r="BV283" s="409">
        <v>0</v>
      </c>
      <c r="BW283" s="409">
        <v>0</v>
      </c>
      <c r="BX283" s="409">
        <v>0</v>
      </c>
      <c r="BY283" s="409">
        <v>21.934000000000001</v>
      </c>
      <c r="BZ283" s="453">
        <f t="shared" si="106"/>
        <v>21.934000000000001</v>
      </c>
      <c r="CA283" s="454">
        <f t="shared" si="107"/>
        <v>199.53899999999999</v>
      </c>
      <c r="CB283" s="411"/>
      <c r="CC283" s="411"/>
      <c r="CD283" s="411"/>
      <c r="CE283" s="411"/>
      <c r="CF283" s="411"/>
      <c r="CG283" s="412"/>
      <c r="CH283" s="413"/>
      <c r="CI283" s="414" t="s">
        <v>1603</v>
      </c>
      <c r="CJ283" s="415">
        <v>0</v>
      </c>
      <c r="CK283" s="415">
        <v>0</v>
      </c>
      <c r="CL283" s="415">
        <v>0</v>
      </c>
      <c r="CM283" s="415">
        <v>0</v>
      </c>
      <c r="CN283" s="415">
        <v>0</v>
      </c>
      <c r="CO283" s="415">
        <v>0</v>
      </c>
      <c r="CP283" s="415">
        <v>0</v>
      </c>
      <c r="CQ283" s="415">
        <v>0</v>
      </c>
      <c r="CR283" s="415">
        <v>0</v>
      </c>
      <c r="CS283" s="415">
        <v>0</v>
      </c>
      <c r="CT283" s="415">
        <v>0</v>
      </c>
      <c r="CU283" s="415">
        <v>0</v>
      </c>
      <c r="CV283" s="410">
        <f t="shared" si="117"/>
        <v>0</v>
      </c>
      <c r="CW283" s="415">
        <v>0</v>
      </c>
      <c r="CX283" s="415">
        <v>0</v>
      </c>
      <c r="CY283" s="415">
        <v>0</v>
      </c>
      <c r="CZ283" s="415">
        <v>0</v>
      </c>
      <c r="DA283" s="415">
        <v>0</v>
      </c>
      <c r="DB283" s="415">
        <v>0</v>
      </c>
      <c r="DC283" s="415">
        <v>0</v>
      </c>
      <c r="DD283" s="415">
        <v>1</v>
      </c>
      <c r="DE283" s="415">
        <v>0</v>
      </c>
      <c r="DF283" s="415">
        <v>0</v>
      </c>
      <c r="DG283" s="415">
        <v>0</v>
      </c>
      <c r="DH283" s="415">
        <v>0</v>
      </c>
      <c r="DI283" s="410">
        <f t="shared" si="118"/>
        <v>1</v>
      </c>
      <c r="DJ283" s="415">
        <v>0</v>
      </c>
      <c r="DK283" s="415">
        <v>0</v>
      </c>
      <c r="DL283" s="415">
        <v>0</v>
      </c>
      <c r="DM283" s="415">
        <v>0</v>
      </c>
      <c r="DN283" s="415">
        <v>0</v>
      </c>
      <c r="DO283" s="415">
        <v>0</v>
      </c>
      <c r="DP283" s="415">
        <v>0</v>
      </c>
      <c r="DQ283" s="415">
        <v>0</v>
      </c>
      <c r="DR283" s="415">
        <v>0</v>
      </c>
      <c r="DS283" s="415">
        <v>0</v>
      </c>
      <c r="DT283" s="415">
        <v>0</v>
      </c>
      <c r="DU283" s="415">
        <v>2</v>
      </c>
      <c r="DV283" s="410">
        <f t="shared" si="119"/>
        <v>2</v>
      </c>
      <c r="DW283" s="415">
        <v>0</v>
      </c>
      <c r="DX283" s="415">
        <v>0</v>
      </c>
      <c r="DY283" s="415">
        <v>0</v>
      </c>
      <c r="DZ283" s="415">
        <v>0</v>
      </c>
      <c r="EA283" s="415">
        <v>0</v>
      </c>
      <c r="EB283" s="415">
        <v>0</v>
      </c>
      <c r="EC283" s="415">
        <v>0</v>
      </c>
      <c r="ED283" s="415">
        <v>0</v>
      </c>
      <c r="EE283" s="415">
        <v>0</v>
      </c>
      <c r="EF283" s="415">
        <v>0</v>
      </c>
      <c r="EG283" s="415">
        <v>1</v>
      </c>
      <c r="EH283" s="415">
        <v>0</v>
      </c>
      <c r="EI283" s="410">
        <f t="shared" si="120"/>
        <v>1</v>
      </c>
      <c r="EJ283" s="415">
        <v>0</v>
      </c>
      <c r="EK283" s="415">
        <v>0</v>
      </c>
      <c r="EL283" s="415">
        <v>0</v>
      </c>
      <c r="EM283" s="415">
        <v>0</v>
      </c>
      <c r="EN283" s="415">
        <v>0</v>
      </c>
      <c r="EO283" s="415">
        <v>0</v>
      </c>
      <c r="EP283" s="415">
        <v>0</v>
      </c>
      <c r="EQ283" s="415">
        <v>0</v>
      </c>
      <c r="ER283" s="415">
        <v>0</v>
      </c>
      <c r="ES283" s="415">
        <v>0</v>
      </c>
      <c r="ET283" s="415">
        <v>0</v>
      </c>
      <c r="EU283" s="415">
        <v>1</v>
      </c>
      <c r="EV283" s="410">
        <f t="shared" si="121"/>
        <v>1</v>
      </c>
      <c r="EW283" s="416">
        <f t="shared" si="122"/>
        <v>5</v>
      </c>
      <c r="EX283" s="417">
        <f>IFERROR(VLOOKUP(H283,CEI_012018!$A$1:$U$509,9,FALSE),0)</f>
        <v>0</v>
      </c>
      <c r="EY283" s="417">
        <f>IFERROR(VLOOKUP(H283,CEI_022018!$A$1:$U$509,9,FALSE),0)</f>
        <v>0</v>
      </c>
      <c r="EZ283" s="417">
        <f>IFERROR(VLOOKUP(H283,CEI_032018!$A$1:$U$509,9,FALSE),0)</f>
        <v>0</v>
      </c>
      <c r="FA283" s="417">
        <f>IFERROR(VLOOKUP(H283,CEI_042018!$A$1:$U$491,9,FALSE),0)</f>
        <v>0</v>
      </c>
      <c r="FB283" s="417">
        <f>IFERROR(VLOOKUP(H283,CEI_052018!$A$1:$U$489,9,FALSE),0)</f>
        <v>0</v>
      </c>
      <c r="FC283" s="417">
        <f>IFERROR(VLOOKUP(H283,CEI_062018!$A$1:$U$489,9,FALSE),0)</f>
        <v>0</v>
      </c>
      <c r="FD283" s="417">
        <f>IFERROR(VLOOKUP(H283,CEI_072018!$A$1:$U$489,9,FALSE),0)</f>
        <v>0</v>
      </c>
      <c r="FE283" s="417">
        <f>IFERROR(VLOOKUP(H283,CEI_082018!$A$1:$U$489,9,FALSE),0)</f>
        <v>0</v>
      </c>
      <c r="FF283" s="417">
        <f>IFERROR(VLOOKUP(H283,CEI_092018!$A$1:$U$489,9,FALSE),0)</f>
        <v>0</v>
      </c>
      <c r="FG283" s="417"/>
      <c r="FH283" s="417"/>
      <c r="FI283" s="417"/>
      <c r="FJ283" s="418">
        <f>IFERROR(VLOOKUP(H283,CEI_092018!$A$1:$U$489,12,FALSE),0)</f>
        <v>0</v>
      </c>
      <c r="FK283" s="418">
        <f t="shared" si="99"/>
        <v>0</v>
      </c>
      <c r="FL283" s="418">
        <f t="shared" si="100"/>
        <v>0</v>
      </c>
      <c r="FM283" s="417"/>
      <c r="FN283" s="417"/>
      <c r="FO283" s="417"/>
      <c r="FP283" s="417"/>
      <c r="FQ283" s="417"/>
      <c r="FR283" s="417"/>
      <c r="FS283" s="417"/>
      <c r="FT283" s="417"/>
      <c r="FU283" s="417"/>
      <c r="FV283" s="417"/>
      <c r="FW283" s="417"/>
      <c r="FX283" s="417"/>
      <c r="FY283" s="418"/>
      <c r="FZ283" s="418"/>
      <c r="GA283" s="418"/>
      <c r="GB283" s="417"/>
      <c r="GC283" s="417"/>
      <c r="GD283" s="417"/>
      <c r="GE283" s="417"/>
      <c r="GF283" s="417"/>
      <c r="GG283" s="417"/>
      <c r="GH283" s="417"/>
      <c r="GI283" s="417"/>
      <c r="GJ283" s="417"/>
      <c r="GK283" s="417"/>
      <c r="GL283" s="417"/>
      <c r="GM283" s="417"/>
      <c r="GN283" s="418"/>
      <c r="GO283" s="418"/>
      <c r="GP283" s="418"/>
      <c r="GQ283" s="417"/>
      <c r="GR283" s="417"/>
      <c r="GS283" s="417"/>
      <c r="GT283" s="417"/>
      <c r="GU283" s="417"/>
      <c r="GV283" s="417"/>
      <c r="GW283" s="417"/>
      <c r="GX283" s="417"/>
      <c r="GY283" s="417"/>
      <c r="GZ283" s="417"/>
      <c r="HA283" s="417"/>
      <c r="HB283" s="417"/>
      <c r="HC283" s="418"/>
      <c r="HD283" s="418"/>
      <c r="HE283" s="418"/>
      <c r="HF283" s="417"/>
      <c r="HG283" s="417"/>
      <c r="HH283" s="417"/>
      <c r="HI283" s="417"/>
      <c r="HJ283" s="417"/>
      <c r="HK283" s="417"/>
      <c r="HL283" s="417"/>
      <c r="HM283" s="417"/>
      <c r="HN283" s="417"/>
      <c r="HO283" s="417"/>
      <c r="HP283" s="417"/>
      <c r="HQ283" s="417"/>
      <c r="HR283" s="418"/>
      <c r="HS283" s="418"/>
      <c r="HT283" s="418"/>
    </row>
    <row r="284" spans="1:228" s="387" customFormat="1" ht="12.75" customHeight="1" x14ac:dyDescent="0.2">
      <c r="A284" s="406" t="s">
        <v>55</v>
      </c>
      <c r="B284" s="407" t="s">
        <v>40</v>
      </c>
      <c r="C284" s="406" t="s">
        <v>297</v>
      </c>
      <c r="D284" s="407" t="s">
        <v>1002</v>
      </c>
      <c r="E284" s="407" t="s">
        <v>297</v>
      </c>
      <c r="F284" s="407" t="s">
        <v>1002</v>
      </c>
      <c r="G284" s="406" t="s">
        <v>54</v>
      </c>
      <c r="H284" s="408" t="s">
        <v>1627</v>
      </c>
      <c r="I284" s="408" t="s">
        <v>57</v>
      </c>
      <c r="J284" s="406" t="s">
        <v>676</v>
      </c>
      <c r="K284" s="406" t="s">
        <v>677</v>
      </c>
      <c r="L284" s="406" t="s">
        <v>678</v>
      </c>
      <c r="M284" s="406" t="s">
        <v>1770</v>
      </c>
      <c r="N284" s="452">
        <v>0</v>
      </c>
      <c r="O284" s="452">
        <v>0</v>
      </c>
      <c r="P284" s="452">
        <v>0</v>
      </c>
      <c r="Q284" s="452">
        <v>0</v>
      </c>
      <c r="R284" s="452">
        <v>0</v>
      </c>
      <c r="S284" s="452">
        <v>0</v>
      </c>
      <c r="T284" s="452">
        <v>0</v>
      </c>
      <c r="U284" s="409">
        <v>0</v>
      </c>
      <c r="V284" s="409">
        <v>0</v>
      </c>
      <c r="W284" s="409">
        <v>0</v>
      </c>
      <c r="X284" s="409">
        <v>0</v>
      </c>
      <c r="Y284" s="409">
        <v>0</v>
      </c>
      <c r="Z284" s="453">
        <f t="shared" si="108"/>
        <v>0</v>
      </c>
      <c r="AA284" s="452">
        <v>0</v>
      </c>
      <c r="AB284" s="452">
        <v>0</v>
      </c>
      <c r="AC284" s="452">
        <v>0</v>
      </c>
      <c r="AD284" s="452">
        <v>0</v>
      </c>
      <c r="AE284" s="452">
        <v>0</v>
      </c>
      <c r="AF284" s="452">
        <v>0</v>
      </c>
      <c r="AG284" s="452">
        <v>0</v>
      </c>
      <c r="AH284" s="409">
        <v>5</v>
      </c>
      <c r="AI284" s="409">
        <v>0</v>
      </c>
      <c r="AJ284" s="409">
        <v>0</v>
      </c>
      <c r="AK284" s="409">
        <v>0</v>
      </c>
      <c r="AL284" s="409">
        <v>0</v>
      </c>
      <c r="AM284" s="453">
        <f t="shared" si="103"/>
        <v>5</v>
      </c>
      <c r="AN284" s="452">
        <v>0</v>
      </c>
      <c r="AO284" s="452">
        <v>0</v>
      </c>
      <c r="AP284" s="452">
        <v>0</v>
      </c>
      <c r="AQ284" s="452">
        <v>0</v>
      </c>
      <c r="AR284" s="452">
        <v>0</v>
      </c>
      <c r="AS284" s="452">
        <v>0</v>
      </c>
      <c r="AT284" s="452">
        <v>0</v>
      </c>
      <c r="AU284" s="409">
        <v>0</v>
      </c>
      <c r="AV284" s="409">
        <v>0</v>
      </c>
      <c r="AW284" s="409">
        <v>0</v>
      </c>
      <c r="AX284" s="409">
        <v>0</v>
      </c>
      <c r="AY284" s="409">
        <v>0</v>
      </c>
      <c r="AZ284" s="453">
        <f t="shared" si="104"/>
        <v>0</v>
      </c>
      <c r="BA284" s="452">
        <v>0</v>
      </c>
      <c r="BB284" s="452">
        <v>0</v>
      </c>
      <c r="BC284" s="452">
        <v>0</v>
      </c>
      <c r="BD284" s="452">
        <v>0</v>
      </c>
      <c r="BE284" s="452">
        <v>0</v>
      </c>
      <c r="BF284" s="452">
        <v>0</v>
      </c>
      <c r="BG284" s="452">
        <v>0</v>
      </c>
      <c r="BH284" s="409">
        <v>0</v>
      </c>
      <c r="BI284" s="409">
        <v>0</v>
      </c>
      <c r="BJ284" s="409">
        <v>0</v>
      </c>
      <c r="BK284" s="409">
        <v>0</v>
      </c>
      <c r="BL284" s="409">
        <v>0</v>
      </c>
      <c r="BM284" s="453">
        <f t="shared" si="105"/>
        <v>0</v>
      </c>
      <c r="BN284" s="452">
        <v>0</v>
      </c>
      <c r="BO284" s="452">
        <v>0</v>
      </c>
      <c r="BP284" s="452">
        <v>0</v>
      </c>
      <c r="BQ284" s="452">
        <v>0</v>
      </c>
      <c r="BR284" s="452">
        <v>0</v>
      </c>
      <c r="BS284" s="452">
        <v>0</v>
      </c>
      <c r="BT284" s="452">
        <v>0</v>
      </c>
      <c r="BU284" s="409">
        <v>0</v>
      </c>
      <c r="BV284" s="409">
        <v>0</v>
      </c>
      <c r="BW284" s="409">
        <v>0</v>
      </c>
      <c r="BX284" s="409">
        <v>0</v>
      </c>
      <c r="BY284" s="409">
        <v>0</v>
      </c>
      <c r="BZ284" s="453">
        <f t="shared" si="106"/>
        <v>0</v>
      </c>
      <c r="CA284" s="454">
        <f t="shared" si="107"/>
        <v>5</v>
      </c>
      <c r="CB284" s="411"/>
      <c r="CC284" s="411"/>
      <c r="CD284" s="411"/>
      <c r="CE284" s="411"/>
      <c r="CF284" s="411"/>
      <c r="CG284" s="412"/>
      <c r="CH284" s="413"/>
      <c r="CI284" s="414" t="s">
        <v>1603</v>
      </c>
      <c r="CJ284" s="415">
        <v>0</v>
      </c>
      <c r="CK284" s="415">
        <v>0</v>
      </c>
      <c r="CL284" s="415">
        <v>0</v>
      </c>
      <c r="CM284" s="415">
        <v>0</v>
      </c>
      <c r="CN284" s="415">
        <v>0</v>
      </c>
      <c r="CO284" s="415">
        <v>0</v>
      </c>
      <c r="CP284" s="415">
        <v>0</v>
      </c>
      <c r="CQ284" s="415">
        <v>0</v>
      </c>
      <c r="CR284" s="415">
        <v>0</v>
      </c>
      <c r="CS284" s="415">
        <v>0</v>
      </c>
      <c r="CT284" s="415">
        <v>0</v>
      </c>
      <c r="CU284" s="415">
        <v>0</v>
      </c>
      <c r="CV284" s="410">
        <f t="shared" si="117"/>
        <v>0</v>
      </c>
      <c r="CW284" s="415">
        <v>0</v>
      </c>
      <c r="CX284" s="415">
        <v>0</v>
      </c>
      <c r="CY284" s="415">
        <v>0</v>
      </c>
      <c r="CZ284" s="415">
        <v>0</v>
      </c>
      <c r="DA284" s="415">
        <v>0</v>
      </c>
      <c r="DB284" s="415">
        <v>0</v>
      </c>
      <c r="DC284" s="415">
        <v>0</v>
      </c>
      <c r="DD284" s="415">
        <v>1</v>
      </c>
      <c r="DE284" s="415">
        <v>0</v>
      </c>
      <c r="DF284" s="415">
        <v>0</v>
      </c>
      <c r="DG284" s="415">
        <v>0</v>
      </c>
      <c r="DH284" s="415">
        <v>0</v>
      </c>
      <c r="DI284" s="410">
        <f t="shared" si="118"/>
        <v>1</v>
      </c>
      <c r="DJ284" s="415">
        <v>0</v>
      </c>
      <c r="DK284" s="415">
        <v>0</v>
      </c>
      <c r="DL284" s="415">
        <v>0</v>
      </c>
      <c r="DM284" s="415">
        <v>0</v>
      </c>
      <c r="DN284" s="415">
        <v>0</v>
      </c>
      <c r="DO284" s="415">
        <v>0</v>
      </c>
      <c r="DP284" s="415">
        <v>0</v>
      </c>
      <c r="DQ284" s="415">
        <v>0</v>
      </c>
      <c r="DR284" s="415">
        <v>0</v>
      </c>
      <c r="DS284" s="415">
        <v>0</v>
      </c>
      <c r="DT284" s="415">
        <v>0</v>
      </c>
      <c r="DU284" s="415">
        <v>0</v>
      </c>
      <c r="DV284" s="410">
        <f t="shared" si="119"/>
        <v>0</v>
      </c>
      <c r="DW284" s="415">
        <v>0</v>
      </c>
      <c r="DX284" s="415">
        <v>0</v>
      </c>
      <c r="DY284" s="415">
        <v>0</v>
      </c>
      <c r="DZ284" s="415">
        <v>0</v>
      </c>
      <c r="EA284" s="415">
        <v>0</v>
      </c>
      <c r="EB284" s="415">
        <v>0</v>
      </c>
      <c r="EC284" s="415">
        <v>0</v>
      </c>
      <c r="ED284" s="415">
        <v>0</v>
      </c>
      <c r="EE284" s="415">
        <v>0</v>
      </c>
      <c r="EF284" s="415">
        <v>0</v>
      </c>
      <c r="EG284" s="415">
        <v>0</v>
      </c>
      <c r="EH284" s="415">
        <v>0</v>
      </c>
      <c r="EI284" s="410">
        <f t="shared" si="120"/>
        <v>0</v>
      </c>
      <c r="EJ284" s="415">
        <v>0</v>
      </c>
      <c r="EK284" s="415">
        <v>0</v>
      </c>
      <c r="EL284" s="415">
        <v>0</v>
      </c>
      <c r="EM284" s="415">
        <v>0</v>
      </c>
      <c r="EN284" s="415">
        <v>0</v>
      </c>
      <c r="EO284" s="415">
        <v>0</v>
      </c>
      <c r="EP284" s="415">
        <v>0</v>
      </c>
      <c r="EQ284" s="415">
        <v>0</v>
      </c>
      <c r="ER284" s="415">
        <v>0</v>
      </c>
      <c r="ES284" s="415">
        <v>0</v>
      </c>
      <c r="ET284" s="415">
        <v>0</v>
      </c>
      <c r="EU284" s="415">
        <v>0</v>
      </c>
      <c r="EV284" s="410">
        <f t="shared" si="121"/>
        <v>0</v>
      </c>
      <c r="EW284" s="416">
        <f t="shared" si="122"/>
        <v>1</v>
      </c>
      <c r="EX284" s="417">
        <f>IFERROR(VLOOKUP(H284,CEI_012018!$A$1:$U$509,9,FALSE),0)</f>
        <v>0</v>
      </c>
      <c r="EY284" s="417">
        <f>IFERROR(VLOOKUP(H284,CEI_022018!$A$1:$U$509,9,FALSE),0)</f>
        <v>0</v>
      </c>
      <c r="EZ284" s="417">
        <f>IFERROR(VLOOKUP(H284,CEI_032018!$A$1:$U$509,9,FALSE),0)</f>
        <v>0</v>
      </c>
      <c r="FA284" s="417">
        <f>IFERROR(VLOOKUP(H284,CEI_042018!$A$1:$U$491,9,FALSE),0)</f>
        <v>0</v>
      </c>
      <c r="FB284" s="417">
        <f>IFERROR(VLOOKUP(H284,CEI_052018!$A$1:$U$489,9,FALSE),0)</f>
        <v>0</v>
      </c>
      <c r="FC284" s="417">
        <f>IFERROR(VLOOKUP(H284,CEI_062018!$A$1:$U$489,9,FALSE),0)</f>
        <v>0</v>
      </c>
      <c r="FD284" s="417">
        <f>IFERROR(VLOOKUP(H284,CEI_072018!$A$1:$U$489,9,FALSE),0)</f>
        <v>0</v>
      </c>
      <c r="FE284" s="417">
        <f>IFERROR(VLOOKUP(H284,CEI_082018!$A$1:$U$489,9,FALSE),0)</f>
        <v>0</v>
      </c>
      <c r="FF284" s="417">
        <f>IFERROR(VLOOKUP(H284,CEI_092018!$A$1:$U$489,9,FALSE),0)</f>
        <v>0</v>
      </c>
      <c r="FG284" s="417"/>
      <c r="FH284" s="417"/>
      <c r="FI284" s="417"/>
      <c r="FJ284" s="418">
        <f>IFERROR(VLOOKUP(H284,CEI_092018!$A$1:$U$489,12,FALSE),0)</f>
        <v>0</v>
      </c>
      <c r="FK284" s="418">
        <f t="shared" si="99"/>
        <v>0</v>
      </c>
      <c r="FL284" s="418">
        <f t="shared" si="100"/>
        <v>0</v>
      </c>
      <c r="FM284" s="417"/>
      <c r="FN284" s="417"/>
      <c r="FO284" s="417"/>
      <c r="FP284" s="417"/>
      <c r="FQ284" s="417"/>
      <c r="FR284" s="417"/>
      <c r="FS284" s="417"/>
      <c r="FT284" s="417"/>
      <c r="FU284" s="417"/>
      <c r="FV284" s="417"/>
      <c r="FW284" s="417"/>
      <c r="FX284" s="417"/>
      <c r="FY284" s="418"/>
      <c r="FZ284" s="418"/>
      <c r="GA284" s="418"/>
      <c r="GB284" s="417"/>
      <c r="GC284" s="417"/>
      <c r="GD284" s="417"/>
      <c r="GE284" s="417"/>
      <c r="GF284" s="417"/>
      <c r="GG284" s="417"/>
      <c r="GH284" s="417"/>
      <c r="GI284" s="417"/>
      <c r="GJ284" s="417"/>
      <c r="GK284" s="417"/>
      <c r="GL284" s="417"/>
      <c r="GM284" s="417"/>
      <c r="GN284" s="418"/>
      <c r="GO284" s="418"/>
      <c r="GP284" s="418"/>
      <c r="GQ284" s="417"/>
      <c r="GR284" s="417"/>
      <c r="GS284" s="417"/>
      <c r="GT284" s="417"/>
      <c r="GU284" s="417"/>
      <c r="GV284" s="417"/>
      <c r="GW284" s="417"/>
      <c r="GX284" s="417"/>
      <c r="GY284" s="417"/>
      <c r="GZ284" s="417"/>
      <c r="HA284" s="417"/>
      <c r="HB284" s="417"/>
      <c r="HC284" s="418"/>
      <c r="HD284" s="418"/>
      <c r="HE284" s="418"/>
      <c r="HF284" s="417"/>
      <c r="HG284" s="417"/>
      <c r="HH284" s="417"/>
      <c r="HI284" s="417"/>
      <c r="HJ284" s="417"/>
      <c r="HK284" s="417"/>
      <c r="HL284" s="417"/>
      <c r="HM284" s="417"/>
      <c r="HN284" s="417"/>
      <c r="HO284" s="417"/>
      <c r="HP284" s="417"/>
      <c r="HQ284" s="417"/>
      <c r="HR284" s="418"/>
      <c r="HS284" s="418"/>
      <c r="HT284" s="418"/>
    </row>
    <row r="285" spans="1:228" s="387" customFormat="1" ht="12.75" customHeight="1" x14ac:dyDescent="0.2">
      <c r="A285" s="406" t="s">
        <v>55</v>
      </c>
      <c r="B285" s="407" t="s">
        <v>40</v>
      </c>
      <c r="C285" s="406" t="s">
        <v>297</v>
      </c>
      <c r="D285" s="407" t="s">
        <v>1002</v>
      </c>
      <c r="E285" s="407" t="s">
        <v>297</v>
      </c>
      <c r="F285" s="407" t="s">
        <v>1002</v>
      </c>
      <c r="G285" s="406" t="s">
        <v>54</v>
      </c>
      <c r="H285" s="408" t="s">
        <v>520</v>
      </c>
      <c r="I285" s="408" t="s">
        <v>57</v>
      </c>
      <c r="J285" s="406" t="s">
        <v>679</v>
      </c>
      <c r="K285" s="406" t="s">
        <v>679</v>
      </c>
      <c r="L285" s="406" t="s">
        <v>670</v>
      </c>
      <c r="M285" s="406" t="s">
        <v>1770</v>
      </c>
      <c r="N285" s="452">
        <v>0</v>
      </c>
      <c r="O285" s="452">
        <v>0</v>
      </c>
      <c r="P285" s="452">
        <v>0</v>
      </c>
      <c r="Q285" s="452">
        <v>0</v>
      </c>
      <c r="R285" s="452">
        <v>0</v>
      </c>
      <c r="S285" s="452">
        <v>0</v>
      </c>
      <c r="T285" s="452">
        <v>0</v>
      </c>
      <c r="U285" s="409">
        <v>0</v>
      </c>
      <c r="V285" s="409">
        <v>0</v>
      </c>
      <c r="W285" s="409">
        <v>0</v>
      </c>
      <c r="X285" s="409">
        <v>0</v>
      </c>
      <c r="Y285" s="409">
        <v>0</v>
      </c>
      <c r="Z285" s="453">
        <f t="shared" si="108"/>
        <v>0</v>
      </c>
      <c r="AA285" s="452">
        <v>0</v>
      </c>
      <c r="AB285" s="452">
        <v>0</v>
      </c>
      <c r="AC285" s="452">
        <v>0</v>
      </c>
      <c r="AD285" s="452">
        <v>0</v>
      </c>
      <c r="AE285" s="452">
        <v>0</v>
      </c>
      <c r="AF285" s="452">
        <v>0</v>
      </c>
      <c r="AG285" s="452">
        <v>0</v>
      </c>
      <c r="AH285" s="409">
        <v>48</v>
      </c>
      <c r="AI285" s="409">
        <v>0</v>
      </c>
      <c r="AJ285" s="409">
        <v>0</v>
      </c>
      <c r="AK285" s="409">
        <v>0</v>
      </c>
      <c r="AL285" s="409">
        <v>0</v>
      </c>
      <c r="AM285" s="453">
        <f t="shared" si="103"/>
        <v>48</v>
      </c>
      <c r="AN285" s="452">
        <v>0</v>
      </c>
      <c r="AO285" s="452">
        <v>0</v>
      </c>
      <c r="AP285" s="452">
        <v>0</v>
      </c>
      <c r="AQ285" s="452">
        <v>0</v>
      </c>
      <c r="AR285" s="452">
        <v>0</v>
      </c>
      <c r="AS285" s="452">
        <v>0</v>
      </c>
      <c r="AT285" s="452">
        <v>0</v>
      </c>
      <c r="AU285" s="409">
        <v>0</v>
      </c>
      <c r="AV285" s="409">
        <v>98</v>
      </c>
      <c r="AW285" s="409">
        <v>0</v>
      </c>
      <c r="AX285" s="409">
        <v>0</v>
      </c>
      <c r="AY285" s="409">
        <v>0</v>
      </c>
      <c r="AZ285" s="453">
        <f t="shared" si="104"/>
        <v>98</v>
      </c>
      <c r="BA285" s="452">
        <v>0</v>
      </c>
      <c r="BB285" s="452">
        <v>0</v>
      </c>
      <c r="BC285" s="452">
        <v>0</v>
      </c>
      <c r="BD285" s="452">
        <v>0</v>
      </c>
      <c r="BE285" s="452">
        <v>0</v>
      </c>
      <c r="BF285" s="452">
        <v>0</v>
      </c>
      <c r="BG285" s="452">
        <v>0</v>
      </c>
      <c r="BH285" s="409">
        <v>0</v>
      </c>
      <c r="BI285" s="409">
        <v>0</v>
      </c>
      <c r="BJ285" s="409">
        <v>0</v>
      </c>
      <c r="BK285" s="409">
        <v>21</v>
      </c>
      <c r="BL285" s="409">
        <v>0</v>
      </c>
      <c r="BM285" s="453">
        <f t="shared" si="105"/>
        <v>21</v>
      </c>
      <c r="BN285" s="452">
        <v>0</v>
      </c>
      <c r="BO285" s="452">
        <v>0</v>
      </c>
      <c r="BP285" s="452">
        <v>0</v>
      </c>
      <c r="BQ285" s="452">
        <v>0</v>
      </c>
      <c r="BR285" s="452">
        <v>0</v>
      </c>
      <c r="BS285" s="452">
        <v>0</v>
      </c>
      <c r="BT285" s="452">
        <v>0</v>
      </c>
      <c r="BU285" s="409">
        <v>0</v>
      </c>
      <c r="BV285" s="409">
        <v>0</v>
      </c>
      <c r="BW285" s="409">
        <v>0</v>
      </c>
      <c r="BX285" s="409">
        <v>0</v>
      </c>
      <c r="BY285" s="409">
        <v>20.731999999999999</v>
      </c>
      <c r="BZ285" s="453">
        <f t="shared" si="106"/>
        <v>20.731999999999999</v>
      </c>
      <c r="CA285" s="454">
        <f t="shared" si="107"/>
        <v>187.732</v>
      </c>
      <c r="CB285" s="411"/>
      <c r="CC285" s="411"/>
      <c r="CD285" s="411"/>
      <c r="CE285" s="411"/>
      <c r="CF285" s="411"/>
      <c r="CG285" s="412"/>
      <c r="CH285" s="413"/>
      <c r="CI285" s="414" t="s">
        <v>1603</v>
      </c>
      <c r="CJ285" s="415">
        <v>0</v>
      </c>
      <c r="CK285" s="415">
        <v>0</v>
      </c>
      <c r="CL285" s="415">
        <v>0</v>
      </c>
      <c r="CM285" s="415">
        <v>0</v>
      </c>
      <c r="CN285" s="415">
        <v>0</v>
      </c>
      <c r="CO285" s="415">
        <v>0</v>
      </c>
      <c r="CP285" s="415">
        <v>0</v>
      </c>
      <c r="CQ285" s="415">
        <v>0</v>
      </c>
      <c r="CR285" s="415">
        <v>0</v>
      </c>
      <c r="CS285" s="415">
        <v>0</v>
      </c>
      <c r="CT285" s="415">
        <v>0</v>
      </c>
      <c r="CU285" s="415">
        <v>0</v>
      </c>
      <c r="CV285" s="410">
        <f t="shared" si="117"/>
        <v>0</v>
      </c>
      <c r="CW285" s="415">
        <v>0</v>
      </c>
      <c r="CX285" s="415">
        <v>0</v>
      </c>
      <c r="CY285" s="415">
        <v>0</v>
      </c>
      <c r="CZ285" s="415">
        <v>0</v>
      </c>
      <c r="DA285" s="415">
        <v>0</v>
      </c>
      <c r="DB285" s="415">
        <v>0</v>
      </c>
      <c r="DC285" s="415">
        <v>0</v>
      </c>
      <c r="DD285" s="415">
        <v>2</v>
      </c>
      <c r="DE285" s="415">
        <v>0</v>
      </c>
      <c r="DF285" s="415">
        <v>0</v>
      </c>
      <c r="DG285" s="415">
        <v>0</v>
      </c>
      <c r="DH285" s="415">
        <v>0</v>
      </c>
      <c r="DI285" s="410">
        <f t="shared" si="118"/>
        <v>2</v>
      </c>
      <c r="DJ285" s="415">
        <v>0</v>
      </c>
      <c r="DK285" s="415">
        <v>0</v>
      </c>
      <c r="DL285" s="415">
        <v>0</v>
      </c>
      <c r="DM285" s="415">
        <v>0</v>
      </c>
      <c r="DN285" s="415">
        <v>0</v>
      </c>
      <c r="DO285" s="415">
        <v>0</v>
      </c>
      <c r="DP285" s="415">
        <v>0</v>
      </c>
      <c r="DQ285" s="415">
        <v>0</v>
      </c>
      <c r="DR285" s="415">
        <v>4</v>
      </c>
      <c r="DS285" s="415">
        <v>0</v>
      </c>
      <c r="DT285" s="415">
        <v>0</v>
      </c>
      <c r="DU285" s="415">
        <v>0</v>
      </c>
      <c r="DV285" s="410">
        <f t="shared" si="119"/>
        <v>4</v>
      </c>
      <c r="DW285" s="415">
        <v>0</v>
      </c>
      <c r="DX285" s="415">
        <v>0</v>
      </c>
      <c r="DY285" s="415">
        <v>0</v>
      </c>
      <c r="DZ285" s="415">
        <v>0</v>
      </c>
      <c r="EA285" s="415">
        <v>0</v>
      </c>
      <c r="EB285" s="415">
        <v>0</v>
      </c>
      <c r="EC285" s="415">
        <v>0</v>
      </c>
      <c r="ED285" s="415">
        <v>0</v>
      </c>
      <c r="EE285" s="415">
        <v>0</v>
      </c>
      <c r="EF285" s="415">
        <v>0</v>
      </c>
      <c r="EG285" s="415">
        <v>1</v>
      </c>
      <c r="EH285" s="415">
        <v>0</v>
      </c>
      <c r="EI285" s="410">
        <f t="shared" si="120"/>
        <v>1</v>
      </c>
      <c r="EJ285" s="415">
        <v>0</v>
      </c>
      <c r="EK285" s="415">
        <v>0</v>
      </c>
      <c r="EL285" s="415">
        <v>0</v>
      </c>
      <c r="EM285" s="415">
        <v>0</v>
      </c>
      <c r="EN285" s="415">
        <v>0</v>
      </c>
      <c r="EO285" s="415">
        <v>0</v>
      </c>
      <c r="EP285" s="415">
        <v>0</v>
      </c>
      <c r="EQ285" s="415">
        <v>0</v>
      </c>
      <c r="ER285" s="415">
        <v>0</v>
      </c>
      <c r="ES285" s="415">
        <v>0</v>
      </c>
      <c r="ET285" s="415">
        <v>0</v>
      </c>
      <c r="EU285" s="415">
        <v>1</v>
      </c>
      <c r="EV285" s="410">
        <f t="shared" si="121"/>
        <v>1</v>
      </c>
      <c r="EW285" s="416">
        <f t="shared" si="122"/>
        <v>8</v>
      </c>
      <c r="EX285" s="417">
        <f>IFERROR(VLOOKUP(H285,CEI_012018!$A$1:$U$509,9,FALSE),0)</f>
        <v>0</v>
      </c>
      <c r="EY285" s="417">
        <f>IFERROR(VLOOKUP(H285,CEI_022018!$A$1:$U$509,9,FALSE),0)</f>
        <v>0</v>
      </c>
      <c r="EZ285" s="417">
        <f>IFERROR(VLOOKUP(H285,CEI_032018!$A$1:$U$509,9,FALSE),0)</f>
        <v>0</v>
      </c>
      <c r="FA285" s="417">
        <f>IFERROR(VLOOKUP(H285,CEI_042018!$A$1:$U$491,9,FALSE),0)</f>
        <v>0</v>
      </c>
      <c r="FB285" s="417">
        <f>IFERROR(VLOOKUP(H285,CEI_052018!$A$1:$U$489,9,FALSE),0)</f>
        <v>0</v>
      </c>
      <c r="FC285" s="417">
        <f>IFERROR(VLOOKUP(H285,CEI_062018!$A$1:$U$489,9,FALSE),0)</f>
        <v>0</v>
      </c>
      <c r="FD285" s="417">
        <f>IFERROR(VLOOKUP(H285,CEI_072018!$A$1:$U$489,9,FALSE),0)</f>
        <v>0</v>
      </c>
      <c r="FE285" s="417">
        <f>IFERROR(VLOOKUP(H285,CEI_082018!$A$1:$U$489,9,FALSE),0)</f>
        <v>0</v>
      </c>
      <c r="FF285" s="417">
        <f>IFERROR(VLOOKUP(H285,CEI_092018!$A$1:$U$489,9,FALSE),0)</f>
        <v>0</v>
      </c>
      <c r="FG285" s="417"/>
      <c r="FH285" s="417"/>
      <c r="FI285" s="417"/>
      <c r="FJ285" s="418">
        <f>IFERROR(VLOOKUP(H285,CEI_092018!$A$1:$U$489,12,FALSE),0)</f>
        <v>0</v>
      </c>
      <c r="FK285" s="418">
        <f t="shared" si="99"/>
        <v>0</v>
      </c>
      <c r="FL285" s="418">
        <f t="shared" si="100"/>
        <v>0</v>
      </c>
      <c r="FM285" s="417"/>
      <c r="FN285" s="417"/>
      <c r="FO285" s="417"/>
      <c r="FP285" s="417"/>
      <c r="FQ285" s="417"/>
      <c r="FR285" s="417"/>
      <c r="FS285" s="417"/>
      <c r="FT285" s="417"/>
      <c r="FU285" s="417"/>
      <c r="FV285" s="417"/>
      <c r="FW285" s="417"/>
      <c r="FX285" s="417"/>
      <c r="FY285" s="418"/>
      <c r="FZ285" s="418"/>
      <c r="GA285" s="418"/>
      <c r="GB285" s="417"/>
      <c r="GC285" s="417"/>
      <c r="GD285" s="417"/>
      <c r="GE285" s="417"/>
      <c r="GF285" s="417"/>
      <c r="GG285" s="417"/>
      <c r="GH285" s="417"/>
      <c r="GI285" s="417"/>
      <c r="GJ285" s="417"/>
      <c r="GK285" s="417"/>
      <c r="GL285" s="417"/>
      <c r="GM285" s="417"/>
      <c r="GN285" s="418"/>
      <c r="GO285" s="418"/>
      <c r="GP285" s="418"/>
      <c r="GQ285" s="417"/>
      <c r="GR285" s="417"/>
      <c r="GS285" s="417"/>
      <c r="GT285" s="417"/>
      <c r="GU285" s="417"/>
      <c r="GV285" s="417"/>
      <c r="GW285" s="417"/>
      <c r="GX285" s="417"/>
      <c r="GY285" s="417"/>
      <c r="GZ285" s="417"/>
      <c r="HA285" s="417"/>
      <c r="HB285" s="417"/>
      <c r="HC285" s="418"/>
      <c r="HD285" s="418"/>
      <c r="HE285" s="418"/>
      <c r="HF285" s="417"/>
      <c r="HG285" s="417"/>
      <c r="HH285" s="417"/>
      <c r="HI285" s="417"/>
      <c r="HJ285" s="417"/>
      <c r="HK285" s="417"/>
      <c r="HL285" s="417"/>
      <c r="HM285" s="417"/>
      <c r="HN285" s="417"/>
      <c r="HO285" s="417"/>
      <c r="HP285" s="417"/>
      <c r="HQ285" s="417"/>
      <c r="HR285" s="418"/>
      <c r="HS285" s="418"/>
      <c r="HT285" s="418"/>
    </row>
    <row r="286" spans="1:228" s="387" customFormat="1" ht="12.75" customHeight="1" x14ac:dyDescent="0.2">
      <c r="A286" s="406" t="s">
        <v>55</v>
      </c>
      <c r="B286" s="407" t="s">
        <v>40</v>
      </c>
      <c r="C286" s="406" t="s">
        <v>297</v>
      </c>
      <c r="D286" s="407" t="s">
        <v>1002</v>
      </c>
      <c r="E286" s="407" t="s">
        <v>297</v>
      </c>
      <c r="F286" s="407" t="s">
        <v>1002</v>
      </c>
      <c r="G286" s="406" t="s">
        <v>54</v>
      </c>
      <c r="H286" s="408" t="s">
        <v>520</v>
      </c>
      <c r="I286" s="408" t="s">
        <v>57</v>
      </c>
      <c r="J286" s="406" t="s">
        <v>680</v>
      </c>
      <c r="K286" s="406" t="s">
        <v>681</v>
      </c>
      <c r="L286" s="406" t="s">
        <v>682</v>
      </c>
      <c r="M286" s="406" t="s">
        <v>1770</v>
      </c>
      <c r="N286" s="452">
        <v>0</v>
      </c>
      <c r="O286" s="452">
        <v>0</v>
      </c>
      <c r="P286" s="452">
        <v>0</v>
      </c>
      <c r="Q286" s="452">
        <v>0</v>
      </c>
      <c r="R286" s="452">
        <v>0</v>
      </c>
      <c r="S286" s="452">
        <v>0</v>
      </c>
      <c r="T286" s="452">
        <v>0</v>
      </c>
      <c r="U286" s="409">
        <v>0</v>
      </c>
      <c r="V286" s="409">
        <v>0</v>
      </c>
      <c r="W286" s="409">
        <v>0</v>
      </c>
      <c r="X286" s="409">
        <v>0</v>
      </c>
      <c r="Y286" s="409">
        <v>0</v>
      </c>
      <c r="Z286" s="453">
        <f t="shared" si="108"/>
        <v>0</v>
      </c>
      <c r="AA286" s="452">
        <v>0</v>
      </c>
      <c r="AB286" s="452">
        <v>0</v>
      </c>
      <c r="AC286" s="452">
        <v>0</v>
      </c>
      <c r="AD286" s="452">
        <v>0</v>
      </c>
      <c r="AE286" s="452">
        <v>0</v>
      </c>
      <c r="AF286" s="452">
        <v>50</v>
      </c>
      <c r="AG286" s="452">
        <v>0</v>
      </c>
      <c r="AH286" s="409">
        <v>0</v>
      </c>
      <c r="AI286" s="409">
        <v>0</v>
      </c>
      <c r="AJ286" s="409">
        <v>0</v>
      </c>
      <c r="AK286" s="409">
        <v>0</v>
      </c>
      <c r="AL286" s="409">
        <v>0</v>
      </c>
      <c r="AM286" s="453">
        <f t="shared" si="103"/>
        <v>50</v>
      </c>
      <c r="AN286" s="452">
        <v>0</v>
      </c>
      <c r="AO286" s="452">
        <v>0</v>
      </c>
      <c r="AP286" s="452">
        <v>0</v>
      </c>
      <c r="AQ286" s="452">
        <v>0</v>
      </c>
      <c r="AR286" s="452">
        <v>0</v>
      </c>
      <c r="AS286" s="452">
        <v>0</v>
      </c>
      <c r="AT286" s="452">
        <v>0</v>
      </c>
      <c r="AU286" s="409">
        <v>0</v>
      </c>
      <c r="AV286" s="409">
        <v>0</v>
      </c>
      <c r="AW286" s="409">
        <v>176</v>
      </c>
      <c r="AX286" s="409">
        <v>0</v>
      </c>
      <c r="AY286" s="409">
        <v>0</v>
      </c>
      <c r="AZ286" s="453">
        <f t="shared" si="104"/>
        <v>176</v>
      </c>
      <c r="BA286" s="452">
        <v>0</v>
      </c>
      <c r="BB286" s="452">
        <v>0</v>
      </c>
      <c r="BC286" s="452">
        <v>0</v>
      </c>
      <c r="BD286" s="452">
        <v>0</v>
      </c>
      <c r="BE286" s="452">
        <v>0</v>
      </c>
      <c r="BF286" s="452">
        <v>0</v>
      </c>
      <c r="BG286" s="452">
        <v>0</v>
      </c>
      <c r="BH286" s="409">
        <v>0</v>
      </c>
      <c r="BI286" s="409">
        <v>0</v>
      </c>
      <c r="BJ286" s="409">
        <v>0</v>
      </c>
      <c r="BK286" s="409">
        <v>269.59800000000001</v>
      </c>
      <c r="BL286" s="409">
        <v>0</v>
      </c>
      <c r="BM286" s="453">
        <f t="shared" si="105"/>
        <v>269.59800000000001</v>
      </c>
      <c r="BN286" s="452">
        <v>0</v>
      </c>
      <c r="BO286" s="452">
        <v>0</v>
      </c>
      <c r="BP286" s="452">
        <v>0</v>
      </c>
      <c r="BQ286" s="452">
        <v>0</v>
      </c>
      <c r="BR286" s="452">
        <v>0</v>
      </c>
      <c r="BS286" s="452">
        <v>0</v>
      </c>
      <c r="BT286" s="452">
        <v>0</v>
      </c>
      <c r="BU286" s="409">
        <v>0</v>
      </c>
      <c r="BV286" s="409">
        <v>0</v>
      </c>
      <c r="BW286" s="409">
        <v>0</v>
      </c>
      <c r="BX286" s="409">
        <v>0</v>
      </c>
      <c r="BY286" s="409">
        <v>261.09899999999999</v>
      </c>
      <c r="BZ286" s="453">
        <f t="shared" si="106"/>
        <v>261.09899999999999</v>
      </c>
      <c r="CA286" s="454">
        <f t="shared" si="107"/>
        <v>756.697</v>
      </c>
      <c r="CB286" s="411"/>
      <c r="CC286" s="411"/>
      <c r="CD286" s="411"/>
      <c r="CE286" s="411"/>
      <c r="CF286" s="411"/>
      <c r="CG286" s="412"/>
      <c r="CH286" s="413"/>
      <c r="CI286" s="414" t="s">
        <v>1603</v>
      </c>
      <c r="CJ286" s="415">
        <v>0</v>
      </c>
      <c r="CK286" s="415">
        <v>0</v>
      </c>
      <c r="CL286" s="415">
        <v>0</v>
      </c>
      <c r="CM286" s="415">
        <v>0</v>
      </c>
      <c r="CN286" s="415">
        <v>0</v>
      </c>
      <c r="CO286" s="415">
        <v>0</v>
      </c>
      <c r="CP286" s="415">
        <v>0</v>
      </c>
      <c r="CQ286" s="415">
        <v>0</v>
      </c>
      <c r="CR286" s="415">
        <v>0</v>
      </c>
      <c r="CS286" s="415">
        <v>0</v>
      </c>
      <c r="CT286" s="415">
        <v>0</v>
      </c>
      <c r="CU286" s="415">
        <v>0</v>
      </c>
      <c r="CV286" s="410">
        <f t="shared" si="117"/>
        <v>0</v>
      </c>
      <c r="CW286" s="415">
        <v>0</v>
      </c>
      <c r="CX286" s="415">
        <v>0</v>
      </c>
      <c r="CY286" s="415">
        <v>0</v>
      </c>
      <c r="CZ286" s="415">
        <v>0</v>
      </c>
      <c r="DA286" s="415">
        <v>0</v>
      </c>
      <c r="DB286" s="415">
        <v>7.0652173913043477</v>
      </c>
      <c r="DC286" s="415">
        <v>0</v>
      </c>
      <c r="DD286" s="415">
        <v>0</v>
      </c>
      <c r="DE286" s="415">
        <v>0</v>
      </c>
      <c r="DF286" s="415">
        <v>0</v>
      </c>
      <c r="DG286" s="415">
        <v>0</v>
      </c>
      <c r="DH286" s="415">
        <v>0</v>
      </c>
      <c r="DI286" s="410">
        <f t="shared" si="118"/>
        <v>7.0652173913043477</v>
      </c>
      <c r="DJ286" s="415">
        <v>0</v>
      </c>
      <c r="DK286" s="415">
        <v>0</v>
      </c>
      <c r="DL286" s="415">
        <v>0</v>
      </c>
      <c r="DM286" s="415">
        <v>0</v>
      </c>
      <c r="DN286" s="415">
        <v>0</v>
      </c>
      <c r="DO286" s="415">
        <v>0</v>
      </c>
      <c r="DP286" s="415">
        <v>0</v>
      </c>
      <c r="DQ286" s="415">
        <v>0</v>
      </c>
      <c r="DR286" s="415">
        <v>0</v>
      </c>
      <c r="DS286" s="415">
        <v>24.869565217391305</v>
      </c>
      <c r="DT286" s="415">
        <v>0</v>
      </c>
      <c r="DU286" s="415">
        <v>0</v>
      </c>
      <c r="DV286" s="410">
        <f t="shared" si="119"/>
        <v>24.869565217391305</v>
      </c>
      <c r="DW286" s="415">
        <v>0</v>
      </c>
      <c r="DX286" s="415">
        <v>0</v>
      </c>
      <c r="DY286" s="415">
        <v>0</v>
      </c>
      <c r="DZ286" s="415">
        <v>0</v>
      </c>
      <c r="EA286" s="415">
        <v>0</v>
      </c>
      <c r="EB286" s="415">
        <v>0</v>
      </c>
      <c r="EC286" s="415">
        <v>0</v>
      </c>
      <c r="ED286" s="415">
        <v>0</v>
      </c>
      <c r="EE286" s="415">
        <v>0</v>
      </c>
      <c r="EF286" s="415">
        <v>0</v>
      </c>
      <c r="EG286" s="415">
        <v>7</v>
      </c>
      <c r="EH286" s="415">
        <v>0</v>
      </c>
      <c r="EI286" s="410">
        <f t="shared" si="120"/>
        <v>7</v>
      </c>
      <c r="EJ286" s="415">
        <v>0</v>
      </c>
      <c r="EK286" s="415">
        <v>0</v>
      </c>
      <c r="EL286" s="415">
        <v>0</v>
      </c>
      <c r="EM286" s="415">
        <v>0</v>
      </c>
      <c r="EN286" s="415">
        <v>0</v>
      </c>
      <c r="EO286" s="415">
        <v>0</v>
      </c>
      <c r="EP286" s="415">
        <v>0</v>
      </c>
      <c r="EQ286" s="415">
        <v>0</v>
      </c>
      <c r="ER286" s="415">
        <v>0</v>
      </c>
      <c r="ES286" s="415">
        <v>0</v>
      </c>
      <c r="ET286" s="415">
        <v>0</v>
      </c>
      <c r="EU286" s="415">
        <v>4.804347826086957</v>
      </c>
      <c r="EV286" s="410">
        <f t="shared" si="121"/>
        <v>4.804347826086957</v>
      </c>
      <c r="EW286" s="416">
        <f t="shared" si="122"/>
        <v>43.739130434782609</v>
      </c>
      <c r="EX286" s="417">
        <f>IFERROR(VLOOKUP(H286,CEI_012018!$A$1:$U$509,9,FALSE),0)</f>
        <v>0</v>
      </c>
      <c r="EY286" s="417">
        <f>IFERROR(VLOOKUP(H286,CEI_022018!$A$1:$U$509,9,FALSE),0)</f>
        <v>0</v>
      </c>
      <c r="EZ286" s="417">
        <f>IFERROR(VLOOKUP(H286,CEI_032018!$A$1:$U$509,9,FALSE),0)</f>
        <v>0</v>
      </c>
      <c r="FA286" s="417">
        <f>IFERROR(VLOOKUP(H286,CEI_042018!$A$1:$U$491,9,FALSE),0)</f>
        <v>0</v>
      </c>
      <c r="FB286" s="417">
        <f>IFERROR(VLOOKUP(H286,CEI_052018!$A$1:$U$489,9,FALSE),0)</f>
        <v>0</v>
      </c>
      <c r="FC286" s="417">
        <f>IFERROR(VLOOKUP(H286,CEI_062018!$A$1:$U$489,9,FALSE),0)</f>
        <v>0</v>
      </c>
      <c r="FD286" s="417">
        <f>IFERROR(VLOOKUP(H286,CEI_072018!$A$1:$U$489,9,FALSE),0)</f>
        <v>0</v>
      </c>
      <c r="FE286" s="417">
        <f>IFERROR(VLOOKUP(H286,CEI_082018!$A$1:$U$489,9,FALSE),0)</f>
        <v>0</v>
      </c>
      <c r="FF286" s="417">
        <f>IFERROR(VLOOKUP(H286,CEI_092018!$A$1:$U$489,9,FALSE),0)</f>
        <v>0</v>
      </c>
      <c r="FG286" s="417"/>
      <c r="FH286" s="417"/>
      <c r="FI286" s="417"/>
      <c r="FJ286" s="418">
        <f>IFERROR(VLOOKUP(H286,CEI_092018!$A$1:$U$489,12,FALSE),0)</f>
        <v>0</v>
      </c>
      <c r="FK286" s="418">
        <f t="shared" si="99"/>
        <v>0</v>
      </c>
      <c r="FL286" s="418">
        <f t="shared" si="100"/>
        <v>0</v>
      </c>
      <c r="FM286" s="417"/>
      <c r="FN286" s="417"/>
      <c r="FO286" s="417"/>
      <c r="FP286" s="417"/>
      <c r="FQ286" s="417"/>
      <c r="FR286" s="417"/>
      <c r="FS286" s="417"/>
      <c r="FT286" s="417"/>
      <c r="FU286" s="417"/>
      <c r="FV286" s="417"/>
      <c r="FW286" s="417"/>
      <c r="FX286" s="417"/>
      <c r="FY286" s="418"/>
      <c r="FZ286" s="418"/>
      <c r="GA286" s="418"/>
      <c r="GB286" s="417"/>
      <c r="GC286" s="417"/>
      <c r="GD286" s="417"/>
      <c r="GE286" s="417"/>
      <c r="GF286" s="417"/>
      <c r="GG286" s="417"/>
      <c r="GH286" s="417"/>
      <c r="GI286" s="417"/>
      <c r="GJ286" s="417"/>
      <c r="GK286" s="417"/>
      <c r="GL286" s="417"/>
      <c r="GM286" s="417"/>
      <c r="GN286" s="418"/>
      <c r="GO286" s="418"/>
      <c r="GP286" s="418"/>
      <c r="GQ286" s="417"/>
      <c r="GR286" s="417"/>
      <c r="GS286" s="417"/>
      <c r="GT286" s="417"/>
      <c r="GU286" s="417"/>
      <c r="GV286" s="417"/>
      <c r="GW286" s="417"/>
      <c r="GX286" s="417"/>
      <c r="GY286" s="417"/>
      <c r="GZ286" s="417"/>
      <c r="HA286" s="417"/>
      <c r="HB286" s="417"/>
      <c r="HC286" s="418"/>
      <c r="HD286" s="418"/>
      <c r="HE286" s="418"/>
      <c r="HF286" s="417"/>
      <c r="HG286" s="417"/>
      <c r="HH286" s="417"/>
      <c r="HI286" s="417"/>
      <c r="HJ286" s="417"/>
      <c r="HK286" s="417"/>
      <c r="HL286" s="417"/>
      <c r="HM286" s="417"/>
      <c r="HN286" s="417"/>
      <c r="HO286" s="417"/>
      <c r="HP286" s="417"/>
      <c r="HQ286" s="417"/>
      <c r="HR286" s="418"/>
      <c r="HS286" s="418"/>
      <c r="HT286" s="418"/>
    </row>
    <row r="287" spans="1:228" s="387" customFormat="1" ht="12.75" customHeight="1" x14ac:dyDescent="0.2">
      <c r="A287" s="406" t="s">
        <v>55</v>
      </c>
      <c r="B287" s="407" t="s">
        <v>40</v>
      </c>
      <c r="C287" s="406" t="s">
        <v>297</v>
      </c>
      <c r="D287" s="407" t="s">
        <v>1002</v>
      </c>
      <c r="E287" s="407" t="s">
        <v>297</v>
      </c>
      <c r="F287" s="407" t="s">
        <v>1002</v>
      </c>
      <c r="G287" s="406" t="s">
        <v>54</v>
      </c>
      <c r="H287" s="408" t="s">
        <v>520</v>
      </c>
      <c r="I287" s="408" t="s">
        <v>57</v>
      </c>
      <c r="J287" s="406" t="s">
        <v>683</v>
      </c>
      <c r="K287" s="406" t="s">
        <v>684</v>
      </c>
      <c r="L287" s="406" t="s">
        <v>670</v>
      </c>
      <c r="M287" s="406" t="s">
        <v>1778</v>
      </c>
      <c r="N287" s="452">
        <v>0</v>
      </c>
      <c r="O287" s="452">
        <v>0</v>
      </c>
      <c r="P287" s="452">
        <v>0</v>
      </c>
      <c r="Q287" s="452">
        <v>0</v>
      </c>
      <c r="R287" s="452">
        <v>0</v>
      </c>
      <c r="S287" s="452">
        <v>0</v>
      </c>
      <c r="T287" s="452">
        <v>0</v>
      </c>
      <c r="U287" s="409">
        <v>0</v>
      </c>
      <c r="V287" s="409">
        <v>0</v>
      </c>
      <c r="W287" s="409">
        <v>0</v>
      </c>
      <c r="X287" s="409">
        <v>0</v>
      </c>
      <c r="Y287" s="409">
        <v>0</v>
      </c>
      <c r="Z287" s="453">
        <f t="shared" si="108"/>
        <v>0</v>
      </c>
      <c r="AA287" s="452">
        <v>0</v>
      </c>
      <c r="AB287" s="452">
        <v>0</v>
      </c>
      <c r="AC287" s="452">
        <v>0</v>
      </c>
      <c r="AD287" s="452">
        <v>0</v>
      </c>
      <c r="AE287" s="452">
        <v>0</v>
      </c>
      <c r="AF287" s="452">
        <v>100</v>
      </c>
      <c r="AG287" s="452">
        <v>0</v>
      </c>
      <c r="AH287" s="409">
        <v>0</v>
      </c>
      <c r="AI287" s="409">
        <v>0</v>
      </c>
      <c r="AJ287" s="409">
        <v>0</v>
      </c>
      <c r="AK287" s="409">
        <v>0</v>
      </c>
      <c r="AL287" s="409">
        <v>0</v>
      </c>
      <c r="AM287" s="453">
        <f t="shared" si="103"/>
        <v>100</v>
      </c>
      <c r="AN287" s="452">
        <v>0</v>
      </c>
      <c r="AO287" s="452">
        <v>0</v>
      </c>
      <c r="AP287" s="452">
        <v>0</v>
      </c>
      <c r="AQ287" s="452">
        <v>0</v>
      </c>
      <c r="AR287" s="452">
        <v>0</v>
      </c>
      <c r="AS287" s="452">
        <v>0</v>
      </c>
      <c r="AT287" s="452">
        <v>0</v>
      </c>
      <c r="AU287" s="409">
        <v>0</v>
      </c>
      <c r="AV287" s="409">
        <v>288</v>
      </c>
      <c r="AW287" s="409">
        <v>0</v>
      </c>
      <c r="AX287" s="409">
        <v>0</v>
      </c>
      <c r="AY287" s="409">
        <v>0</v>
      </c>
      <c r="AZ287" s="453">
        <f t="shared" si="104"/>
        <v>288</v>
      </c>
      <c r="BA287" s="452">
        <v>0</v>
      </c>
      <c r="BB287" s="452">
        <v>0</v>
      </c>
      <c r="BC287" s="452">
        <v>0</v>
      </c>
      <c r="BD287" s="452">
        <v>0</v>
      </c>
      <c r="BE287" s="452">
        <v>0</v>
      </c>
      <c r="BF287" s="452">
        <v>0</v>
      </c>
      <c r="BG287" s="452">
        <v>0</v>
      </c>
      <c r="BH287" s="409">
        <v>0</v>
      </c>
      <c r="BI287" s="409">
        <v>0</v>
      </c>
      <c r="BJ287" s="409">
        <v>0</v>
      </c>
      <c r="BK287" s="409">
        <v>224.029</v>
      </c>
      <c r="BL287" s="409">
        <v>0</v>
      </c>
      <c r="BM287" s="453">
        <f t="shared" si="105"/>
        <v>224.029</v>
      </c>
      <c r="BN287" s="452">
        <v>0</v>
      </c>
      <c r="BO287" s="452">
        <v>0</v>
      </c>
      <c r="BP287" s="452">
        <v>0</v>
      </c>
      <c r="BQ287" s="452">
        <v>0</v>
      </c>
      <c r="BR287" s="452">
        <v>0</v>
      </c>
      <c r="BS287" s="452">
        <v>0</v>
      </c>
      <c r="BT287" s="452">
        <v>0</v>
      </c>
      <c r="BU287" s="409">
        <v>0</v>
      </c>
      <c r="BV287" s="409">
        <v>0</v>
      </c>
      <c r="BW287" s="409">
        <v>0</v>
      </c>
      <c r="BX287" s="409">
        <v>0</v>
      </c>
      <c r="BY287" s="409">
        <v>85.27</v>
      </c>
      <c r="BZ287" s="453">
        <f t="shared" si="106"/>
        <v>85.27</v>
      </c>
      <c r="CA287" s="454">
        <f t="shared" si="107"/>
        <v>697.29899999999998</v>
      </c>
      <c r="CB287" s="411"/>
      <c r="CC287" s="411"/>
      <c r="CD287" s="411"/>
      <c r="CE287" s="411"/>
      <c r="CF287" s="411"/>
      <c r="CG287" s="412"/>
      <c r="CH287" s="413"/>
      <c r="CI287" s="414" t="s">
        <v>1603</v>
      </c>
      <c r="CJ287" s="415">
        <v>0</v>
      </c>
      <c r="CK287" s="415">
        <v>0</v>
      </c>
      <c r="CL287" s="415">
        <v>0</v>
      </c>
      <c r="CM287" s="415">
        <v>0</v>
      </c>
      <c r="CN287" s="415">
        <v>0</v>
      </c>
      <c r="CO287" s="415">
        <v>0</v>
      </c>
      <c r="CP287" s="415">
        <v>0</v>
      </c>
      <c r="CQ287" s="415">
        <v>0</v>
      </c>
      <c r="CR287" s="415">
        <v>0</v>
      </c>
      <c r="CS287" s="415">
        <v>0</v>
      </c>
      <c r="CT287" s="415">
        <v>0</v>
      </c>
      <c r="CU287" s="415">
        <v>0</v>
      </c>
      <c r="CV287" s="410">
        <f t="shared" si="117"/>
        <v>0</v>
      </c>
      <c r="CW287" s="415">
        <v>0</v>
      </c>
      <c r="CX287" s="415">
        <v>0</v>
      </c>
      <c r="CY287" s="415">
        <v>0</v>
      </c>
      <c r="CZ287" s="415">
        <v>0</v>
      </c>
      <c r="DA287" s="415">
        <v>0</v>
      </c>
      <c r="DB287" s="415">
        <v>1</v>
      </c>
      <c r="DC287" s="415">
        <v>0</v>
      </c>
      <c r="DD287" s="415">
        <v>0</v>
      </c>
      <c r="DE287" s="415">
        <v>0</v>
      </c>
      <c r="DF287" s="415">
        <v>0</v>
      </c>
      <c r="DG287" s="415">
        <v>0</v>
      </c>
      <c r="DH287" s="415">
        <v>0</v>
      </c>
      <c r="DI287" s="410">
        <f t="shared" si="118"/>
        <v>1</v>
      </c>
      <c r="DJ287" s="415">
        <v>0</v>
      </c>
      <c r="DK287" s="415">
        <v>0</v>
      </c>
      <c r="DL287" s="415">
        <v>0</v>
      </c>
      <c r="DM287" s="415">
        <v>0</v>
      </c>
      <c r="DN287" s="415">
        <v>0</v>
      </c>
      <c r="DO287" s="415">
        <v>0</v>
      </c>
      <c r="DP287" s="415">
        <v>0</v>
      </c>
      <c r="DQ287" s="415">
        <v>0</v>
      </c>
      <c r="DR287" s="415">
        <v>3</v>
      </c>
      <c r="DS287" s="415">
        <v>0</v>
      </c>
      <c r="DT287" s="415">
        <v>0</v>
      </c>
      <c r="DU287" s="415">
        <v>0</v>
      </c>
      <c r="DV287" s="410">
        <f t="shared" si="119"/>
        <v>3</v>
      </c>
      <c r="DW287" s="415">
        <v>0</v>
      </c>
      <c r="DX287" s="415">
        <v>0</v>
      </c>
      <c r="DY287" s="415">
        <v>0</v>
      </c>
      <c r="DZ287" s="415">
        <v>0</v>
      </c>
      <c r="EA287" s="415">
        <v>0</v>
      </c>
      <c r="EB287" s="415">
        <v>0</v>
      </c>
      <c r="EC287" s="415">
        <v>0</v>
      </c>
      <c r="ED287" s="415">
        <v>0</v>
      </c>
      <c r="EE287" s="415">
        <v>0</v>
      </c>
      <c r="EF287" s="415">
        <v>0</v>
      </c>
      <c r="EG287" s="415">
        <v>2</v>
      </c>
      <c r="EH287" s="415">
        <v>0</v>
      </c>
      <c r="EI287" s="410">
        <f t="shared" si="120"/>
        <v>2</v>
      </c>
      <c r="EJ287" s="415">
        <v>0</v>
      </c>
      <c r="EK287" s="415">
        <v>0</v>
      </c>
      <c r="EL287" s="415">
        <v>0</v>
      </c>
      <c r="EM287" s="415">
        <v>0</v>
      </c>
      <c r="EN287" s="415">
        <v>0</v>
      </c>
      <c r="EO287" s="415">
        <v>0</v>
      </c>
      <c r="EP287" s="415">
        <v>0</v>
      </c>
      <c r="EQ287" s="415">
        <v>0</v>
      </c>
      <c r="ER287" s="415">
        <v>0</v>
      </c>
      <c r="ES287" s="415">
        <v>0</v>
      </c>
      <c r="ET287" s="415">
        <v>0</v>
      </c>
      <c r="EU287" s="415">
        <v>1</v>
      </c>
      <c r="EV287" s="410">
        <f t="shared" si="121"/>
        <v>1</v>
      </c>
      <c r="EW287" s="416">
        <f t="shared" si="122"/>
        <v>7</v>
      </c>
      <c r="EX287" s="417">
        <f>IFERROR(VLOOKUP(H287,CEI_012018!$A$1:$U$509,9,FALSE),0)</f>
        <v>0</v>
      </c>
      <c r="EY287" s="417">
        <f>IFERROR(VLOOKUP(H287,CEI_022018!$A$1:$U$509,9,FALSE),0)</f>
        <v>0</v>
      </c>
      <c r="EZ287" s="417">
        <f>IFERROR(VLOOKUP(H287,CEI_032018!$A$1:$U$509,9,FALSE),0)</f>
        <v>0</v>
      </c>
      <c r="FA287" s="417">
        <f>IFERROR(VLOOKUP(H287,CEI_042018!$A$1:$U$491,9,FALSE),0)</f>
        <v>0</v>
      </c>
      <c r="FB287" s="417">
        <f>IFERROR(VLOOKUP(H287,CEI_052018!$A$1:$U$489,9,FALSE),0)</f>
        <v>0</v>
      </c>
      <c r="FC287" s="417">
        <f>IFERROR(VLOOKUP(H287,CEI_062018!$A$1:$U$489,9,FALSE),0)</f>
        <v>0</v>
      </c>
      <c r="FD287" s="417">
        <f>IFERROR(VLOOKUP(H287,CEI_072018!$A$1:$U$489,9,FALSE),0)</f>
        <v>0</v>
      </c>
      <c r="FE287" s="417">
        <f>IFERROR(VLOOKUP(H287,CEI_082018!$A$1:$U$489,9,FALSE),0)</f>
        <v>0</v>
      </c>
      <c r="FF287" s="417">
        <f>IFERROR(VLOOKUP(H287,CEI_092018!$A$1:$U$489,9,FALSE),0)</f>
        <v>0</v>
      </c>
      <c r="FG287" s="417"/>
      <c r="FH287" s="417"/>
      <c r="FI287" s="417"/>
      <c r="FJ287" s="418">
        <f>IFERROR(VLOOKUP(H287,CEI_092018!$A$1:$U$489,12,FALSE),0)</f>
        <v>0</v>
      </c>
      <c r="FK287" s="418">
        <f t="shared" si="99"/>
        <v>0</v>
      </c>
      <c r="FL287" s="418">
        <f t="shared" si="100"/>
        <v>0</v>
      </c>
      <c r="FM287" s="417"/>
      <c r="FN287" s="417"/>
      <c r="FO287" s="417"/>
      <c r="FP287" s="417"/>
      <c r="FQ287" s="417"/>
      <c r="FR287" s="417"/>
      <c r="FS287" s="417"/>
      <c r="FT287" s="417"/>
      <c r="FU287" s="417"/>
      <c r="FV287" s="417"/>
      <c r="FW287" s="417"/>
      <c r="FX287" s="417"/>
      <c r="FY287" s="418"/>
      <c r="FZ287" s="418"/>
      <c r="GA287" s="418"/>
      <c r="GB287" s="417"/>
      <c r="GC287" s="417"/>
      <c r="GD287" s="417"/>
      <c r="GE287" s="417"/>
      <c r="GF287" s="417"/>
      <c r="GG287" s="417"/>
      <c r="GH287" s="417"/>
      <c r="GI287" s="417"/>
      <c r="GJ287" s="417"/>
      <c r="GK287" s="417"/>
      <c r="GL287" s="417"/>
      <c r="GM287" s="417"/>
      <c r="GN287" s="418"/>
      <c r="GO287" s="418"/>
      <c r="GP287" s="418"/>
      <c r="GQ287" s="417"/>
      <c r="GR287" s="417"/>
      <c r="GS287" s="417"/>
      <c r="GT287" s="417"/>
      <c r="GU287" s="417"/>
      <c r="GV287" s="417"/>
      <c r="GW287" s="417"/>
      <c r="GX287" s="417"/>
      <c r="GY287" s="417"/>
      <c r="GZ287" s="417"/>
      <c r="HA287" s="417"/>
      <c r="HB287" s="417"/>
      <c r="HC287" s="418"/>
      <c r="HD287" s="418"/>
      <c r="HE287" s="418"/>
      <c r="HF287" s="417"/>
      <c r="HG287" s="417"/>
      <c r="HH287" s="417"/>
      <c r="HI287" s="417"/>
      <c r="HJ287" s="417"/>
      <c r="HK287" s="417"/>
      <c r="HL287" s="417"/>
      <c r="HM287" s="417"/>
      <c r="HN287" s="417"/>
      <c r="HO287" s="417"/>
      <c r="HP287" s="417"/>
      <c r="HQ287" s="417"/>
      <c r="HR287" s="418"/>
      <c r="HS287" s="418"/>
      <c r="HT287" s="418"/>
    </row>
    <row r="288" spans="1:228" s="387" customFormat="1" ht="12.75" customHeight="1" x14ac:dyDescent="0.2">
      <c r="A288" s="406" t="s">
        <v>55</v>
      </c>
      <c r="B288" s="407" t="s">
        <v>40</v>
      </c>
      <c r="C288" s="406" t="s">
        <v>297</v>
      </c>
      <c r="D288" s="407" t="s">
        <v>1536</v>
      </c>
      <c r="E288" s="407" t="s">
        <v>297</v>
      </c>
      <c r="F288" s="407" t="s">
        <v>1536</v>
      </c>
      <c r="G288" s="406" t="s">
        <v>54</v>
      </c>
      <c r="H288" s="408" t="s">
        <v>1251</v>
      </c>
      <c r="I288" s="408" t="s">
        <v>1253</v>
      </c>
      <c r="J288" s="406" t="s">
        <v>1252</v>
      </c>
      <c r="K288" s="406" t="s">
        <v>1538</v>
      </c>
      <c r="L288" s="406" t="s">
        <v>1541</v>
      </c>
      <c r="M288" s="406" t="s">
        <v>1779</v>
      </c>
      <c r="N288" s="452">
        <v>0</v>
      </c>
      <c r="O288" s="452">
        <v>0</v>
      </c>
      <c r="P288" s="452">
        <v>0</v>
      </c>
      <c r="Q288" s="452">
        <v>0</v>
      </c>
      <c r="R288" s="452">
        <v>0</v>
      </c>
      <c r="S288" s="452">
        <v>0</v>
      </c>
      <c r="T288" s="452">
        <v>0</v>
      </c>
      <c r="U288" s="409">
        <v>16.879440307617187</v>
      </c>
      <c r="V288" s="409">
        <v>43.06</v>
      </c>
      <c r="W288" s="409">
        <v>47.98536</v>
      </c>
      <c r="X288" s="409">
        <v>0</v>
      </c>
      <c r="Y288" s="409">
        <v>0</v>
      </c>
      <c r="Z288" s="453">
        <f t="shared" si="108"/>
        <v>107.92480030761719</v>
      </c>
      <c r="AA288" s="452"/>
      <c r="AB288" s="452"/>
      <c r="AC288" s="452"/>
      <c r="AD288" s="452"/>
      <c r="AE288" s="452"/>
      <c r="AF288" s="452"/>
      <c r="AG288" s="452"/>
      <c r="AH288" s="409"/>
      <c r="AI288" s="409"/>
      <c r="AJ288" s="409"/>
      <c r="AK288" s="409"/>
      <c r="AL288" s="409"/>
      <c r="AM288" s="453">
        <f t="shared" si="103"/>
        <v>0</v>
      </c>
      <c r="AN288" s="452">
        <v>0</v>
      </c>
      <c r="AO288" s="452">
        <v>0</v>
      </c>
      <c r="AP288" s="452">
        <v>0</v>
      </c>
      <c r="AQ288" s="452">
        <v>0</v>
      </c>
      <c r="AR288" s="452">
        <v>0</v>
      </c>
      <c r="AS288" s="452">
        <v>0</v>
      </c>
      <c r="AT288" s="452">
        <v>0</v>
      </c>
      <c r="AU288" s="409">
        <v>0</v>
      </c>
      <c r="AV288" s="409">
        <v>0</v>
      </c>
      <c r="AW288" s="409">
        <v>0</v>
      </c>
      <c r="AX288" s="409">
        <v>0</v>
      </c>
      <c r="AY288" s="409">
        <v>0</v>
      </c>
      <c r="AZ288" s="453">
        <f t="shared" si="104"/>
        <v>0</v>
      </c>
      <c r="BA288" s="452">
        <v>0</v>
      </c>
      <c r="BB288" s="452">
        <v>0</v>
      </c>
      <c r="BC288" s="452">
        <v>0</v>
      </c>
      <c r="BD288" s="452">
        <v>0</v>
      </c>
      <c r="BE288" s="452">
        <v>0</v>
      </c>
      <c r="BF288" s="452">
        <v>0</v>
      </c>
      <c r="BG288" s="452">
        <v>0</v>
      </c>
      <c r="BH288" s="409">
        <v>0</v>
      </c>
      <c r="BI288" s="409">
        <v>0</v>
      </c>
      <c r="BJ288" s="409">
        <v>0</v>
      </c>
      <c r="BK288" s="409">
        <v>0</v>
      </c>
      <c r="BL288" s="409">
        <v>0</v>
      </c>
      <c r="BM288" s="453">
        <f t="shared" si="105"/>
        <v>0</v>
      </c>
      <c r="BN288" s="452">
        <v>0</v>
      </c>
      <c r="BO288" s="452">
        <v>0</v>
      </c>
      <c r="BP288" s="452">
        <v>0</v>
      </c>
      <c r="BQ288" s="452">
        <v>0</v>
      </c>
      <c r="BR288" s="452">
        <v>0</v>
      </c>
      <c r="BS288" s="452">
        <v>0</v>
      </c>
      <c r="BT288" s="452">
        <v>0</v>
      </c>
      <c r="BU288" s="409">
        <v>0</v>
      </c>
      <c r="BV288" s="409">
        <v>0</v>
      </c>
      <c r="BW288" s="409">
        <v>0</v>
      </c>
      <c r="BX288" s="409">
        <v>0</v>
      </c>
      <c r="BY288" s="409">
        <v>0</v>
      </c>
      <c r="BZ288" s="453">
        <f t="shared" si="106"/>
        <v>0</v>
      </c>
      <c r="CA288" s="454">
        <f t="shared" si="107"/>
        <v>107.92480030761719</v>
      </c>
      <c r="CB288" s="419"/>
      <c r="CC288" s="419">
        <v>1</v>
      </c>
      <c r="CD288" s="419">
        <v>1</v>
      </c>
      <c r="CE288" s="419">
        <v>1</v>
      </c>
      <c r="CF288" s="419">
        <v>1</v>
      </c>
      <c r="CG288" s="420">
        <f>IFERROR((FE288/Z288%),0)</f>
        <v>15.640001426461623</v>
      </c>
      <c r="CH288" s="421">
        <f>IFERROR((FK288/Z288%),0)</f>
        <v>33.978890725893159</v>
      </c>
      <c r="CI288" s="414" t="s">
        <v>1603</v>
      </c>
      <c r="CJ288" s="415">
        <v>0</v>
      </c>
      <c r="CK288" s="415">
        <v>0</v>
      </c>
      <c r="CL288" s="415">
        <v>0</v>
      </c>
      <c r="CM288" s="415">
        <v>0</v>
      </c>
      <c r="CN288" s="415">
        <v>0</v>
      </c>
      <c r="CO288" s="415">
        <v>0</v>
      </c>
      <c r="CP288" s="415">
        <v>0</v>
      </c>
      <c r="CQ288" s="415">
        <v>0</v>
      </c>
      <c r="CR288" s="415">
        <v>2</v>
      </c>
      <c r="CS288" s="415">
        <v>3</v>
      </c>
      <c r="CT288" s="415">
        <v>0</v>
      </c>
      <c r="CU288" s="415">
        <v>0</v>
      </c>
      <c r="CV288" s="410">
        <f t="shared" si="117"/>
        <v>5</v>
      </c>
      <c r="CW288" s="415">
        <v>0</v>
      </c>
      <c r="CX288" s="415">
        <v>0</v>
      </c>
      <c r="CY288" s="415">
        <v>0</v>
      </c>
      <c r="CZ288" s="415">
        <v>0</v>
      </c>
      <c r="DA288" s="415">
        <v>0</v>
      </c>
      <c r="DB288" s="415">
        <v>0</v>
      </c>
      <c r="DC288" s="415">
        <v>0</v>
      </c>
      <c r="DD288" s="415">
        <v>0</v>
      </c>
      <c r="DE288" s="415">
        <v>0</v>
      </c>
      <c r="DF288" s="415">
        <v>0</v>
      </c>
      <c r="DG288" s="415">
        <v>0</v>
      </c>
      <c r="DH288" s="415">
        <v>0</v>
      </c>
      <c r="DI288" s="410">
        <f t="shared" si="118"/>
        <v>0</v>
      </c>
      <c r="DJ288" s="415">
        <v>0</v>
      </c>
      <c r="DK288" s="415">
        <v>0</v>
      </c>
      <c r="DL288" s="415">
        <v>0</v>
      </c>
      <c r="DM288" s="415">
        <v>0</v>
      </c>
      <c r="DN288" s="415">
        <v>0</v>
      </c>
      <c r="DO288" s="415">
        <v>0</v>
      </c>
      <c r="DP288" s="415">
        <v>0</v>
      </c>
      <c r="DQ288" s="415">
        <v>0</v>
      </c>
      <c r="DR288" s="415">
        <v>0</v>
      </c>
      <c r="DS288" s="415">
        <v>0</v>
      </c>
      <c r="DT288" s="415">
        <v>0</v>
      </c>
      <c r="DU288" s="415">
        <v>0</v>
      </c>
      <c r="DV288" s="410">
        <f t="shared" si="119"/>
        <v>0</v>
      </c>
      <c r="DW288" s="415">
        <v>0</v>
      </c>
      <c r="DX288" s="415">
        <v>0</v>
      </c>
      <c r="DY288" s="415">
        <v>0</v>
      </c>
      <c r="DZ288" s="415">
        <v>0</v>
      </c>
      <c r="EA288" s="415">
        <v>0</v>
      </c>
      <c r="EB288" s="415">
        <v>0</v>
      </c>
      <c r="EC288" s="415">
        <v>0</v>
      </c>
      <c r="ED288" s="415">
        <v>0</v>
      </c>
      <c r="EE288" s="415">
        <v>0</v>
      </c>
      <c r="EF288" s="415">
        <v>0</v>
      </c>
      <c r="EG288" s="415">
        <v>0</v>
      </c>
      <c r="EH288" s="415">
        <v>0</v>
      </c>
      <c r="EI288" s="410">
        <f t="shared" si="120"/>
        <v>0</v>
      </c>
      <c r="EJ288" s="415">
        <v>0</v>
      </c>
      <c r="EK288" s="415">
        <v>0</v>
      </c>
      <c r="EL288" s="415">
        <v>0</v>
      </c>
      <c r="EM288" s="415">
        <v>0</v>
      </c>
      <c r="EN288" s="415">
        <v>0</v>
      </c>
      <c r="EO288" s="415">
        <v>0</v>
      </c>
      <c r="EP288" s="415">
        <v>0</v>
      </c>
      <c r="EQ288" s="415">
        <v>0</v>
      </c>
      <c r="ER288" s="415">
        <v>0</v>
      </c>
      <c r="ES288" s="415">
        <v>0</v>
      </c>
      <c r="ET288" s="415">
        <v>0</v>
      </c>
      <c r="EU288" s="415">
        <v>0</v>
      </c>
      <c r="EV288" s="410">
        <f t="shared" si="121"/>
        <v>0</v>
      </c>
      <c r="EW288" s="416">
        <f t="shared" si="122"/>
        <v>5</v>
      </c>
      <c r="EX288" s="417">
        <f>IFERROR(VLOOKUP(H288,CEI_012018!$A$1:$U$509,9,FALSE),0)</f>
        <v>0</v>
      </c>
      <c r="EY288" s="417">
        <f>IFERROR(VLOOKUP(H288,CEI_022018!$A$1:$U$509,9,FALSE),0)</f>
        <v>0</v>
      </c>
      <c r="EZ288" s="417">
        <f>IFERROR(VLOOKUP(H288,CEI_032018!$A$1:$U$509,9,FALSE),0)</f>
        <v>0</v>
      </c>
      <c r="FA288" s="417">
        <f>IFERROR(VLOOKUP(H288,CEI_042018!$A$1:$U$491,9,FALSE),0)</f>
        <v>0</v>
      </c>
      <c r="FB288" s="417">
        <f>IFERROR(VLOOKUP(H288,CEI_052018!$A$1:$U$489,9,FALSE),0)</f>
        <v>0</v>
      </c>
      <c r="FC288" s="417">
        <f>IFERROR(VLOOKUP(H288,CEI_062018!$A$1:$U$489,9,FALSE),0)</f>
        <v>0</v>
      </c>
      <c r="FD288" s="417">
        <f>IFERROR(VLOOKUP(H288,CEI_072018!$A$1:$U$489,9,FALSE),0)</f>
        <v>0</v>
      </c>
      <c r="FE288" s="417">
        <f>IFERROR(VLOOKUP(H288,CEI_082018!$A$1:$U$489,9,FALSE),0)</f>
        <v>16.879440307617187</v>
      </c>
      <c r="FF288" s="417">
        <f>IFERROR(VLOOKUP(H288,CEI_092018!$A$1:$U$489,9,FALSE),0)</f>
        <v>35.139549970626831</v>
      </c>
      <c r="FG288" s="417"/>
      <c r="FH288" s="417"/>
      <c r="FI288" s="417"/>
      <c r="FJ288" s="418">
        <f>IFERROR(VLOOKUP(H288,CEI_092018!$A$1:$U$489,12,FALSE),0)</f>
        <v>1.5320999920368195</v>
      </c>
      <c r="FK288" s="418">
        <f t="shared" si="99"/>
        <v>36.671649962663651</v>
      </c>
      <c r="FL288" s="418">
        <f t="shared" si="100"/>
        <v>71.253150344953539</v>
      </c>
      <c r="FM288" s="417"/>
      <c r="FN288" s="417"/>
      <c r="FO288" s="417"/>
      <c r="FP288" s="417"/>
      <c r="FQ288" s="417"/>
      <c r="FR288" s="417"/>
      <c r="FS288" s="417"/>
      <c r="FT288" s="417"/>
      <c r="FU288" s="417"/>
      <c r="FV288" s="417"/>
      <c r="FW288" s="417"/>
      <c r="FX288" s="417"/>
      <c r="FY288" s="418"/>
      <c r="FZ288" s="418"/>
      <c r="GA288" s="418"/>
      <c r="GB288" s="417"/>
      <c r="GC288" s="417"/>
      <c r="GD288" s="417"/>
      <c r="GE288" s="417"/>
      <c r="GF288" s="417"/>
      <c r="GG288" s="417"/>
      <c r="GH288" s="417"/>
      <c r="GI288" s="417"/>
      <c r="GJ288" s="417"/>
      <c r="GK288" s="417"/>
      <c r="GL288" s="417"/>
      <c r="GM288" s="417"/>
      <c r="GN288" s="418"/>
      <c r="GO288" s="418"/>
      <c r="GP288" s="418"/>
      <c r="GQ288" s="417"/>
      <c r="GR288" s="417"/>
      <c r="GS288" s="417"/>
      <c r="GT288" s="417"/>
      <c r="GU288" s="417"/>
      <c r="GV288" s="417"/>
      <c r="GW288" s="417"/>
      <c r="GX288" s="417"/>
      <c r="GY288" s="417"/>
      <c r="GZ288" s="417"/>
      <c r="HA288" s="417"/>
      <c r="HB288" s="417"/>
      <c r="HC288" s="418"/>
      <c r="HD288" s="418"/>
      <c r="HE288" s="418"/>
      <c r="HF288" s="417"/>
      <c r="HG288" s="417"/>
      <c r="HH288" s="417"/>
      <c r="HI288" s="417"/>
      <c r="HJ288" s="417"/>
      <c r="HK288" s="417"/>
      <c r="HL288" s="417"/>
      <c r="HM288" s="417"/>
      <c r="HN288" s="417"/>
      <c r="HO288" s="417"/>
      <c r="HP288" s="417"/>
      <c r="HQ288" s="417"/>
      <c r="HR288" s="418"/>
      <c r="HS288" s="418"/>
      <c r="HT288" s="418"/>
    </row>
    <row r="289" spans="1:228" s="387" customFormat="1" ht="12.75" customHeight="1" x14ac:dyDescent="0.2">
      <c r="A289" s="406" t="s">
        <v>55</v>
      </c>
      <c r="B289" s="407" t="s">
        <v>40</v>
      </c>
      <c r="C289" s="406" t="s">
        <v>297</v>
      </c>
      <c r="D289" s="407" t="s">
        <v>1002</v>
      </c>
      <c r="E289" s="407" t="s">
        <v>297</v>
      </c>
      <c r="F289" s="407" t="s">
        <v>1002</v>
      </c>
      <c r="G289" s="406" t="s">
        <v>54</v>
      </c>
      <c r="H289" s="408" t="s">
        <v>1593</v>
      </c>
      <c r="I289" s="408" t="s">
        <v>1594</v>
      </c>
      <c r="J289" s="406" t="s">
        <v>689</v>
      </c>
      <c r="K289" s="406" t="s">
        <v>690</v>
      </c>
      <c r="L289" s="406" t="s">
        <v>670</v>
      </c>
      <c r="M289" s="406" t="s">
        <v>1781</v>
      </c>
      <c r="N289" s="452">
        <v>0</v>
      </c>
      <c r="O289" s="452">
        <v>0</v>
      </c>
      <c r="P289" s="452">
        <v>0</v>
      </c>
      <c r="Q289" s="452">
        <v>0</v>
      </c>
      <c r="R289" s="452">
        <v>0</v>
      </c>
      <c r="S289" s="452">
        <v>0</v>
      </c>
      <c r="T289" s="452">
        <v>0</v>
      </c>
      <c r="U289" s="409">
        <v>19.600669860839844</v>
      </c>
      <c r="V289" s="409">
        <v>20</v>
      </c>
      <c r="W289" s="409">
        <v>548.86657000000002</v>
      </c>
      <c r="X289" s="409">
        <v>450</v>
      </c>
      <c r="Y289" s="409">
        <v>1130.39933</v>
      </c>
      <c r="Z289" s="453">
        <f t="shared" si="108"/>
        <v>2168.8665698608402</v>
      </c>
      <c r="AA289" s="452">
        <v>0</v>
      </c>
      <c r="AB289" s="452">
        <v>0</v>
      </c>
      <c r="AC289" s="452">
        <v>0</v>
      </c>
      <c r="AD289" s="452">
        <v>0</v>
      </c>
      <c r="AE289" s="452">
        <v>0</v>
      </c>
      <c r="AF289" s="452">
        <v>0</v>
      </c>
      <c r="AG289" s="452">
        <v>0</v>
      </c>
      <c r="AH289" s="409">
        <v>0</v>
      </c>
      <c r="AI289" s="409">
        <v>0</v>
      </c>
      <c r="AJ289" s="409">
        <v>500</v>
      </c>
      <c r="AK289" s="409">
        <v>500</v>
      </c>
      <c r="AL289" s="409">
        <v>1000</v>
      </c>
      <c r="AM289" s="453">
        <f t="shared" si="103"/>
        <v>2000</v>
      </c>
      <c r="AN289" s="452">
        <v>0</v>
      </c>
      <c r="AO289" s="452">
        <v>0</v>
      </c>
      <c r="AP289" s="452">
        <v>0</v>
      </c>
      <c r="AQ289" s="452">
        <v>0</v>
      </c>
      <c r="AR289" s="452">
        <v>0</v>
      </c>
      <c r="AS289" s="452">
        <v>0</v>
      </c>
      <c r="AT289" s="452">
        <v>0</v>
      </c>
      <c r="AU289" s="409">
        <v>0</v>
      </c>
      <c r="AV289" s="409">
        <v>1000</v>
      </c>
      <c r="AW289" s="409">
        <v>1000</v>
      </c>
      <c r="AX289" s="409">
        <v>1000</v>
      </c>
      <c r="AY289" s="409">
        <v>1000</v>
      </c>
      <c r="AZ289" s="453">
        <f t="shared" si="104"/>
        <v>4000</v>
      </c>
      <c r="BA289" s="452">
        <v>0</v>
      </c>
      <c r="BB289" s="452">
        <v>0</v>
      </c>
      <c r="BC289" s="452">
        <v>0</v>
      </c>
      <c r="BD289" s="452">
        <v>0</v>
      </c>
      <c r="BE289" s="452">
        <v>0</v>
      </c>
      <c r="BF289" s="452">
        <v>0</v>
      </c>
      <c r="BG289" s="452">
        <v>0</v>
      </c>
      <c r="BH289" s="409">
        <v>0</v>
      </c>
      <c r="BI289" s="409">
        <v>0</v>
      </c>
      <c r="BJ289" s="409">
        <v>2000</v>
      </c>
      <c r="BK289" s="409">
        <v>2000</v>
      </c>
      <c r="BL289" s="409">
        <v>1000</v>
      </c>
      <c r="BM289" s="453">
        <f t="shared" si="105"/>
        <v>5000</v>
      </c>
      <c r="BN289" s="452">
        <v>0</v>
      </c>
      <c r="BO289" s="452">
        <v>0</v>
      </c>
      <c r="BP289" s="452">
        <v>0</v>
      </c>
      <c r="BQ289" s="452">
        <v>0</v>
      </c>
      <c r="BR289" s="452">
        <v>0</v>
      </c>
      <c r="BS289" s="452">
        <v>0</v>
      </c>
      <c r="BT289" s="452">
        <v>0</v>
      </c>
      <c r="BU289" s="409">
        <v>0</v>
      </c>
      <c r="BV289" s="409">
        <v>2000</v>
      </c>
      <c r="BW289" s="409">
        <v>2000</v>
      </c>
      <c r="BX289" s="409">
        <v>2000</v>
      </c>
      <c r="BY289" s="409">
        <v>2028.39463</v>
      </c>
      <c r="BZ289" s="453">
        <f t="shared" si="106"/>
        <v>8028.3946299999998</v>
      </c>
      <c r="CA289" s="454">
        <f t="shared" si="107"/>
        <v>21197.261199860841</v>
      </c>
      <c r="CB289" s="419"/>
      <c r="CC289" s="419">
        <v>1</v>
      </c>
      <c r="CD289" s="419">
        <v>1</v>
      </c>
      <c r="CE289" s="419">
        <v>1</v>
      </c>
      <c r="CF289" s="419">
        <v>1</v>
      </c>
      <c r="CG289" s="420">
        <f>IFERROR((FE289/Z289%),0)</f>
        <v>0.90372870941975325</v>
      </c>
      <c r="CH289" s="421">
        <f>IFERROR((FK289/Z289%),0)</f>
        <v>26.188867444744556</v>
      </c>
      <c r="CI289" s="414" t="s">
        <v>1603</v>
      </c>
      <c r="CJ289" s="415">
        <v>0</v>
      </c>
      <c r="CK289" s="415">
        <v>0</v>
      </c>
      <c r="CL289" s="415">
        <v>0</v>
      </c>
      <c r="CM289" s="415">
        <v>0</v>
      </c>
      <c r="CN289" s="415">
        <v>0</v>
      </c>
      <c r="CO289" s="415">
        <v>0</v>
      </c>
      <c r="CP289" s="415">
        <v>0</v>
      </c>
      <c r="CQ289" s="415">
        <v>0</v>
      </c>
      <c r="CR289" s="415">
        <v>13.818897637795276</v>
      </c>
      <c r="CS289" s="415">
        <v>0</v>
      </c>
      <c r="CT289" s="415">
        <v>9.21259842519685</v>
      </c>
      <c r="CU289" s="415">
        <v>0</v>
      </c>
      <c r="CV289" s="410">
        <f t="shared" si="117"/>
        <v>23.031496062992126</v>
      </c>
      <c r="CW289" s="415">
        <v>0</v>
      </c>
      <c r="CX289" s="415">
        <v>0</v>
      </c>
      <c r="CY289" s="415">
        <v>0</v>
      </c>
      <c r="CZ289" s="415">
        <v>0</v>
      </c>
      <c r="DA289" s="415">
        <v>0</v>
      </c>
      <c r="DB289" s="415">
        <v>0</v>
      </c>
      <c r="DC289" s="415">
        <v>0</v>
      </c>
      <c r="DD289" s="415">
        <v>0</v>
      </c>
      <c r="DE289" s="415">
        <v>0</v>
      </c>
      <c r="DF289" s="415">
        <v>3.9370078740157481</v>
      </c>
      <c r="DG289" s="415">
        <v>3.9370078740157481</v>
      </c>
      <c r="DH289" s="415">
        <v>7.8740157480314963</v>
      </c>
      <c r="DI289" s="410">
        <f t="shared" si="118"/>
        <v>15.748031496062993</v>
      </c>
      <c r="DJ289" s="415">
        <v>0</v>
      </c>
      <c r="DK289" s="415">
        <v>0</v>
      </c>
      <c r="DL289" s="415">
        <v>0</v>
      </c>
      <c r="DM289" s="415">
        <v>0</v>
      </c>
      <c r="DN289" s="415">
        <v>0</v>
      </c>
      <c r="DO289" s="415">
        <v>0</v>
      </c>
      <c r="DP289" s="415">
        <v>0</v>
      </c>
      <c r="DQ289" s="415">
        <v>0</v>
      </c>
      <c r="DR289" s="415">
        <v>7.8740157480314963</v>
      </c>
      <c r="DS289" s="415">
        <v>7.8740157480314963</v>
      </c>
      <c r="DT289" s="415">
        <v>7.8740157480314963</v>
      </c>
      <c r="DU289" s="415">
        <v>7.8740157480314963</v>
      </c>
      <c r="DV289" s="410">
        <f t="shared" si="119"/>
        <v>31.496062992125985</v>
      </c>
      <c r="DW289" s="415">
        <v>0</v>
      </c>
      <c r="DX289" s="415">
        <v>0</v>
      </c>
      <c r="DY289" s="415">
        <v>0</v>
      </c>
      <c r="DZ289" s="415">
        <v>0</v>
      </c>
      <c r="EA289" s="415">
        <v>0</v>
      </c>
      <c r="EB289" s="415">
        <v>0</v>
      </c>
      <c r="EC289" s="415">
        <v>0</v>
      </c>
      <c r="ED289" s="415">
        <v>0</v>
      </c>
      <c r="EE289" s="415">
        <v>0</v>
      </c>
      <c r="EF289" s="415">
        <v>15.748031496062993</v>
      </c>
      <c r="EG289" s="415">
        <v>15.748031496062993</v>
      </c>
      <c r="EH289" s="415">
        <v>7.8740157480314963</v>
      </c>
      <c r="EI289" s="410">
        <f t="shared" si="120"/>
        <v>39.370078740157481</v>
      </c>
      <c r="EJ289" s="415">
        <v>0</v>
      </c>
      <c r="EK289" s="415">
        <v>0</v>
      </c>
      <c r="EL289" s="415">
        <v>0</v>
      </c>
      <c r="EM289" s="415">
        <v>0</v>
      </c>
      <c r="EN289" s="415">
        <v>0</v>
      </c>
      <c r="EO289" s="415">
        <v>0</v>
      </c>
      <c r="EP289" s="415">
        <v>0</v>
      </c>
      <c r="EQ289" s="415">
        <v>0</v>
      </c>
      <c r="ER289" s="415">
        <v>15.748031496062993</v>
      </c>
      <c r="ES289" s="415">
        <v>15.748031496062993</v>
      </c>
      <c r="ET289" s="415">
        <v>15.748031496062993</v>
      </c>
      <c r="EU289" s="415">
        <v>15.748031496062993</v>
      </c>
      <c r="EV289" s="410">
        <f t="shared" si="121"/>
        <v>62.99212598425197</v>
      </c>
      <c r="EW289" s="416">
        <f t="shared" si="122"/>
        <v>172.63779527559055</v>
      </c>
      <c r="EX289" s="417">
        <f>IFERROR(VLOOKUP(H289,CEI_012018!$A$1:$U$509,9,FALSE),0)</f>
        <v>0</v>
      </c>
      <c r="EY289" s="417">
        <f>IFERROR(VLOOKUP(H289,CEI_022018!$A$1:$U$509,9,FALSE),0)</f>
        <v>0</v>
      </c>
      <c r="EZ289" s="417">
        <f>IFERROR(VLOOKUP(H289,CEI_032018!$A$1:$U$509,9,FALSE),0)</f>
        <v>0</v>
      </c>
      <c r="FA289" s="417">
        <f>IFERROR(VLOOKUP(H289,CEI_042018!$A$1:$U$491,9,FALSE),0)</f>
        <v>0</v>
      </c>
      <c r="FB289" s="417">
        <f>IFERROR(VLOOKUP(H289,CEI_052018!$A$1:$U$489,9,FALSE),0)</f>
        <v>0</v>
      </c>
      <c r="FC289" s="417">
        <f>IFERROR(VLOOKUP(H289,CEI_062018!$A$1:$U$489,9,FALSE),0)</f>
        <v>0</v>
      </c>
      <c r="FD289" s="417">
        <f>IFERROR(VLOOKUP(H289,CEI_072018!$A$1:$U$489,9,FALSE),0)</f>
        <v>0</v>
      </c>
      <c r="FE289" s="417">
        <f>IFERROR(VLOOKUP(H289,CEI_082018!$A$1:$U$489,9,FALSE),0)</f>
        <v>19.600669860839844</v>
      </c>
      <c r="FF289" s="417">
        <f>IFERROR(VLOOKUP(H289,CEI_092018!$A$1:$U$489,9,FALSE),0)</f>
        <v>75.714519381523132</v>
      </c>
      <c r="FG289" s="417"/>
      <c r="FH289" s="417"/>
      <c r="FI289" s="417"/>
      <c r="FJ289" s="418">
        <f>IFERROR(VLOOKUP(H289,CEI_092018!$A$1:$U$489,12,FALSE),0)</f>
        <v>492.28707165271044</v>
      </c>
      <c r="FK289" s="418">
        <f t="shared" si="99"/>
        <v>568.00159103423357</v>
      </c>
      <c r="FL289" s="418">
        <f t="shared" si="100"/>
        <v>1600.8649788266066</v>
      </c>
      <c r="FM289" s="417"/>
      <c r="FN289" s="417"/>
      <c r="FO289" s="417"/>
      <c r="FP289" s="417"/>
      <c r="FQ289" s="417"/>
      <c r="FR289" s="417"/>
      <c r="FS289" s="417"/>
      <c r="FT289" s="417"/>
      <c r="FU289" s="417"/>
      <c r="FV289" s="417"/>
      <c r="FW289" s="417"/>
      <c r="FX289" s="417"/>
      <c r="FY289" s="418"/>
      <c r="FZ289" s="418"/>
      <c r="GA289" s="418"/>
      <c r="GB289" s="417"/>
      <c r="GC289" s="417"/>
      <c r="GD289" s="417"/>
      <c r="GE289" s="417"/>
      <c r="GF289" s="417"/>
      <c r="GG289" s="417"/>
      <c r="GH289" s="417"/>
      <c r="GI289" s="417"/>
      <c r="GJ289" s="417"/>
      <c r="GK289" s="417"/>
      <c r="GL289" s="417"/>
      <c r="GM289" s="417"/>
      <c r="GN289" s="418"/>
      <c r="GO289" s="418"/>
      <c r="GP289" s="418"/>
      <c r="GQ289" s="417"/>
      <c r="GR289" s="417"/>
      <c r="GS289" s="417"/>
      <c r="GT289" s="417"/>
      <c r="GU289" s="417"/>
      <c r="GV289" s="417"/>
      <c r="GW289" s="417"/>
      <c r="GX289" s="417"/>
      <c r="GY289" s="417"/>
      <c r="GZ289" s="417"/>
      <c r="HA289" s="417"/>
      <c r="HB289" s="417"/>
      <c r="HC289" s="418"/>
      <c r="HD289" s="418"/>
      <c r="HE289" s="418"/>
      <c r="HF289" s="417"/>
      <c r="HG289" s="417"/>
      <c r="HH289" s="417"/>
      <c r="HI289" s="417"/>
      <c r="HJ289" s="417"/>
      <c r="HK289" s="417"/>
      <c r="HL289" s="417"/>
      <c r="HM289" s="417"/>
      <c r="HN289" s="417"/>
      <c r="HO289" s="417"/>
      <c r="HP289" s="417"/>
      <c r="HQ289" s="417"/>
      <c r="HR289" s="418"/>
      <c r="HS289" s="418"/>
      <c r="HT289" s="418"/>
    </row>
    <row r="290" spans="1:228" s="387" customFormat="1" ht="12.75" customHeight="1" x14ac:dyDescent="0.2">
      <c r="A290" s="406" t="s">
        <v>55</v>
      </c>
      <c r="B290" s="407" t="s">
        <v>40</v>
      </c>
      <c r="C290" s="406" t="s">
        <v>297</v>
      </c>
      <c r="D290" s="407" t="s">
        <v>1002</v>
      </c>
      <c r="E290" s="407" t="s">
        <v>297</v>
      </c>
      <c r="F290" s="407" t="s">
        <v>1002</v>
      </c>
      <c r="G290" s="406" t="s">
        <v>54</v>
      </c>
      <c r="H290" s="408" t="s">
        <v>520</v>
      </c>
      <c r="I290" s="408" t="s">
        <v>57</v>
      </c>
      <c r="J290" s="406" t="s">
        <v>687</v>
      </c>
      <c r="K290" s="406" t="s">
        <v>688</v>
      </c>
      <c r="L290" s="406" t="s">
        <v>670</v>
      </c>
      <c r="M290" s="406" t="s">
        <v>1770</v>
      </c>
      <c r="N290" s="452">
        <v>0</v>
      </c>
      <c r="O290" s="452">
        <v>0</v>
      </c>
      <c r="P290" s="452">
        <v>0</v>
      </c>
      <c r="Q290" s="452">
        <v>0</v>
      </c>
      <c r="R290" s="452">
        <v>0</v>
      </c>
      <c r="S290" s="452">
        <v>0</v>
      </c>
      <c r="T290" s="452">
        <v>0</v>
      </c>
      <c r="U290" s="409">
        <v>0</v>
      </c>
      <c r="V290" s="409">
        <v>0</v>
      </c>
      <c r="W290" s="409">
        <v>0</v>
      </c>
      <c r="X290" s="409">
        <v>0</v>
      </c>
      <c r="Y290" s="409">
        <v>0</v>
      </c>
      <c r="Z290" s="453">
        <f t="shared" si="108"/>
        <v>0</v>
      </c>
      <c r="AA290" s="452">
        <v>0</v>
      </c>
      <c r="AB290" s="452">
        <v>0</v>
      </c>
      <c r="AC290" s="452">
        <v>0</v>
      </c>
      <c r="AD290" s="452">
        <v>0</v>
      </c>
      <c r="AE290" s="452">
        <v>0</v>
      </c>
      <c r="AF290" s="452">
        <v>0</v>
      </c>
      <c r="AG290" s="452">
        <v>0</v>
      </c>
      <c r="AH290" s="409">
        <v>0</v>
      </c>
      <c r="AI290" s="409">
        <v>0</v>
      </c>
      <c r="AJ290" s="409">
        <v>0</v>
      </c>
      <c r="AK290" s="409">
        <v>0</v>
      </c>
      <c r="AL290" s="409">
        <v>0</v>
      </c>
      <c r="AM290" s="453">
        <f t="shared" si="103"/>
        <v>0</v>
      </c>
      <c r="AN290" s="452">
        <v>0</v>
      </c>
      <c r="AO290" s="452">
        <v>0</v>
      </c>
      <c r="AP290" s="452">
        <v>0</v>
      </c>
      <c r="AQ290" s="452">
        <v>0</v>
      </c>
      <c r="AR290" s="452">
        <v>0</v>
      </c>
      <c r="AS290" s="452">
        <v>0</v>
      </c>
      <c r="AT290" s="452">
        <v>0</v>
      </c>
      <c r="AU290" s="409">
        <v>0</v>
      </c>
      <c r="AV290" s="409">
        <v>0</v>
      </c>
      <c r="AW290" s="409">
        <v>0</v>
      </c>
      <c r="AX290" s="409">
        <v>0</v>
      </c>
      <c r="AY290" s="409">
        <v>58</v>
      </c>
      <c r="AZ290" s="453">
        <f t="shared" si="104"/>
        <v>58</v>
      </c>
      <c r="BA290" s="452">
        <v>0</v>
      </c>
      <c r="BB290" s="452">
        <v>0</v>
      </c>
      <c r="BC290" s="452">
        <v>0</v>
      </c>
      <c r="BD290" s="452">
        <v>0</v>
      </c>
      <c r="BE290" s="452">
        <v>0</v>
      </c>
      <c r="BF290" s="452">
        <v>0</v>
      </c>
      <c r="BG290" s="452">
        <v>0</v>
      </c>
      <c r="BH290" s="409">
        <v>0</v>
      </c>
      <c r="BI290" s="409">
        <v>0</v>
      </c>
      <c r="BJ290" s="409">
        <v>0</v>
      </c>
      <c r="BK290" s="409">
        <v>26</v>
      </c>
      <c r="BL290" s="409">
        <v>0</v>
      </c>
      <c r="BM290" s="453">
        <f t="shared" si="105"/>
        <v>26</v>
      </c>
      <c r="BN290" s="452">
        <v>0</v>
      </c>
      <c r="BO290" s="452">
        <v>0</v>
      </c>
      <c r="BP290" s="452">
        <v>0</v>
      </c>
      <c r="BQ290" s="452">
        <v>0</v>
      </c>
      <c r="BR290" s="452">
        <v>0</v>
      </c>
      <c r="BS290" s="452">
        <v>0</v>
      </c>
      <c r="BT290" s="452">
        <v>0</v>
      </c>
      <c r="BU290" s="409">
        <v>0</v>
      </c>
      <c r="BV290" s="409">
        <v>0</v>
      </c>
      <c r="BW290" s="409">
        <v>0</v>
      </c>
      <c r="BX290" s="409">
        <v>0</v>
      </c>
      <c r="BY290" s="409">
        <v>10.311</v>
      </c>
      <c r="BZ290" s="453">
        <f t="shared" si="106"/>
        <v>10.311</v>
      </c>
      <c r="CA290" s="454">
        <f t="shared" si="107"/>
        <v>94.311000000000007</v>
      </c>
      <c r="CB290" s="411"/>
      <c r="CC290" s="411"/>
      <c r="CD290" s="411"/>
      <c r="CE290" s="411"/>
      <c r="CF290" s="411"/>
      <c r="CG290" s="412"/>
      <c r="CH290" s="413"/>
      <c r="CI290" s="414" t="s">
        <v>1603</v>
      </c>
      <c r="CJ290" s="415">
        <v>0</v>
      </c>
      <c r="CK290" s="415">
        <v>0</v>
      </c>
      <c r="CL290" s="415">
        <v>0</v>
      </c>
      <c r="CM290" s="415">
        <v>0</v>
      </c>
      <c r="CN290" s="415">
        <v>0</v>
      </c>
      <c r="CO290" s="415">
        <v>0</v>
      </c>
      <c r="CP290" s="415">
        <v>0</v>
      </c>
      <c r="CQ290" s="415">
        <v>0</v>
      </c>
      <c r="CR290" s="415">
        <v>0</v>
      </c>
      <c r="CS290" s="415">
        <v>0</v>
      </c>
      <c r="CT290" s="415">
        <v>0</v>
      </c>
      <c r="CU290" s="415">
        <v>0</v>
      </c>
      <c r="CV290" s="410">
        <f t="shared" si="117"/>
        <v>0</v>
      </c>
      <c r="CW290" s="415">
        <v>0</v>
      </c>
      <c r="CX290" s="415">
        <v>0</v>
      </c>
      <c r="CY290" s="415">
        <v>0</v>
      </c>
      <c r="CZ290" s="415">
        <v>0</v>
      </c>
      <c r="DA290" s="415">
        <v>0</v>
      </c>
      <c r="DB290" s="415">
        <v>0</v>
      </c>
      <c r="DC290" s="415">
        <v>0</v>
      </c>
      <c r="DD290" s="415">
        <v>0</v>
      </c>
      <c r="DE290" s="415">
        <v>0</v>
      </c>
      <c r="DF290" s="415">
        <v>0</v>
      </c>
      <c r="DG290" s="415">
        <v>0</v>
      </c>
      <c r="DH290" s="415">
        <v>0</v>
      </c>
      <c r="DI290" s="410">
        <f t="shared" si="118"/>
        <v>0</v>
      </c>
      <c r="DJ290" s="415">
        <v>0</v>
      </c>
      <c r="DK290" s="415">
        <v>0</v>
      </c>
      <c r="DL290" s="415">
        <v>0</v>
      </c>
      <c r="DM290" s="415">
        <v>0</v>
      </c>
      <c r="DN290" s="415">
        <v>0</v>
      </c>
      <c r="DO290" s="415">
        <v>0</v>
      </c>
      <c r="DP290" s="415">
        <v>0</v>
      </c>
      <c r="DQ290" s="415">
        <v>0</v>
      </c>
      <c r="DR290" s="415">
        <v>0</v>
      </c>
      <c r="DS290" s="415">
        <v>0</v>
      </c>
      <c r="DT290" s="415">
        <v>0</v>
      </c>
      <c r="DU290" s="415">
        <v>2</v>
      </c>
      <c r="DV290" s="410">
        <f t="shared" si="119"/>
        <v>2</v>
      </c>
      <c r="DW290" s="415">
        <v>0</v>
      </c>
      <c r="DX290" s="415">
        <v>0</v>
      </c>
      <c r="DY290" s="415">
        <v>0</v>
      </c>
      <c r="DZ290" s="415">
        <v>0</v>
      </c>
      <c r="EA290" s="415">
        <v>0</v>
      </c>
      <c r="EB290" s="415">
        <v>0</v>
      </c>
      <c r="EC290" s="415">
        <v>0</v>
      </c>
      <c r="ED290" s="415">
        <v>0</v>
      </c>
      <c r="EE290" s="415">
        <v>0</v>
      </c>
      <c r="EF290" s="415">
        <v>0</v>
      </c>
      <c r="EG290" s="415">
        <v>1</v>
      </c>
      <c r="EH290" s="415">
        <v>0</v>
      </c>
      <c r="EI290" s="410">
        <f t="shared" si="120"/>
        <v>1</v>
      </c>
      <c r="EJ290" s="415">
        <v>0</v>
      </c>
      <c r="EK290" s="415">
        <v>0</v>
      </c>
      <c r="EL290" s="415">
        <v>0</v>
      </c>
      <c r="EM290" s="415">
        <v>0</v>
      </c>
      <c r="EN290" s="415">
        <v>0</v>
      </c>
      <c r="EO290" s="415">
        <v>0</v>
      </c>
      <c r="EP290" s="415">
        <v>0</v>
      </c>
      <c r="EQ290" s="415">
        <v>0</v>
      </c>
      <c r="ER290" s="415">
        <v>0</v>
      </c>
      <c r="ES290" s="415">
        <v>0</v>
      </c>
      <c r="ET290" s="415">
        <v>0</v>
      </c>
      <c r="EU290" s="415">
        <v>1</v>
      </c>
      <c r="EV290" s="410">
        <f t="shared" si="121"/>
        <v>1</v>
      </c>
      <c r="EW290" s="416">
        <f t="shared" si="122"/>
        <v>4</v>
      </c>
      <c r="EX290" s="417">
        <f>IFERROR(VLOOKUP(H290,CEI_012018!$A$1:$U$509,9,FALSE),0)</f>
        <v>0</v>
      </c>
      <c r="EY290" s="417">
        <f>IFERROR(VLOOKUP(H290,CEI_022018!$A$1:$U$509,9,FALSE),0)</f>
        <v>0</v>
      </c>
      <c r="EZ290" s="417">
        <f>IFERROR(VLOOKUP(H290,CEI_032018!$A$1:$U$509,9,FALSE),0)</f>
        <v>0</v>
      </c>
      <c r="FA290" s="417">
        <f>IFERROR(VLOOKUP(H290,CEI_042018!$A$1:$U$491,9,FALSE),0)</f>
        <v>0</v>
      </c>
      <c r="FB290" s="417">
        <f>IFERROR(VLOOKUP(H290,CEI_052018!$A$1:$U$489,9,FALSE),0)</f>
        <v>0</v>
      </c>
      <c r="FC290" s="417">
        <f>IFERROR(VLOOKUP(H290,CEI_062018!$A$1:$U$489,9,FALSE),0)</f>
        <v>0</v>
      </c>
      <c r="FD290" s="417">
        <f>IFERROR(VLOOKUP(H290,CEI_072018!$A$1:$U$489,9,FALSE),0)</f>
        <v>0</v>
      </c>
      <c r="FE290" s="417">
        <f>IFERROR(VLOOKUP(H290,CEI_082018!$A$1:$U$489,9,FALSE),0)</f>
        <v>0</v>
      </c>
      <c r="FF290" s="417">
        <f>IFERROR(VLOOKUP(H290,CEI_092018!$A$1:$U$489,9,FALSE),0)</f>
        <v>0</v>
      </c>
      <c r="FG290" s="417"/>
      <c r="FH290" s="417"/>
      <c r="FI290" s="417"/>
      <c r="FJ290" s="418">
        <f>IFERROR(VLOOKUP(H290,CEI_092018!$A$1:$U$489,12,FALSE),0)</f>
        <v>0</v>
      </c>
      <c r="FK290" s="418">
        <f t="shared" si="99"/>
        <v>0</v>
      </c>
      <c r="FL290" s="418">
        <f t="shared" si="100"/>
        <v>0</v>
      </c>
      <c r="FM290" s="417"/>
      <c r="FN290" s="417"/>
      <c r="FO290" s="417"/>
      <c r="FP290" s="417"/>
      <c r="FQ290" s="417"/>
      <c r="FR290" s="417"/>
      <c r="FS290" s="417"/>
      <c r="FT290" s="417"/>
      <c r="FU290" s="417"/>
      <c r="FV290" s="417"/>
      <c r="FW290" s="417"/>
      <c r="FX290" s="417"/>
      <c r="FY290" s="418"/>
      <c r="FZ290" s="418"/>
      <c r="GA290" s="418"/>
      <c r="GB290" s="417"/>
      <c r="GC290" s="417"/>
      <c r="GD290" s="417"/>
      <c r="GE290" s="417"/>
      <c r="GF290" s="417"/>
      <c r="GG290" s="417"/>
      <c r="GH290" s="417"/>
      <c r="GI290" s="417"/>
      <c r="GJ290" s="417"/>
      <c r="GK290" s="417"/>
      <c r="GL290" s="417"/>
      <c r="GM290" s="417"/>
      <c r="GN290" s="418"/>
      <c r="GO290" s="418"/>
      <c r="GP290" s="418"/>
      <c r="GQ290" s="417"/>
      <c r="GR290" s="417"/>
      <c r="GS290" s="417"/>
      <c r="GT290" s="417"/>
      <c r="GU290" s="417"/>
      <c r="GV290" s="417"/>
      <c r="GW290" s="417"/>
      <c r="GX290" s="417"/>
      <c r="GY290" s="417"/>
      <c r="GZ290" s="417"/>
      <c r="HA290" s="417"/>
      <c r="HB290" s="417"/>
      <c r="HC290" s="418"/>
      <c r="HD290" s="418"/>
      <c r="HE290" s="418"/>
      <c r="HF290" s="417"/>
      <c r="HG290" s="417"/>
      <c r="HH290" s="417"/>
      <c r="HI290" s="417"/>
      <c r="HJ290" s="417"/>
      <c r="HK290" s="417"/>
      <c r="HL290" s="417"/>
      <c r="HM290" s="417"/>
      <c r="HN290" s="417"/>
      <c r="HO290" s="417"/>
      <c r="HP290" s="417"/>
      <c r="HQ290" s="417"/>
      <c r="HR290" s="418"/>
      <c r="HS290" s="418"/>
      <c r="HT290" s="418"/>
    </row>
    <row r="291" spans="1:228" s="387" customFormat="1" ht="12.75" customHeight="1" x14ac:dyDescent="0.2">
      <c r="A291" s="406" t="s">
        <v>55</v>
      </c>
      <c r="B291" s="407" t="s">
        <v>40</v>
      </c>
      <c r="C291" s="406" t="s">
        <v>297</v>
      </c>
      <c r="D291" s="407" t="s">
        <v>976</v>
      </c>
      <c r="E291" s="407" t="s">
        <v>297</v>
      </c>
      <c r="F291" s="407" t="s">
        <v>976</v>
      </c>
      <c r="G291" s="406" t="s">
        <v>54</v>
      </c>
      <c r="H291" s="408" t="s">
        <v>1460</v>
      </c>
      <c r="I291" s="408" t="s">
        <v>1461</v>
      </c>
      <c r="J291" s="406" t="s">
        <v>944</v>
      </c>
      <c r="K291" s="406" t="s">
        <v>1532</v>
      </c>
      <c r="L291" s="406" t="s">
        <v>1535</v>
      </c>
      <c r="M291" s="406" t="s">
        <v>57</v>
      </c>
      <c r="N291" s="452">
        <v>0</v>
      </c>
      <c r="O291" s="452">
        <v>0</v>
      </c>
      <c r="P291" s="452">
        <v>0</v>
      </c>
      <c r="Q291" s="452">
        <v>0</v>
      </c>
      <c r="R291" s="452">
        <v>0</v>
      </c>
      <c r="S291" s="452">
        <v>0</v>
      </c>
      <c r="T291" s="452">
        <v>0</v>
      </c>
      <c r="U291" s="409">
        <v>0</v>
      </c>
      <c r="V291" s="409">
        <v>0</v>
      </c>
      <c r="W291" s="409">
        <v>0</v>
      </c>
      <c r="X291" s="409">
        <v>192.9</v>
      </c>
      <c r="Y291" s="409">
        <v>7.1</v>
      </c>
      <c r="Z291" s="453">
        <f t="shared" si="108"/>
        <v>200</v>
      </c>
      <c r="AA291" s="452">
        <v>0</v>
      </c>
      <c r="AB291" s="452">
        <v>0</v>
      </c>
      <c r="AC291" s="452">
        <v>0</v>
      </c>
      <c r="AD291" s="452">
        <v>0</v>
      </c>
      <c r="AE291" s="452">
        <v>0</v>
      </c>
      <c r="AF291" s="452">
        <v>0</v>
      </c>
      <c r="AG291" s="452">
        <v>0</v>
      </c>
      <c r="AH291" s="409">
        <v>0</v>
      </c>
      <c r="AI291" s="409">
        <v>0</v>
      </c>
      <c r="AJ291" s="409">
        <v>0</v>
      </c>
      <c r="AK291" s="409">
        <v>0</v>
      </c>
      <c r="AL291" s="409">
        <v>0</v>
      </c>
      <c r="AM291" s="453">
        <f t="shared" si="103"/>
        <v>0</v>
      </c>
      <c r="AN291" s="452">
        <v>0</v>
      </c>
      <c r="AO291" s="452">
        <v>0</v>
      </c>
      <c r="AP291" s="452">
        <v>0</v>
      </c>
      <c r="AQ291" s="452">
        <v>0</v>
      </c>
      <c r="AR291" s="452">
        <v>0</v>
      </c>
      <c r="AS291" s="452">
        <v>0</v>
      </c>
      <c r="AT291" s="452">
        <v>0</v>
      </c>
      <c r="AU291" s="409">
        <v>0</v>
      </c>
      <c r="AV291" s="409">
        <v>0</v>
      </c>
      <c r="AW291" s="409">
        <v>0</v>
      </c>
      <c r="AX291" s="409">
        <v>0</v>
      </c>
      <c r="AY291" s="409">
        <v>0</v>
      </c>
      <c r="AZ291" s="453">
        <f t="shared" si="104"/>
        <v>0</v>
      </c>
      <c r="BA291" s="452">
        <v>0</v>
      </c>
      <c r="BB291" s="452">
        <v>0</v>
      </c>
      <c r="BC291" s="452">
        <v>0</v>
      </c>
      <c r="BD291" s="452">
        <v>0</v>
      </c>
      <c r="BE291" s="452">
        <v>0</v>
      </c>
      <c r="BF291" s="452">
        <v>0</v>
      </c>
      <c r="BG291" s="452">
        <v>0</v>
      </c>
      <c r="BH291" s="409">
        <v>0</v>
      </c>
      <c r="BI291" s="409">
        <v>0</v>
      </c>
      <c r="BJ291" s="409">
        <v>0</v>
      </c>
      <c r="BK291" s="409">
        <v>0</v>
      </c>
      <c r="BL291" s="409">
        <v>0</v>
      </c>
      <c r="BM291" s="453">
        <f t="shared" si="105"/>
        <v>0</v>
      </c>
      <c r="BN291" s="452">
        <v>0</v>
      </c>
      <c r="BO291" s="452">
        <v>0</v>
      </c>
      <c r="BP291" s="452">
        <v>0</v>
      </c>
      <c r="BQ291" s="452">
        <v>0</v>
      </c>
      <c r="BR291" s="452">
        <v>0</v>
      </c>
      <c r="BS291" s="452">
        <v>0</v>
      </c>
      <c r="BT291" s="452">
        <v>0</v>
      </c>
      <c r="BU291" s="409">
        <v>0</v>
      </c>
      <c r="BV291" s="409">
        <v>0</v>
      </c>
      <c r="BW291" s="409">
        <v>0</v>
      </c>
      <c r="BX291" s="409">
        <v>0</v>
      </c>
      <c r="BY291" s="409">
        <v>0</v>
      </c>
      <c r="BZ291" s="453">
        <f t="shared" si="106"/>
        <v>0</v>
      </c>
      <c r="CA291" s="454">
        <f t="shared" si="107"/>
        <v>200</v>
      </c>
      <c r="CB291" s="419"/>
      <c r="CC291" s="419">
        <v>1</v>
      </c>
      <c r="CD291" s="419">
        <v>1</v>
      </c>
      <c r="CE291" s="419">
        <v>1</v>
      </c>
      <c r="CF291" s="419">
        <v>1</v>
      </c>
      <c r="CG291" s="420">
        <f>IFERROR((FE291/Z291%),0)</f>
        <v>0</v>
      </c>
      <c r="CH291" s="421">
        <f>IFERROR((FK291/Z291%),0)</f>
        <v>96.449996948242188</v>
      </c>
      <c r="CI291" s="414" t="s">
        <v>1603</v>
      </c>
      <c r="CJ291" s="415">
        <v>0</v>
      </c>
      <c r="CK291" s="415">
        <v>0</v>
      </c>
      <c r="CL291" s="415">
        <v>0</v>
      </c>
      <c r="CM291" s="415">
        <v>0</v>
      </c>
      <c r="CN291" s="415">
        <v>0</v>
      </c>
      <c r="CO291" s="415">
        <v>0</v>
      </c>
      <c r="CP291" s="415">
        <v>0</v>
      </c>
      <c r="CQ291" s="415">
        <v>0</v>
      </c>
      <c r="CR291" s="415">
        <v>1</v>
      </c>
      <c r="CS291" s="415">
        <v>0</v>
      </c>
      <c r="CT291" s="415">
        <v>0</v>
      </c>
      <c r="CU291" s="415">
        <v>0</v>
      </c>
      <c r="CV291" s="410">
        <f t="shared" si="117"/>
        <v>1</v>
      </c>
      <c r="CW291" s="415">
        <v>0</v>
      </c>
      <c r="CX291" s="415">
        <v>0</v>
      </c>
      <c r="CY291" s="415">
        <v>0</v>
      </c>
      <c r="CZ291" s="415">
        <v>0</v>
      </c>
      <c r="DA291" s="415">
        <v>0</v>
      </c>
      <c r="DB291" s="415">
        <v>0</v>
      </c>
      <c r="DC291" s="415">
        <v>0</v>
      </c>
      <c r="DD291" s="415">
        <v>0</v>
      </c>
      <c r="DE291" s="415">
        <v>0</v>
      </c>
      <c r="DF291" s="415">
        <v>0</v>
      </c>
      <c r="DG291" s="415">
        <v>0</v>
      </c>
      <c r="DH291" s="415">
        <v>0</v>
      </c>
      <c r="DI291" s="410">
        <f t="shared" si="118"/>
        <v>0</v>
      </c>
      <c r="DJ291" s="415">
        <v>0</v>
      </c>
      <c r="DK291" s="415">
        <v>0</v>
      </c>
      <c r="DL291" s="415">
        <v>0</v>
      </c>
      <c r="DM291" s="415">
        <v>0</v>
      </c>
      <c r="DN291" s="415">
        <v>0</v>
      </c>
      <c r="DO291" s="415">
        <v>0</v>
      </c>
      <c r="DP291" s="415">
        <v>0</v>
      </c>
      <c r="DQ291" s="415">
        <v>0</v>
      </c>
      <c r="DR291" s="415">
        <v>0</v>
      </c>
      <c r="DS291" s="415">
        <v>0</v>
      </c>
      <c r="DT291" s="415">
        <v>0</v>
      </c>
      <c r="DU291" s="415">
        <v>0</v>
      </c>
      <c r="DV291" s="410">
        <f t="shared" si="119"/>
        <v>0</v>
      </c>
      <c r="DW291" s="415">
        <v>0</v>
      </c>
      <c r="DX291" s="415">
        <v>0</v>
      </c>
      <c r="DY291" s="415">
        <v>0</v>
      </c>
      <c r="DZ291" s="415">
        <v>0</v>
      </c>
      <c r="EA291" s="415">
        <v>0</v>
      </c>
      <c r="EB291" s="415">
        <v>0</v>
      </c>
      <c r="EC291" s="415">
        <v>0</v>
      </c>
      <c r="ED291" s="415">
        <v>0</v>
      </c>
      <c r="EE291" s="415">
        <v>0</v>
      </c>
      <c r="EF291" s="415">
        <v>0</v>
      </c>
      <c r="EG291" s="415">
        <v>0</v>
      </c>
      <c r="EH291" s="415">
        <v>0</v>
      </c>
      <c r="EI291" s="410">
        <f t="shared" si="120"/>
        <v>0</v>
      </c>
      <c r="EJ291" s="415">
        <v>0</v>
      </c>
      <c r="EK291" s="415">
        <v>0</v>
      </c>
      <c r="EL291" s="415">
        <v>0</v>
      </c>
      <c r="EM291" s="415">
        <v>0</v>
      </c>
      <c r="EN291" s="415">
        <v>0</v>
      </c>
      <c r="EO291" s="415">
        <v>0</v>
      </c>
      <c r="EP291" s="415">
        <v>0</v>
      </c>
      <c r="EQ291" s="415">
        <v>0</v>
      </c>
      <c r="ER291" s="415">
        <v>0</v>
      </c>
      <c r="ES291" s="415">
        <v>0</v>
      </c>
      <c r="ET291" s="415">
        <v>0</v>
      </c>
      <c r="EU291" s="415">
        <v>0</v>
      </c>
      <c r="EV291" s="410">
        <f t="shared" si="121"/>
        <v>0</v>
      </c>
      <c r="EW291" s="416">
        <f t="shared" si="122"/>
        <v>1</v>
      </c>
      <c r="EX291" s="417">
        <f>IFERROR(VLOOKUP(H291,CEI_012018!$A$1:$U$509,9,FALSE),0)</f>
        <v>0</v>
      </c>
      <c r="EY291" s="417">
        <f>IFERROR(VLOOKUP(H291,CEI_022018!$A$1:$U$509,9,FALSE),0)</f>
        <v>0</v>
      </c>
      <c r="EZ291" s="417">
        <f>IFERROR(VLOOKUP(H291,CEI_032018!$A$1:$U$509,9,FALSE),0)</f>
        <v>0</v>
      </c>
      <c r="FA291" s="417">
        <f>IFERROR(VLOOKUP(H291,CEI_042018!$A$1:$U$491,9,FALSE),0)</f>
        <v>0</v>
      </c>
      <c r="FB291" s="417">
        <f>IFERROR(VLOOKUP(H291,CEI_052018!$A$1:$U$489,9,FALSE),0)</f>
        <v>0</v>
      </c>
      <c r="FC291" s="417">
        <f>IFERROR(VLOOKUP(H291,CEI_062018!$A$1:$U$489,9,FALSE),0)</f>
        <v>0</v>
      </c>
      <c r="FD291" s="417">
        <f>IFERROR(VLOOKUP(H291,CEI_072018!$A$1:$U$489,9,FALSE),0)</f>
        <v>0</v>
      </c>
      <c r="FE291" s="417">
        <f>IFERROR(VLOOKUP(H291,CEI_082018!$A$1:$U$489,9,FALSE),0)</f>
        <v>0</v>
      </c>
      <c r="FF291" s="417">
        <f>IFERROR(VLOOKUP(H291,CEI_092018!$A$1:$U$489,9,FALSE),0)</f>
        <v>0</v>
      </c>
      <c r="FG291" s="417"/>
      <c r="FH291" s="417"/>
      <c r="FI291" s="417"/>
      <c r="FJ291" s="418">
        <f>IFERROR(VLOOKUP(H291,CEI_092018!$A$1:$U$489,12,FALSE),0)</f>
        <v>192.89999389648437</v>
      </c>
      <c r="FK291" s="418">
        <f t="shared" si="99"/>
        <v>192.89999389648437</v>
      </c>
      <c r="FL291" s="418">
        <f t="shared" si="100"/>
        <v>7.100006103515625</v>
      </c>
      <c r="FM291" s="417"/>
      <c r="FN291" s="417"/>
      <c r="FO291" s="417"/>
      <c r="FP291" s="417"/>
      <c r="FQ291" s="417"/>
      <c r="FR291" s="417"/>
      <c r="FS291" s="417"/>
      <c r="FT291" s="417"/>
      <c r="FU291" s="417"/>
      <c r="FV291" s="417"/>
      <c r="FW291" s="417"/>
      <c r="FX291" s="417"/>
      <c r="FY291" s="418"/>
      <c r="FZ291" s="418"/>
      <c r="GA291" s="418"/>
      <c r="GB291" s="417"/>
      <c r="GC291" s="417"/>
      <c r="GD291" s="417"/>
      <c r="GE291" s="417"/>
      <c r="GF291" s="417"/>
      <c r="GG291" s="417"/>
      <c r="GH291" s="417"/>
      <c r="GI291" s="417"/>
      <c r="GJ291" s="417"/>
      <c r="GK291" s="417"/>
      <c r="GL291" s="417"/>
      <c r="GM291" s="417"/>
      <c r="GN291" s="418"/>
      <c r="GO291" s="418"/>
      <c r="GP291" s="418"/>
      <c r="GQ291" s="417"/>
      <c r="GR291" s="417"/>
      <c r="GS291" s="417"/>
      <c r="GT291" s="417"/>
      <c r="GU291" s="417"/>
      <c r="GV291" s="417"/>
      <c r="GW291" s="417"/>
      <c r="GX291" s="417"/>
      <c r="GY291" s="417"/>
      <c r="GZ291" s="417"/>
      <c r="HA291" s="417"/>
      <c r="HB291" s="417"/>
      <c r="HC291" s="418"/>
      <c r="HD291" s="418"/>
      <c r="HE291" s="418"/>
      <c r="HF291" s="417"/>
      <c r="HG291" s="417"/>
      <c r="HH291" s="417"/>
      <c r="HI291" s="417"/>
      <c r="HJ291" s="417"/>
      <c r="HK291" s="417"/>
      <c r="HL291" s="417"/>
      <c r="HM291" s="417"/>
      <c r="HN291" s="417"/>
      <c r="HO291" s="417"/>
      <c r="HP291" s="417"/>
      <c r="HQ291" s="417"/>
      <c r="HR291" s="418"/>
      <c r="HS291" s="418"/>
      <c r="HT291" s="418"/>
    </row>
    <row r="292" spans="1:228" s="387" customFormat="1" ht="12.75" customHeight="1" x14ac:dyDescent="0.2">
      <c r="A292" s="406" t="s">
        <v>55</v>
      </c>
      <c r="B292" s="407" t="s">
        <v>40</v>
      </c>
      <c r="C292" s="406" t="s">
        <v>297</v>
      </c>
      <c r="D292" s="407" t="s">
        <v>1002</v>
      </c>
      <c r="E292" s="407" t="s">
        <v>297</v>
      </c>
      <c r="F292" s="407" t="s">
        <v>1002</v>
      </c>
      <c r="G292" s="406" t="s">
        <v>54</v>
      </c>
      <c r="H292" s="408" t="s">
        <v>520</v>
      </c>
      <c r="I292" s="408" t="s">
        <v>57</v>
      </c>
      <c r="J292" s="406" t="s">
        <v>662</v>
      </c>
      <c r="K292" s="406" t="s">
        <v>663</v>
      </c>
      <c r="L292" s="406" t="s">
        <v>664</v>
      </c>
      <c r="M292" s="406" t="s">
        <v>1782</v>
      </c>
      <c r="N292" s="452">
        <v>0</v>
      </c>
      <c r="O292" s="452">
        <v>0</v>
      </c>
      <c r="P292" s="452">
        <v>0</v>
      </c>
      <c r="Q292" s="452">
        <v>0</v>
      </c>
      <c r="R292" s="452">
        <v>0</v>
      </c>
      <c r="S292" s="452">
        <v>0</v>
      </c>
      <c r="T292" s="452">
        <v>0</v>
      </c>
      <c r="U292" s="409">
        <v>0</v>
      </c>
      <c r="V292" s="409">
        <v>0</v>
      </c>
      <c r="W292" s="409">
        <v>0</v>
      </c>
      <c r="X292" s="409">
        <v>0</v>
      </c>
      <c r="Y292" s="409">
        <v>0</v>
      </c>
      <c r="Z292" s="453">
        <f t="shared" si="108"/>
        <v>0</v>
      </c>
      <c r="AA292" s="452">
        <v>0</v>
      </c>
      <c r="AB292" s="452">
        <v>0</v>
      </c>
      <c r="AC292" s="452">
        <v>0</v>
      </c>
      <c r="AD292" s="452">
        <v>0</v>
      </c>
      <c r="AE292" s="452">
        <v>0</v>
      </c>
      <c r="AF292" s="452">
        <v>0</v>
      </c>
      <c r="AG292" s="452">
        <v>0</v>
      </c>
      <c r="AH292" s="409">
        <v>0</v>
      </c>
      <c r="AI292" s="409">
        <v>0</v>
      </c>
      <c r="AJ292" s="409">
        <v>0</v>
      </c>
      <c r="AK292" s="409">
        <v>0</v>
      </c>
      <c r="AL292" s="409">
        <v>124</v>
      </c>
      <c r="AM292" s="453">
        <f t="shared" si="103"/>
        <v>124</v>
      </c>
      <c r="AN292" s="452">
        <v>0</v>
      </c>
      <c r="AO292" s="452">
        <v>0</v>
      </c>
      <c r="AP292" s="452">
        <v>0</v>
      </c>
      <c r="AQ292" s="452">
        <v>0</v>
      </c>
      <c r="AR292" s="452">
        <v>0</v>
      </c>
      <c r="AS292" s="452">
        <v>0</v>
      </c>
      <c r="AT292" s="452">
        <v>0</v>
      </c>
      <c r="AU292" s="409">
        <v>0</v>
      </c>
      <c r="AV292" s="409">
        <v>0</v>
      </c>
      <c r="AW292" s="409">
        <v>162</v>
      </c>
      <c r="AX292" s="409">
        <v>0</v>
      </c>
      <c r="AY292" s="409">
        <v>0</v>
      </c>
      <c r="AZ292" s="453">
        <f t="shared" si="104"/>
        <v>162</v>
      </c>
      <c r="BA292" s="452">
        <v>0</v>
      </c>
      <c r="BB292" s="452">
        <v>0</v>
      </c>
      <c r="BC292" s="452">
        <v>0</v>
      </c>
      <c r="BD292" s="452">
        <v>0</v>
      </c>
      <c r="BE292" s="452">
        <v>0</v>
      </c>
      <c r="BF292" s="452">
        <v>0</v>
      </c>
      <c r="BG292" s="452">
        <v>0</v>
      </c>
      <c r="BH292" s="409">
        <v>0</v>
      </c>
      <c r="BI292" s="409">
        <v>0</v>
      </c>
      <c r="BJ292" s="409">
        <v>0</v>
      </c>
      <c r="BK292" s="409">
        <v>51.96</v>
      </c>
      <c r="BL292" s="409">
        <v>0</v>
      </c>
      <c r="BM292" s="453">
        <f t="shared" si="105"/>
        <v>51.96</v>
      </c>
      <c r="BN292" s="452">
        <v>0</v>
      </c>
      <c r="BO292" s="452">
        <v>0</v>
      </c>
      <c r="BP292" s="452">
        <v>0</v>
      </c>
      <c r="BQ292" s="452">
        <v>0</v>
      </c>
      <c r="BR292" s="452">
        <v>0</v>
      </c>
      <c r="BS292" s="452">
        <v>0</v>
      </c>
      <c r="BT292" s="452">
        <v>0</v>
      </c>
      <c r="BU292" s="409">
        <v>0</v>
      </c>
      <c r="BV292" s="409">
        <v>0</v>
      </c>
      <c r="BW292" s="409">
        <v>0</v>
      </c>
      <c r="BX292" s="409">
        <v>29.228000000000002</v>
      </c>
      <c r="BY292" s="409">
        <v>35.722999999999999</v>
      </c>
      <c r="BZ292" s="453">
        <f t="shared" si="106"/>
        <v>64.950999999999993</v>
      </c>
      <c r="CA292" s="454">
        <f t="shared" si="107"/>
        <v>402.911</v>
      </c>
      <c r="CB292" s="419"/>
      <c r="CC292" s="419">
        <v>-1</v>
      </c>
      <c r="CD292" s="419">
        <v>-1</v>
      </c>
      <c r="CE292" s="419">
        <v>-1</v>
      </c>
      <c r="CF292" s="419">
        <v>-1</v>
      </c>
      <c r="CG292" s="420">
        <f>IFERROR((FE292/Z292%),0)</f>
        <v>0</v>
      </c>
      <c r="CH292" s="421">
        <f>IFERROR((FK292/Z292%),0)</f>
        <v>0</v>
      </c>
      <c r="CI292" s="414" t="s">
        <v>1603</v>
      </c>
      <c r="CJ292" s="415">
        <v>0</v>
      </c>
      <c r="CK292" s="415">
        <v>0</v>
      </c>
      <c r="CL292" s="415">
        <v>0</v>
      </c>
      <c r="CM292" s="415">
        <v>0</v>
      </c>
      <c r="CN292" s="415">
        <v>0</v>
      </c>
      <c r="CO292" s="415">
        <v>0</v>
      </c>
      <c r="CP292" s="415">
        <v>0</v>
      </c>
      <c r="CQ292" s="415">
        <v>0</v>
      </c>
      <c r="CR292" s="415">
        <v>0</v>
      </c>
      <c r="CS292" s="415">
        <v>0</v>
      </c>
      <c r="CT292" s="415">
        <v>7.4358974358974361</v>
      </c>
      <c r="CU292" s="415">
        <v>0</v>
      </c>
      <c r="CV292" s="410">
        <f t="shared" si="117"/>
        <v>7.4358974358974361</v>
      </c>
      <c r="CW292" s="415">
        <v>0</v>
      </c>
      <c r="CX292" s="415">
        <v>0</v>
      </c>
      <c r="CY292" s="415">
        <v>0</v>
      </c>
      <c r="CZ292" s="415">
        <v>0</v>
      </c>
      <c r="DA292" s="415">
        <v>0</v>
      </c>
      <c r="DB292" s="415">
        <v>0</v>
      </c>
      <c r="DC292" s="415">
        <v>0</v>
      </c>
      <c r="DD292" s="415">
        <v>0</v>
      </c>
      <c r="DE292" s="415">
        <v>0</v>
      </c>
      <c r="DF292" s="415">
        <v>0</v>
      </c>
      <c r="DG292" s="415">
        <v>0</v>
      </c>
      <c r="DH292" s="415">
        <v>31.794871794871796</v>
      </c>
      <c r="DI292" s="410">
        <f t="shared" si="118"/>
        <v>31.794871794871796</v>
      </c>
      <c r="DJ292" s="415">
        <v>0</v>
      </c>
      <c r="DK292" s="415">
        <v>0</v>
      </c>
      <c r="DL292" s="415">
        <v>0</v>
      </c>
      <c r="DM292" s="415">
        <v>0</v>
      </c>
      <c r="DN292" s="415">
        <v>0</v>
      </c>
      <c r="DO292" s="415">
        <v>0</v>
      </c>
      <c r="DP292" s="415">
        <v>0</v>
      </c>
      <c r="DQ292" s="415">
        <v>0</v>
      </c>
      <c r="DR292" s="415">
        <v>0</v>
      </c>
      <c r="DS292" s="415">
        <v>41.53846153846154</v>
      </c>
      <c r="DT292" s="415">
        <v>0</v>
      </c>
      <c r="DU292" s="415">
        <v>0</v>
      </c>
      <c r="DV292" s="410">
        <f t="shared" si="119"/>
        <v>41.53846153846154</v>
      </c>
      <c r="DW292" s="415">
        <v>0</v>
      </c>
      <c r="DX292" s="415">
        <v>0</v>
      </c>
      <c r="DY292" s="415">
        <v>0</v>
      </c>
      <c r="DZ292" s="415">
        <v>0</v>
      </c>
      <c r="EA292" s="415">
        <v>0</v>
      </c>
      <c r="EB292" s="415">
        <v>0</v>
      </c>
      <c r="EC292" s="415">
        <v>0</v>
      </c>
      <c r="ED292" s="415">
        <v>0</v>
      </c>
      <c r="EE292" s="415">
        <v>0</v>
      </c>
      <c r="EF292" s="415">
        <v>0</v>
      </c>
      <c r="EG292" s="415">
        <v>13.333333333333334</v>
      </c>
      <c r="EH292" s="415">
        <v>0</v>
      </c>
      <c r="EI292" s="410">
        <f t="shared" si="120"/>
        <v>13.333333333333334</v>
      </c>
      <c r="EJ292" s="415">
        <v>0</v>
      </c>
      <c r="EK292" s="415">
        <v>0</v>
      </c>
      <c r="EL292" s="415">
        <v>0</v>
      </c>
      <c r="EM292" s="415">
        <v>0</v>
      </c>
      <c r="EN292" s="415">
        <v>0</v>
      </c>
      <c r="EO292" s="415">
        <v>0</v>
      </c>
      <c r="EP292" s="415">
        <v>0</v>
      </c>
      <c r="EQ292" s="415">
        <v>0</v>
      </c>
      <c r="ER292" s="415">
        <v>0</v>
      </c>
      <c r="ES292" s="415">
        <v>0</v>
      </c>
      <c r="ET292" s="415">
        <v>0</v>
      </c>
      <c r="EU292" s="415">
        <v>9.2307692307692317</v>
      </c>
      <c r="EV292" s="410">
        <f t="shared" si="121"/>
        <v>9.2307692307692317</v>
      </c>
      <c r="EW292" s="416">
        <f t="shared" si="122"/>
        <v>103.33333333333333</v>
      </c>
      <c r="EX292" s="417">
        <f>IFERROR(VLOOKUP(H292,CEI_012018!$A$1:$U$509,9,FALSE),0)</f>
        <v>0</v>
      </c>
      <c r="EY292" s="417">
        <f>IFERROR(VLOOKUP(H292,CEI_022018!$A$1:$U$509,9,FALSE),0)</f>
        <v>0</v>
      </c>
      <c r="EZ292" s="417">
        <f>IFERROR(VLOOKUP(H292,CEI_032018!$A$1:$U$509,9,FALSE),0)</f>
        <v>0</v>
      </c>
      <c r="FA292" s="417">
        <f>IFERROR(VLOOKUP(H292,CEI_042018!$A$1:$U$491,9,FALSE),0)</f>
        <v>0</v>
      </c>
      <c r="FB292" s="417">
        <f>IFERROR(VLOOKUP(H292,CEI_052018!$A$1:$U$489,9,FALSE),0)</f>
        <v>0</v>
      </c>
      <c r="FC292" s="417">
        <f>IFERROR(VLOOKUP(H292,CEI_062018!$A$1:$U$489,9,FALSE),0)</f>
        <v>0</v>
      </c>
      <c r="FD292" s="417">
        <f>IFERROR(VLOOKUP(H292,CEI_072018!$A$1:$U$489,9,FALSE),0)</f>
        <v>0</v>
      </c>
      <c r="FE292" s="417">
        <f>IFERROR(VLOOKUP(H292,CEI_082018!$A$1:$U$489,9,FALSE),0)</f>
        <v>0</v>
      </c>
      <c r="FF292" s="417">
        <f>IFERROR(VLOOKUP(H292,CEI_092018!$A$1:$U$489,9,FALSE),0)</f>
        <v>0</v>
      </c>
      <c r="FG292" s="417"/>
      <c r="FH292" s="417"/>
      <c r="FI292" s="417"/>
      <c r="FJ292" s="418">
        <f>IFERROR(VLOOKUP(H292,CEI_092018!$A$1:$U$489,12,FALSE),0)</f>
        <v>0</v>
      </c>
      <c r="FK292" s="418">
        <f t="shared" si="99"/>
        <v>0</v>
      </c>
      <c r="FL292" s="418">
        <f t="shared" si="100"/>
        <v>0</v>
      </c>
      <c r="FM292" s="417"/>
      <c r="FN292" s="417"/>
      <c r="FO292" s="417"/>
      <c r="FP292" s="417"/>
      <c r="FQ292" s="417"/>
      <c r="FR292" s="417"/>
      <c r="FS292" s="417"/>
      <c r="FT292" s="417"/>
      <c r="FU292" s="417"/>
      <c r="FV292" s="417"/>
      <c r="FW292" s="417"/>
      <c r="FX292" s="417"/>
      <c r="FY292" s="418"/>
      <c r="FZ292" s="418"/>
      <c r="GA292" s="418"/>
      <c r="GB292" s="417"/>
      <c r="GC292" s="417"/>
      <c r="GD292" s="417"/>
      <c r="GE292" s="417"/>
      <c r="GF292" s="417"/>
      <c r="GG292" s="417"/>
      <c r="GH292" s="417"/>
      <c r="GI292" s="417"/>
      <c r="GJ292" s="417"/>
      <c r="GK292" s="417"/>
      <c r="GL292" s="417"/>
      <c r="GM292" s="417"/>
      <c r="GN292" s="418"/>
      <c r="GO292" s="418"/>
      <c r="GP292" s="418"/>
      <c r="GQ292" s="417"/>
      <c r="GR292" s="417"/>
      <c r="GS292" s="417"/>
      <c r="GT292" s="417"/>
      <c r="GU292" s="417"/>
      <c r="GV292" s="417"/>
      <c r="GW292" s="417"/>
      <c r="GX292" s="417"/>
      <c r="GY292" s="417"/>
      <c r="GZ292" s="417"/>
      <c r="HA292" s="417"/>
      <c r="HB292" s="417"/>
      <c r="HC292" s="418"/>
      <c r="HD292" s="418"/>
      <c r="HE292" s="418"/>
      <c r="HF292" s="417"/>
      <c r="HG292" s="417"/>
      <c r="HH292" s="417"/>
      <c r="HI292" s="417"/>
      <c r="HJ292" s="417"/>
      <c r="HK292" s="417"/>
      <c r="HL292" s="417"/>
      <c r="HM292" s="417"/>
      <c r="HN292" s="417"/>
      <c r="HO292" s="417"/>
      <c r="HP292" s="417"/>
      <c r="HQ292" s="417"/>
      <c r="HR292" s="418"/>
      <c r="HS292" s="418"/>
      <c r="HT292" s="418"/>
    </row>
    <row r="293" spans="1:228" s="387" customFormat="1" ht="12.75" customHeight="1" x14ac:dyDescent="0.2">
      <c r="A293" s="406" t="s">
        <v>55</v>
      </c>
      <c r="B293" s="407" t="s">
        <v>40</v>
      </c>
      <c r="C293" s="406" t="s">
        <v>297</v>
      </c>
      <c r="D293" s="407" t="s">
        <v>1002</v>
      </c>
      <c r="E293" s="407" t="s">
        <v>297</v>
      </c>
      <c r="F293" s="407" t="s">
        <v>1002</v>
      </c>
      <c r="G293" s="406" t="s">
        <v>54</v>
      </c>
      <c r="H293" s="408" t="s">
        <v>520</v>
      </c>
      <c r="I293" s="408" t="s">
        <v>57</v>
      </c>
      <c r="J293" s="406" t="s">
        <v>665</v>
      </c>
      <c r="K293" s="406" t="s">
        <v>666</v>
      </c>
      <c r="L293" s="406" t="s">
        <v>667</v>
      </c>
      <c r="M293" s="406" t="s">
        <v>1770</v>
      </c>
      <c r="N293" s="452">
        <v>0</v>
      </c>
      <c r="O293" s="452">
        <v>0</v>
      </c>
      <c r="P293" s="452">
        <v>0</v>
      </c>
      <c r="Q293" s="452">
        <v>0</v>
      </c>
      <c r="R293" s="452">
        <v>0</v>
      </c>
      <c r="S293" s="452">
        <v>0</v>
      </c>
      <c r="T293" s="452">
        <v>0</v>
      </c>
      <c r="U293" s="409">
        <v>0</v>
      </c>
      <c r="V293" s="409">
        <v>0</v>
      </c>
      <c r="W293" s="409">
        <v>0</v>
      </c>
      <c r="X293" s="409">
        <v>0</v>
      </c>
      <c r="Y293" s="409">
        <v>0</v>
      </c>
      <c r="Z293" s="453">
        <f t="shared" si="108"/>
        <v>0</v>
      </c>
      <c r="AA293" s="452">
        <v>0</v>
      </c>
      <c r="AB293" s="452">
        <v>0</v>
      </c>
      <c r="AC293" s="452">
        <v>0</v>
      </c>
      <c r="AD293" s="452">
        <v>0</v>
      </c>
      <c r="AE293" s="452">
        <v>0</v>
      </c>
      <c r="AF293" s="452">
        <v>0</v>
      </c>
      <c r="AG293" s="452">
        <v>0</v>
      </c>
      <c r="AH293" s="409">
        <v>10</v>
      </c>
      <c r="AI293" s="409">
        <v>0</v>
      </c>
      <c r="AJ293" s="409">
        <v>0</v>
      </c>
      <c r="AK293" s="409">
        <v>0</v>
      </c>
      <c r="AL293" s="409">
        <v>0</v>
      </c>
      <c r="AM293" s="453">
        <f t="shared" si="103"/>
        <v>10</v>
      </c>
      <c r="AN293" s="452">
        <v>0</v>
      </c>
      <c r="AO293" s="452">
        <v>0</v>
      </c>
      <c r="AP293" s="452">
        <v>0</v>
      </c>
      <c r="AQ293" s="452">
        <v>0</v>
      </c>
      <c r="AR293" s="452">
        <v>0</v>
      </c>
      <c r="AS293" s="452">
        <v>0</v>
      </c>
      <c r="AT293" s="452">
        <v>0</v>
      </c>
      <c r="AU293" s="409">
        <v>0</v>
      </c>
      <c r="AV293" s="409">
        <v>0</v>
      </c>
      <c r="AW293" s="409">
        <v>0</v>
      </c>
      <c r="AX293" s="409">
        <v>0</v>
      </c>
      <c r="AY293" s="409">
        <v>0</v>
      </c>
      <c r="AZ293" s="453">
        <f t="shared" si="104"/>
        <v>0</v>
      </c>
      <c r="BA293" s="452">
        <v>0</v>
      </c>
      <c r="BB293" s="452">
        <v>0</v>
      </c>
      <c r="BC293" s="452">
        <v>0</v>
      </c>
      <c r="BD293" s="452">
        <v>0</v>
      </c>
      <c r="BE293" s="452">
        <v>0</v>
      </c>
      <c r="BF293" s="452">
        <v>0</v>
      </c>
      <c r="BG293" s="452">
        <v>0</v>
      </c>
      <c r="BH293" s="409">
        <v>0</v>
      </c>
      <c r="BI293" s="409">
        <v>0</v>
      </c>
      <c r="BJ293" s="409">
        <v>0</v>
      </c>
      <c r="BK293" s="409">
        <v>0</v>
      </c>
      <c r="BL293" s="409">
        <v>0</v>
      </c>
      <c r="BM293" s="453">
        <f t="shared" si="105"/>
        <v>0</v>
      </c>
      <c r="BN293" s="452">
        <v>0</v>
      </c>
      <c r="BO293" s="452">
        <v>0</v>
      </c>
      <c r="BP293" s="452">
        <v>0</v>
      </c>
      <c r="BQ293" s="452">
        <v>0</v>
      </c>
      <c r="BR293" s="452">
        <v>0</v>
      </c>
      <c r="BS293" s="452">
        <v>0</v>
      </c>
      <c r="BT293" s="452">
        <v>0</v>
      </c>
      <c r="BU293" s="409">
        <v>0</v>
      </c>
      <c r="BV293" s="409">
        <v>0</v>
      </c>
      <c r="BW293" s="409">
        <v>0</v>
      </c>
      <c r="BX293" s="409">
        <v>0</v>
      </c>
      <c r="BY293" s="409">
        <v>0</v>
      </c>
      <c r="BZ293" s="453">
        <f t="shared" si="106"/>
        <v>0</v>
      </c>
      <c r="CA293" s="454">
        <f t="shared" si="107"/>
        <v>10</v>
      </c>
      <c r="CB293" s="411"/>
      <c r="CC293" s="411"/>
      <c r="CD293" s="411"/>
      <c r="CE293" s="411"/>
      <c r="CF293" s="411"/>
      <c r="CG293" s="412"/>
      <c r="CH293" s="413"/>
      <c r="CI293" s="414" t="s">
        <v>1603</v>
      </c>
      <c r="CJ293" s="415">
        <v>0</v>
      </c>
      <c r="CK293" s="415">
        <v>0</v>
      </c>
      <c r="CL293" s="415">
        <v>0</v>
      </c>
      <c r="CM293" s="415">
        <v>0</v>
      </c>
      <c r="CN293" s="415">
        <v>0</v>
      </c>
      <c r="CO293" s="415">
        <v>0</v>
      </c>
      <c r="CP293" s="415">
        <v>0</v>
      </c>
      <c r="CQ293" s="415">
        <v>0</v>
      </c>
      <c r="CR293" s="415">
        <v>0</v>
      </c>
      <c r="CS293" s="415">
        <v>0</v>
      </c>
      <c r="CT293" s="415">
        <v>0</v>
      </c>
      <c r="CU293" s="415">
        <v>0</v>
      </c>
      <c r="CV293" s="410">
        <f t="shared" si="117"/>
        <v>0</v>
      </c>
      <c r="CW293" s="415">
        <v>0</v>
      </c>
      <c r="CX293" s="415">
        <v>0</v>
      </c>
      <c r="CY293" s="415">
        <v>0</v>
      </c>
      <c r="CZ293" s="415">
        <v>0</v>
      </c>
      <c r="DA293" s="415">
        <v>0</v>
      </c>
      <c r="DB293" s="415">
        <v>0</v>
      </c>
      <c r="DC293" s="415">
        <v>0</v>
      </c>
      <c r="DD293" s="415">
        <v>1</v>
      </c>
      <c r="DE293" s="415">
        <v>0</v>
      </c>
      <c r="DF293" s="415">
        <v>0</v>
      </c>
      <c r="DG293" s="415">
        <v>0</v>
      </c>
      <c r="DH293" s="415">
        <v>0</v>
      </c>
      <c r="DI293" s="410">
        <f t="shared" si="118"/>
        <v>1</v>
      </c>
      <c r="DJ293" s="415">
        <v>0</v>
      </c>
      <c r="DK293" s="415">
        <v>0</v>
      </c>
      <c r="DL293" s="415">
        <v>0</v>
      </c>
      <c r="DM293" s="415">
        <v>0</v>
      </c>
      <c r="DN293" s="415">
        <v>0</v>
      </c>
      <c r="DO293" s="415">
        <v>0</v>
      </c>
      <c r="DP293" s="415">
        <v>0</v>
      </c>
      <c r="DQ293" s="415">
        <v>0</v>
      </c>
      <c r="DR293" s="415">
        <v>0</v>
      </c>
      <c r="DS293" s="415">
        <v>0</v>
      </c>
      <c r="DT293" s="415">
        <v>0</v>
      </c>
      <c r="DU293" s="415">
        <v>0</v>
      </c>
      <c r="DV293" s="410">
        <f t="shared" si="119"/>
        <v>0</v>
      </c>
      <c r="DW293" s="415">
        <v>0</v>
      </c>
      <c r="DX293" s="415">
        <v>0</v>
      </c>
      <c r="DY293" s="415">
        <v>0</v>
      </c>
      <c r="DZ293" s="415">
        <v>0</v>
      </c>
      <c r="EA293" s="415">
        <v>0</v>
      </c>
      <c r="EB293" s="415">
        <v>0</v>
      </c>
      <c r="EC293" s="415">
        <v>0</v>
      </c>
      <c r="ED293" s="415">
        <v>0</v>
      </c>
      <c r="EE293" s="415">
        <v>0</v>
      </c>
      <c r="EF293" s="415">
        <v>0</v>
      </c>
      <c r="EG293" s="415">
        <v>0</v>
      </c>
      <c r="EH293" s="415">
        <v>0</v>
      </c>
      <c r="EI293" s="410">
        <f t="shared" si="120"/>
        <v>0</v>
      </c>
      <c r="EJ293" s="415">
        <v>0</v>
      </c>
      <c r="EK293" s="415">
        <v>0</v>
      </c>
      <c r="EL293" s="415">
        <v>0</v>
      </c>
      <c r="EM293" s="415">
        <v>0</v>
      </c>
      <c r="EN293" s="415">
        <v>0</v>
      </c>
      <c r="EO293" s="415">
        <v>0</v>
      </c>
      <c r="EP293" s="415">
        <v>0</v>
      </c>
      <c r="EQ293" s="415">
        <v>0</v>
      </c>
      <c r="ER293" s="415">
        <v>0</v>
      </c>
      <c r="ES293" s="415">
        <v>0</v>
      </c>
      <c r="ET293" s="415">
        <v>0</v>
      </c>
      <c r="EU293" s="415">
        <v>0</v>
      </c>
      <c r="EV293" s="410">
        <f t="shared" si="121"/>
        <v>0</v>
      </c>
      <c r="EW293" s="416">
        <f t="shared" si="122"/>
        <v>1</v>
      </c>
      <c r="EX293" s="417">
        <f>IFERROR(VLOOKUP(H293,CEI_012018!$A$1:$U$509,9,FALSE),0)</f>
        <v>0</v>
      </c>
      <c r="EY293" s="417">
        <f>IFERROR(VLOOKUP(H293,CEI_022018!$A$1:$U$509,9,FALSE),0)</f>
        <v>0</v>
      </c>
      <c r="EZ293" s="417">
        <f>IFERROR(VLOOKUP(H293,CEI_032018!$A$1:$U$509,9,FALSE),0)</f>
        <v>0</v>
      </c>
      <c r="FA293" s="417">
        <f>IFERROR(VLOOKUP(H293,CEI_042018!$A$1:$U$491,9,FALSE),0)</f>
        <v>0</v>
      </c>
      <c r="FB293" s="417">
        <f>IFERROR(VLOOKUP(H293,CEI_052018!$A$1:$U$489,9,FALSE),0)</f>
        <v>0</v>
      </c>
      <c r="FC293" s="417">
        <f>IFERROR(VLOOKUP(H293,CEI_062018!$A$1:$U$489,9,FALSE),0)</f>
        <v>0</v>
      </c>
      <c r="FD293" s="417">
        <f>IFERROR(VLOOKUP(H293,CEI_072018!$A$1:$U$489,9,FALSE),0)</f>
        <v>0</v>
      </c>
      <c r="FE293" s="417">
        <f>IFERROR(VLOOKUP(H293,CEI_082018!$A$1:$U$489,9,FALSE),0)</f>
        <v>0</v>
      </c>
      <c r="FF293" s="417">
        <f>IFERROR(VLOOKUP(H293,CEI_092018!$A$1:$U$489,9,FALSE),0)</f>
        <v>0</v>
      </c>
      <c r="FG293" s="417"/>
      <c r="FH293" s="417"/>
      <c r="FI293" s="417"/>
      <c r="FJ293" s="418">
        <f>IFERROR(VLOOKUP(H293,CEI_092018!$A$1:$U$489,12,FALSE),0)</f>
        <v>0</v>
      </c>
      <c r="FK293" s="418">
        <f t="shared" si="99"/>
        <v>0</v>
      </c>
      <c r="FL293" s="418">
        <f t="shared" si="100"/>
        <v>0</v>
      </c>
      <c r="FM293" s="417"/>
      <c r="FN293" s="417"/>
      <c r="FO293" s="417"/>
      <c r="FP293" s="417"/>
      <c r="FQ293" s="417"/>
      <c r="FR293" s="417"/>
      <c r="FS293" s="417"/>
      <c r="FT293" s="417"/>
      <c r="FU293" s="417"/>
      <c r="FV293" s="417"/>
      <c r="FW293" s="417"/>
      <c r="FX293" s="417"/>
      <c r="FY293" s="418"/>
      <c r="FZ293" s="418"/>
      <c r="GA293" s="418"/>
      <c r="GB293" s="417"/>
      <c r="GC293" s="417"/>
      <c r="GD293" s="417"/>
      <c r="GE293" s="417"/>
      <c r="GF293" s="417"/>
      <c r="GG293" s="417"/>
      <c r="GH293" s="417"/>
      <c r="GI293" s="417"/>
      <c r="GJ293" s="417"/>
      <c r="GK293" s="417"/>
      <c r="GL293" s="417"/>
      <c r="GM293" s="417"/>
      <c r="GN293" s="418"/>
      <c r="GO293" s="418"/>
      <c r="GP293" s="418"/>
      <c r="GQ293" s="417"/>
      <c r="GR293" s="417"/>
      <c r="GS293" s="417"/>
      <c r="GT293" s="417"/>
      <c r="GU293" s="417"/>
      <c r="GV293" s="417"/>
      <c r="GW293" s="417"/>
      <c r="GX293" s="417"/>
      <c r="GY293" s="417"/>
      <c r="GZ293" s="417"/>
      <c r="HA293" s="417"/>
      <c r="HB293" s="417"/>
      <c r="HC293" s="418"/>
      <c r="HD293" s="418"/>
      <c r="HE293" s="418"/>
      <c r="HF293" s="417"/>
      <c r="HG293" s="417"/>
      <c r="HH293" s="417"/>
      <c r="HI293" s="417"/>
      <c r="HJ293" s="417"/>
      <c r="HK293" s="417"/>
      <c r="HL293" s="417"/>
      <c r="HM293" s="417"/>
      <c r="HN293" s="417"/>
      <c r="HO293" s="417"/>
      <c r="HP293" s="417"/>
      <c r="HQ293" s="417"/>
      <c r="HR293" s="418"/>
      <c r="HS293" s="418"/>
      <c r="HT293" s="418"/>
    </row>
    <row r="294" spans="1:228" s="387" customFormat="1" ht="12.75" customHeight="1" x14ac:dyDescent="0.2">
      <c r="A294" s="406" t="s">
        <v>55</v>
      </c>
      <c r="B294" s="407" t="s">
        <v>40</v>
      </c>
      <c r="C294" s="406" t="s">
        <v>297</v>
      </c>
      <c r="D294" s="407" t="s">
        <v>1002</v>
      </c>
      <c r="E294" s="407" t="s">
        <v>297</v>
      </c>
      <c r="F294" s="407" t="s">
        <v>1002</v>
      </c>
      <c r="G294" s="406" t="s">
        <v>54</v>
      </c>
      <c r="H294" s="408" t="s">
        <v>520</v>
      </c>
      <c r="I294" s="408" t="s">
        <v>57</v>
      </c>
      <c r="J294" s="406" t="s">
        <v>685</v>
      </c>
      <c r="K294" s="406" t="s">
        <v>686</v>
      </c>
      <c r="L294" s="406" t="s">
        <v>670</v>
      </c>
      <c r="M294" s="406" t="s">
        <v>1778</v>
      </c>
      <c r="N294" s="452">
        <v>0</v>
      </c>
      <c r="O294" s="452">
        <v>0</v>
      </c>
      <c r="P294" s="452">
        <v>0</v>
      </c>
      <c r="Q294" s="452">
        <v>0</v>
      </c>
      <c r="R294" s="452">
        <v>0</v>
      </c>
      <c r="S294" s="452">
        <v>0</v>
      </c>
      <c r="T294" s="452">
        <v>0</v>
      </c>
      <c r="U294" s="409">
        <v>0</v>
      </c>
      <c r="V294" s="409">
        <v>0</v>
      </c>
      <c r="W294" s="409">
        <v>0</v>
      </c>
      <c r="X294" s="409">
        <v>0</v>
      </c>
      <c r="Y294" s="409">
        <v>0</v>
      </c>
      <c r="Z294" s="453">
        <f t="shared" si="108"/>
        <v>0</v>
      </c>
      <c r="AA294" s="452">
        <v>0</v>
      </c>
      <c r="AB294" s="452">
        <v>0</v>
      </c>
      <c r="AC294" s="452">
        <v>0</v>
      </c>
      <c r="AD294" s="452">
        <v>0</v>
      </c>
      <c r="AE294" s="452">
        <v>0</v>
      </c>
      <c r="AF294" s="452">
        <v>0</v>
      </c>
      <c r="AG294" s="452">
        <v>0</v>
      </c>
      <c r="AH294" s="409">
        <v>0</v>
      </c>
      <c r="AI294" s="409">
        <v>0</v>
      </c>
      <c r="AJ294" s="409">
        <v>0</v>
      </c>
      <c r="AK294" s="409">
        <v>0</v>
      </c>
      <c r="AL294" s="409">
        <v>0</v>
      </c>
      <c r="AM294" s="453">
        <f t="shared" si="103"/>
        <v>0</v>
      </c>
      <c r="AN294" s="452">
        <v>0</v>
      </c>
      <c r="AO294" s="452">
        <v>0</v>
      </c>
      <c r="AP294" s="452">
        <v>0</v>
      </c>
      <c r="AQ294" s="452">
        <v>0</v>
      </c>
      <c r="AR294" s="452">
        <v>0</v>
      </c>
      <c r="AS294" s="452">
        <v>0</v>
      </c>
      <c r="AT294" s="452">
        <v>0</v>
      </c>
      <c r="AU294" s="409">
        <v>0</v>
      </c>
      <c r="AV294" s="409">
        <v>0</v>
      </c>
      <c r="AW294" s="409">
        <v>332</v>
      </c>
      <c r="AX294" s="409">
        <v>0</v>
      </c>
      <c r="AY294" s="409">
        <v>0</v>
      </c>
      <c r="AZ294" s="453">
        <f t="shared" si="104"/>
        <v>332</v>
      </c>
      <c r="BA294" s="452">
        <v>0</v>
      </c>
      <c r="BB294" s="452">
        <v>0</v>
      </c>
      <c r="BC294" s="452">
        <v>0</v>
      </c>
      <c r="BD294" s="452">
        <v>0</v>
      </c>
      <c r="BE294" s="452">
        <v>0</v>
      </c>
      <c r="BF294" s="452">
        <v>0</v>
      </c>
      <c r="BG294" s="452">
        <v>0</v>
      </c>
      <c r="BH294" s="409">
        <v>0</v>
      </c>
      <c r="BI294" s="409">
        <v>0</v>
      </c>
      <c r="BJ294" s="409">
        <v>0</v>
      </c>
      <c r="BK294" s="409">
        <v>195</v>
      </c>
      <c r="BL294" s="409">
        <v>0</v>
      </c>
      <c r="BM294" s="453">
        <f t="shared" si="105"/>
        <v>195</v>
      </c>
      <c r="BN294" s="452">
        <v>0</v>
      </c>
      <c r="BO294" s="452">
        <v>0</v>
      </c>
      <c r="BP294" s="452">
        <v>0</v>
      </c>
      <c r="BQ294" s="452">
        <v>0</v>
      </c>
      <c r="BR294" s="452">
        <v>0</v>
      </c>
      <c r="BS294" s="452">
        <v>0</v>
      </c>
      <c r="BT294" s="452">
        <v>0</v>
      </c>
      <c r="BU294" s="409">
        <v>0</v>
      </c>
      <c r="BV294" s="409">
        <v>0</v>
      </c>
      <c r="BW294" s="409">
        <v>0</v>
      </c>
      <c r="BX294" s="409">
        <v>0</v>
      </c>
      <c r="BY294" s="409">
        <v>65.078000000000003</v>
      </c>
      <c r="BZ294" s="453">
        <f t="shared" si="106"/>
        <v>65.078000000000003</v>
      </c>
      <c r="CA294" s="454">
        <f t="shared" si="107"/>
        <v>592.07799999999997</v>
      </c>
      <c r="CB294" s="411"/>
      <c r="CC294" s="411"/>
      <c r="CD294" s="411"/>
      <c r="CE294" s="411"/>
      <c r="CF294" s="411"/>
      <c r="CG294" s="412"/>
      <c r="CH294" s="413"/>
      <c r="CI294" s="414" t="s">
        <v>1603</v>
      </c>
      <c r="CJ294" s="415">
        <v>0</v>
      </c>
      <c r="CK294" s="415">
        <v>0</v>
      </c>
      <c r="CL294" s="415">
        <v>0</v>
      </c>
      <c r="CM294" s="415">
        <v>0</v>
      </c>
      <c r="CN294" s="415">
        <v>0</v>
      </c>
      <c r="CO294" s="415">
        <v>0</v>
      </c>
      <c r="CP294" s="415">
        <v>0</v>
      </c>
      <c r="CQ294" s="415">
        <v>0</v>
      </c>
      <c r="CR294" s="415">
        <v>0</v>
      </c>
      <c r="CS294" s="415">
        <v>0</v>
      </c>
      <c r="CT294" s="415">
        <v>0</v>
      </c>
      <c r="CU294" s="415">
        <v>0</v>
      </c>
      <c r="CV294" s="410">
        <f t="shared" si="117"/>
        <v>0</v>
      </c>
      <c r="CW294" s="415">
        <v>0</v>
      </c>
      <c r="CX294" s="415">
        <v>0</v>
      </c>
      <c r="CY294" s="415">
        <v>0</v>
      </c>
      <c r="CZ294" s="415">
        <v>0</v>
      </c>
      <c r="DA294" s="415">
        <v>0</v>
      </c>
      <c r="DB294" s="415">
        <v>0</v>
      </c>
      <c r="DC294" s="415">
        <v>0</v>
      </c>
      <c r="DD294" s="415">
        <v>0</v>
      </c>
      <c r="DE294" s="415">
        <v>0</v>
      </c>
      <c r="DF294" s="415">
        <v>0</v>
      </c>
      <c r="DG294" s="415">
        <v>0</v>
      </c>
      <c r="DH294" s="415">
        <v>0</v>
      </c>
      <c r="DI294" s="410">
        <f t="shared" si="118"/>
        <v>0</v>
      </c>
      <c r="DJ294" s="415">
        <v>0</v>
      </c>
      <c r="DK294" s="415">
        <v>0</v>
      </c>
      <c r="DL294" s="415">
        <v>0</v>
      </c>
      <c r="DM294" s="415">
        <v>0</v>
      </c>
      <c r="DN294" s="415">
        <v>0</v>
      </c>
      <c r="DO294" s="415">
        <v>0</v>
      </c>
      <c r="DP294" s="415">
        <v>0</v>
      </c>
      <c r="DQ294" s="415">
        <v>0</v>
      </c>
      <c r="DR294" s="415">
        <v>0</v>
      </c>
      <c r="DS294" s="415">
        <v>3</v>
      </c>
      <c r="DT294" s="415">
        <v>0</v>
      </c>
      <c r="DU294" s="415">
        <v>0</v>
      </c>
      <c r="DV294" s="410">
        <f t="shared" si="119"/>
        <v>3</v>
      </c>
      <c r="DW294" s="415">
        <v>0</v>
      </c>
      <c r="DX294" s="415">
        <v>0</v>
      </c>
      <c r="DY294" s="415">
        <v>0</v>
      </c>
      <c r="DZ294" s="415">
        <v>0</v>
      </c>
      <c r="EA294" s="415">
        <v>0</v>
      </c>
      <c r="EB294" s="415">
        <v>0</v>
      </c>
      <c r="EC294" s="415">
        <v>0</v>
      </c>
      <c r="ED294" s="415">
        <v>0</v>
      </c>
      <c r="EE294" s="415">
        <v>0</v>
      </c>
      <c r="EF294" s="415">
        <v>0</v>
      </c>
      <c r="EG294" s="415">
        <v>2</v>
      </c>
      <c r="EH294" s="415">
        <v>0</v>
      </c>
      <c r="EI294" s="410">
        <f t="shared" si="120"/>
        <v>2</v>
      </c>
      <c r="EJ294" s="415">
        <v>0</v>
      </c>
      <c r="EK294" s="415">
        <v>0</v>
      </c>
      <c r="EL294" s="415">
        <v>0</v>
      </c>
      <c r="EM294" s="415">
        <v>0</v>
      </c>
      <c r="EN294" s="415">
        <v>0</v>
      </c>
      <c r="EO294" s="415">
        <v>0</v>
      </c>
      <c r="EP294" s="415">
        <v>0</v>
      </c>
      <c r="EQ294" s="415">
        <v>0</v>
      </c>
      <c r="ER294" s="415">
        <v>0</v>
      </c>
      <c r="ES294" s="415">
        <v>0</v>
      </c>
      <c r="ET294" s="415">
        <v>0</v>
      </c>
      <c r="EU294" s="415">
        <v>1</v>
      </c>
      <c r="EV294" s="410">
        <f t="shared" si="121"/>
        <v>1</v>
      </c>
      <c r="EW294" s="416">
        <f t="shared" si="122"/>
        <v>6</v>
      </c>
      <c r="EX294" s="417">
        <f>IFERROR(VLOOKUP(H294,CEI_012018!$A$1:$U$509,9,FALSE),0)</f>
        <v>0</v>
      </c>
      <c r="EY294" s="417">
        <f>IFERROR(VLOOKUP(H294,CEI_022018!$A$1:$U$509,9,FALSE),0)</f>
        <v>0</v>
      </c>
      <c r="EZ294" s="417">
        <f>IFERROR(VLOOKUP(H294,CEI_032018!$A$1:$U$509,9,FALSE),0)</f>
        <v>0</v>
      </c>
      <c r="FA294" s="417">
        <f>IFERROR(VLOOKUP(H294,CEI_042018!$A$1:$U$491,9,FALSE),0)</f>
        <v>0</v>
      </c>
      <c r="FB294" s="417">
        <f>IFERROR(VLOOKUP(H294,CEI_052018!$A$1:$U$489,9,FALSE),0)</f>
        <v>0</v>
      </c>
      <c r="FC294" s="417">
        <f>IFERROR(VLOOKUP(H294,CEI_062018!$A$1:$U$489,9,FALSE),0)</f>
        <v>0</v>
      </c>
      <c r="FD294" s="417">
        <f>IFERROR(VLOOKUP(H294,CEI_072018!$A$1:$U$489,9,FALSE),0)</f>
        <v>0</v>
      </c>
      <c r="FE294" s="417">
        <f>IFERROR(VLOOKUP(H294,CEI_082018!$A$1:$U$489,9,FALSE),0)</f>
        <v>0</v>
      </c>
      <c r="FF294" s="417">
        <f>IFERROR(VLOOKUP(H294,CEI_092018!$A$1:$U$489,9,FALSE),0)</f>
        <v>0</v>
      </c>
      <c r="FG294" s="417"/>
      <c r="FH294" s="417"/>
      <c r="FI294" s="417"/>
      <c r="FJ294" s="418">
        <f>IFERROR(VLOOKUP(H294,CEI_092018!$A$1:$U$489,12,FALSE),0)</f>
        <v>0</v>
      </c>
      <c r="FK294" s="418">
        <f t="shared" si="99"/>
        <v>0</v>
      </c>
      <c r="FL294" s="418">
        <f t="shared" si="100"/>
        <v>0</v>
      </c>
      <c r="FM294" s="417"/>
      <c r="FN294" s="417"/>
      <c r="FO294" s="417"/>
      <c r="FP294" s="417"/>
      <c r="FQ294" s="417"/>
      <c r="FR294" s="417"/>
      <c r="FS294" s="417"/>
      <c r="FT294" s="417"/>
      <c r="FU294" s="417"/>
      <c r="FV294" s="417"/>
      <c r="FW294" s="417"/>
      <c r="FX294" s="417"/>
      <c r="FY294" s="418"/>
      <c r="FZ294" s="418"/>
      <c r="GA294" s="418"/>
      <c r="GB294" s="417"/>
      <c r="GC294" s="417"/>
      <c r="GD294" s="417"/>
      <c r="GE294" s="417"/>
      <c r="GF294" s="417"/>
      <c r="GG294" s="417"/>
      <c r="GH294" s="417"/>
      <c r="GI294" s="417"/>
      <c r="GJ294" s="417"/>
      <c r="GK294" s="417"/>
      <c r="GL294" s="417"/>
      <c r="GM294" s="417"/>
      <c r="GN294" s="418"/>
      <c r="GO294" s="418"/>
      <c r="GP294" s="418"/>
      <c r="GQ294" s="417"/>
      <c r="GR294" s="417"/>
      <c r="GS294" s="417"/>
      <c r="GT294" s="417"/>
      <c r="GU294" s="417"/>
      <c r="GV294" s="417"/>
      <c r="GW294" s="417"/>
      <c r="GX294" s="417"/>
      <c r="GY294" s="417"/>
      <c r="GZ294" s="417"/>
      <c r="HA294" s="417"/>
      <c r="HB294" s="417"/>
      <c r="HC294" s="418"/>
      <c r="HD294" s="418"/>
      <c r="HE294" s="418"/>
      <c r="HF294" s="417"/>
      <c r="HG294" s="417"/>
      <c r="HH294" s="417"/>
      <c r="HI294" s="417"/>
      <c r="HJ294" s="417"/>
      <c r="HK294" s="417"/>
      <c r="HL294" s="417"/>
      <c r="HM294" s="417"/>
      <c r="HN294" s="417"/>
      <c r="HO294" s="417"/>
      <c r="HP294" s="417"/>
      <c r="HQ294" s="417"/>
      <c r="HR294" s="418"/>
      <c r="HS294" s="418"/>
      <c r="HT294" s="418"/>
    </row>
    <row r="295" spans="1:228" s="387" customFormat="1" ht="12.75" customHeight="1" x14ac:dyDescent="0.2">
      <c r="A295" s="406" t="s">
        <v>55</v>
      </c>
      <c r="B295" s="407" t="s">
        <v>42</v>
      </c>
      <c r="C295" s="406" t="s">
        <v>297</v>
      </c>
      <c r="D295" s="407" t="s">
        <v>1007</v>
      </c>
      <c r="E295" s="407" t="s">
        <v>297</v>
      </c>
      <c r="F295" s="407" t="s">
        <v>1007</v>
      </c>
      <c r="G295" s="406" t="s">
        <v>54</v>
      </c>
      <c r="H295" s="408" t="s">
        <v>520</v>
      </c>
      <c r="I295" s="408" t="s">
        <v>57</v>
      </c>
      <c r="J295" s="406" t="s">
        <v>957</v>
      </c>
      <c r="K295" s="406" t="s">
        <v>785</v>
      </c>
      <c r="L295" s="406" t="s">
        <v>786</v>
      </c>
      <c r="M295" s="406" t="s">
        <v>57</v>
      </c>
      <c r="N295" s="452">
        <v>0</v>
      </c>
      <c r="O295" s="452">
        <v>0</v>
      </c>
      <c r="P295" s="452">
        <v>0</v>
      </c>
      <c r="Q295" s="452">
        <v>0</v>
      </c>
      <c r="R295" s="452">
        <v>0</v>
      </c>
      <c r="S295" s="452">
        <v>0</v>
      </c>
      <c r="T295" s="452">
        <v>0</v>
      </c>
      <c r="U295" s="409">
        <v>0</v>
      </c>
      <c r="V295" s="409">
        <v>0</v>
      </c>
      <c r="W295" s="409">
        <v>0</v>
      </c>
      <c r="X295" s="409">
        <v>0</v>
      </c>
      <c r="Y295" s="409">
        <v>0</v>
      </c>
      <c r="Z295" s="453">
        <f t="shared" si="108"/>
        <v>0</v>
      </c>
      <c r="AA295" s="452">
        <v>0</v>
      </c>
      <c r="AB295" s="452">
        <v>0</v>
      </c>
      <c r="AC295" s="452">
        <v>0</v>
      </c>
      <c r="AD295" s="452">
        <v>0</v>
      </c>
      <c r="AE295" s="452">
        <v>0</v>
      </c>
      <c r="AF295" s="452">
        <v>0</v>
      </c>
      <c r="AG295" s="452">
        <v>0</v>
      </c>
      <c r="AH295" s="409">
        <v>0</v>
      </c>
      <c r="AI295" s="409">
        <v>0</v>
      </c>
      <c r="AJ295" s="409">
        <v>0</v>
      </c>
      <c r="AK295" s="409">
        <v>0</v>
      </c>
      <c r="AL295" s="409">
        <v>0</v>
      </c>
      <c r="AM295" s="453">
        <f t="shared" si="103"/>
        <v>0</v>
      </c>
      <c r="AN295" s="452">
        <v>0</v>
      </c>
      <c r="AO295" s="452">
        <v>0</v>
      </c>
      <c r="AP295" s="452">
        <v>900</v>
      </c>
      <c r="AQ295" s="452">
        <v>0</v>
      </c>
      <c r="AR295" s="452">
        <v>0</v>
      </c>
      <c r="AS295" s="452">
        <v>0</v>
      </c>
      <c r="AT295" s="452">
        <v>0</v>
      </c>
      <c r="AU295" s="409">
        <v>0</v>
      </c>
      <c r="AV295" s="409">
        <v>0</v>
      </c>
      <c r="AW295" s="409">
        <v>0</v>
      </c>
      <c r="AX295" s="409">
        <v>0</v>
      </c>
      <c r="AY295" s="409">
        <v>0</v>
      </c>
      <c r="AZ295" s="453">
        <f t="shared" si="104"/>
        <v>900</v>
      </c>
      <c r="BA295" s="452">
        <v>0</v>
      </c>
      <c r="BB295" s="452">
        <v>0</v>
      </c>
      <c r="BC295" s="452">
        <v>0</v>
      </c>
      <c r="BD295" s="452">
        <v>0</v>
      </c>
      <c r="BE295" s="452">
        <v>0</v>
      </c>
      <c r="BF295" s="452">
        <v>0</v>
      </c>
      <c r="BG295" s="452">
        <v>0</v>
      </c>
      <c r="BH295" s="409">
        <v>0</v>
      </c>
      <c r="BI295" s="409">
        <v>0</v>
      </c>
      <c r="BJ295" s="409">
        <v>0</v>
      </c>
      <c r="BK295" s="409">
        <v>0</v>
      </c>
      <c r="BL295" s="409">
        <v>0</v>
      </c>
      <c r="BM295" s="453">
        <f t="shared" si="105"/>
        <v>0</v>
      </c>
      <c r="BN295" s="452">
        <v>0</v>
      </c>
      <c r="BO295" s="452">
        <v>0</v>
      </c>
      <c r="BP295" s="452">
        <v>0</v>
      </c>
      <c r="BQ295" s="452">
        <v>0</v>
      </c>
      <c r="BR295" s="452">
        <v>0</v>
      </c>
      <c r="BS295" s="452">
        <v>0</v>
      </c>
      <c r="BT295" s="452">
        <v>0</v>
      </c>
      <c r="BU295" s="409">
        <v>0</v>
      </c>
      <c r="BV295" s="409">
        <v>0</v>
      </c>
      <c r="BW295" s="409">
        <v>0</v>
      </c>
      <c r="BX295" s="409">
        <v>0</v>
      </c>
      <c r="BY295" s="409">
        <v>0</v>
      </c>
      <c r="BZ295" s="453">
        <f t="shared" si="106"/>
        <v>0</v>
      </c>
      <c r="CA295" s="454">
        <f t="shared" si="107"/>
        <v>900</v>
      </c>
      <c r="CB295" s="411"/>
      <c r="CC295" s="411"/>
      <c r="CD295" s="411"/>
      <c r="CE295" s="411"/>
      <c r="CF295" s="411"/>
      <c r="CG295" s="412"/>
      <c r="CH295" s="413"/>
      <c r="CI295" s="414" t="s">
        <v>1621</v>
      </c>
      <c r="CJ295" s="415">
        <v>0</v>
      </c>
      <c r="CK295" s="415">
        <v>0</v>
      </c>
      <c r="CL295" s="415">
        <v>0</v>
      </c>
      <c r="CM295" s="415">
        <v>0</v>
      </c>
      <c r="CN295" s="415">
        <v>0</v>
      </c>
      <c r="CO295" s="415">
        <v>0</v>
      </c>
      <c r="CP295" s="415">
        <v>0</v>
      </c>
      <c r="CQ295" s="415">
        <v>0</v>
      </c>
      <c r="CR295" s="415">
        <v>0</v>
      </c>
      <c r="CS295" s="415">
        <v>0</v>
      </c>
      <c r="CT295" s="415">
        <v>0</v>
      </c>
      <c r="CU295" s="415">
        <v>0</v>
      </c>
      <c r="CV295" s="410">
        <f t="shared" si="117"/>
        <v>0</v>
      </c>
      <c r="CW295" s="415">
        <v>0</v>
      </c>
      <c r="CX295" s="415">
        <v>0</v>
      </c>
      <c r="CY295" s="415">
        <v>0</v>
      </c>
      <c r="CZ295" s="415">
        <v>0</v>
      </c>
      <c r="DA295" s="415">
        <v>0</v>
      </c>
      <c r="DB295" s="415">
        <v>0</v>
      </c>
      <c r="DC295" s="415">
        <v>0</v>
      </c>
      <c r="DD295" s="415">
        <v>0</v>
      </c>
      <c r="DE295" s="415">
        <v>0</v>
      </c>
      <c r="DF295" s="415">
        <v>0</v>
      </c>
      <c r="DG295" s="415">
        <v>0</v>
      </c>
      <c r="DH295" s="415">
        <v>0</v>
      </c>
      <c r="DI295" s="410">
        <f t="shared" si="118"/>
        <v>0</v>
      </c>
      <c r="DJ295" s="415">
        <v>0</v>
      </c>
      <c r="DK295" s="415">
        <v>0</v>
      </c>
      <c r="DL295" s="415">
        <v>1</v>
      </c>
      <c r="DM295" s="415">
        <v>0</v>
      </c>
      <c r="DN295" s="415">
        <v>0</v>
      </c>
      <c r="DO295" s="415">
        <v>0</v>
      </c>
      <c r="DP295" s="415">
        <v>0</v>
      </c>
      <c r="DQ295" s="415">
        <v>0</v>
      </c>
      <c r="DR295" s="415">
        <v>0</v>
      </c>
      <c r="DS295" s="415">
        <v>0</v>
      </c>
      <c r="DT295" s="415">
        <v>0</v>
      </c>
      <c r="DU295" s="415">
        <v>0</v>
      </c>
      <c r="DV295" s="410">
        <f t="shared" si="119"/>
        <v>1</v>
      </c>
      <c r="DW295" s="415">
        <v>0</v>
      </c>
      <c r="DX295" s="415">
        <v>0</v>
      </c>
      <c r="DY295" s="415">
        <v>0</v>
      </c>
      <c r="DZ295" s="415">
        <v>0</v>
      </c>
      <c r="EA295" s="415">
        <v>0</v>
      </c>
      <c r="EB295" s="415">
        <v>0</v>
      </c>
      <c r="EC295" s="415">
        <v>0</v>
      </c>
      <c r="ED295" s="415">
        <v>0</v>
      </c>
      <c r="EE295" s="415">
        <v>0</v>
      </c>
      <c r="EF295" s="415">
        <v>0</v>
      </c>
      <c r="EG295" s="415">
        <v>0</v>
      </c>
      <c r="EH295" s="415">
        <v>0</v>
      </c>
      <c r="EI295" s="410">
        <f t="shared" si="120"/>
        <v>0</v>
      </c>
      <c r="EJ295" s="415">
        <v>0</v>
      </c>
      <c r="EK295" s="415">
        <v>0</v>
      </c>
      <c r="EL295" s="415">
        <v>0</v>
      </c>
      <c r="EM295" s="415">
        <v>0</v>
      </c>
      <c r="EN295" s="415">
        <v>0</v>
      </c>
      <c r="EO295" s="415">
        <v>0</v>
      </c>
      <c r="EP295" s="415">
        <v>0</v>
      </c>
      <c r="EQ295" s="415">
        <v>0</v>
      </c>
      <c r="ER295" s="415">
        <v>0</v>
      </c>
      <c r="ES295" s="415">
        <v>0</v>
      </c>
      <c r="ET295" s="415">
        <v>0</v>
      </c>
      <c r="EU295" s="415">
        <v>0</v>
      </c>
      <c r="EV295" s="410">
        <f t="shared" si="121"/>
        <v>0</v>
      </c>
      <c r="EW295" s="416">
        <f t="shared" si="122"/>
        <v>1</v>
      </c>
      <c r="EX295" s="417">
        <f>IFERROR(VLOOKUP(H295,CEI_012018!$A$1:$U$509,9,FALSE),0)</f>
        <v>0</v>
      </c>
      <c r="EY295" s="417">
        <f>IFERROR(VLOOKUP(H295,CEI_022018!$A$1:$U$509,9,FALSE),0)</f>
        <v>0</v>
      </c>
      <c r="EZ295" s="417">
        <f>IFERROR(VLOOKUP(H295,CEI_032018!$A$1:$U$509,9,FALSE),0)</f>
        <v>0</v>
      </c>
      <c r="FA295" s="417">
        <f>IFERROR(VLOOKUP(H295,CEI_042018!$A$1:$U$491,9,FALSE),0)</f>
        <v>0</v>
      </c>
      <c r="FB295" s="417">
        <f>IFERROR(VLOOKUP(H295,CEI_052018!$A$1:$U$489,9,FALSE),0)</f>
        <v>0</v>
      </c>
      <c r="FC295" s="417">
        <f>IFERROR(VLOOKUP(H295,CEI_062018!$A$1:$U$489,9,FALSE),0)</f>
        <v>0</v>
      </c>
      <c r="FD295" s="417">
        <f>IFERROR(VLOOKUP(H295,CEI_072018!$A$1:$U$489,9,FALSE),0)</f>
        <v>0</v>
      </c>
      <c r="FE295" s="417">
        <f>IFERROR(VLOOKUP(H295,CEI_082018!$A$1:$U$489,9,FALSE),0)</f>
        <v>0</v>
      </c>
      <c r="FF295" s="417">
        <f>IFERROR(VLOOKUP(H295,CEI_092018!$A$1:$U$489,9,FALSE),0)</f>
        <v>0</v>
      </c>
      <c r="FG295" s="417"/>
      <c r="FH295" s="417"/>
      <c r="FI295" s="417"/>
      <c r="FJ295" s="418">
        <f>IFERROR(VLOOKUP(H295,CEI_092018!$A$1:$U$489,12,FALSE),0)</f>
        <v>0</v>
      </c>
      <c r="FK295" s="418">
        <f t="shared" si="99"/>
        <v>0</v>
      </c>
      <c r="FL295" s="418">
        <f t="shared" si="100"/>
        <v>0</v>
      </c>
      <c r="FM295" s="417"/>
      <c r="FN295" s="417"/>
      <c r="FO295" s="417"/>
      <c r="FP295" s="417"/>
      <c r="FQ295" s="417"/>
      <c r="FR295" s="417"/>
      <c r="FS295" s="417"/>
      <c r="FT295" s="417"/>
      <c r="FU295" s="417"/>
      <c r="FV295" s="417"/>
      <c r="FW295" s="417"/>
      <c r="FX295" s="417"/>
      <c r="FY295" s="418"/>
      <c r="FZ295" s="418"/>
      <c r="GA295" s="418"/>
      <c r="GB295" s="417"/>
      <c r="GC295" s="417"/>
      <c r="GD295" s="417"/>
      <c r="GE295" s="417"/>
      <c r="GF295" s="417"/>
      <c r="GG295" s="417"/>
      <c r="GH295" s="417"/>
      <c r="GI295" s="417"/>
      <c r="GJ295" s="417"/>
      <c r="GK295" s="417"/>
      <c r="GL295" s="417"/>
      <c r="GM295" s="417"/>
      <c r="GN295" s="418"/>
      <c r="GO295" s="418"/>
      <c r="GP295" s="418"/>
      <c r="GQ295" s="417"/>
      <c r="GR295" s="417"/>
      <c r="GS295" s="417"/>
      <c r="GT295" s="417"/>
      <c r="GU295" s="417"/>
      <c r="GV295" s="417"/>
      <c r="GW295" s="417"/>
      <c r="GX295" s="417"/>
      <c r="GY295" s="417"/>
      <c r="GZ295" s="417"/>
      <c r="HA295" s="417"/>
      <c r="HB295" s="417"/>
      <c r="HC295" s="418"/>
      <c r="HD295" s="418"/>
      <c r="HE295" s="418"/>
      <c r="HF295" s="417"/>
      <c r="HG295" s="417"/>
      <c r="HH295" s="417"/>
      <c r="HI295" s="417"/>
      <c r="HJ295" s="417"/>
      <c r="HK295" s="417"/>
      <c r="HL295" s="417"/>
      <c r="HM295" s="417"/>
      <c r="HN295" s="417"/>
      <c r="HO295" s="417"/>
      <c r="HP295" s="417"/>
      <c r="HQ295" s="417"/>
      <c r="HR295" s="418"/>
      <c r="HS295" s="418"/>
      <c r="HT295" s="418"/>
    </row>
    <row r="296" spans="1:228" s="387" customFormat="1" ht="12.75" customHeight="1" x14ac:dyDescent="0.2">
      <c r="A296" s="406" t="s">
        <v>55</v>
      </c>
      <c r="B296" s="407" t="s">
        <v>42</v>
      </c>
      <c r="C296" s="406" t="s">
        <v>297</v>
      </c>
      <c r="D296" s="407" t="s">
        <v>1007</v>
      </c>
      <c r="E296" s="407" t="s">
        <v>297</v>
      </c>
      <c r="F296" s="407" t="s">
        <v>1007</v>
      </c>
      <c r="G296" s="406" t="s">
        <v>54</v>
      </c>
      <c r="H296" s="408" t="s">
        <v>1106</v>
      </c>
      <c r="I296" s="408" t="s">
        <v>1107</v>
      </c>
      <c r="J296" s="406" t="s">
        <v>1108</v>
      </c>
      <c r="K296" s="406" t="s">
        <v>1109</v>
      </c>
      <c r="L296" s="406" t="s">
        <v>969</v>
      </c>
      <c r="M296" s="406" t="s">
        <v>1783</v>
      </c>
      <c r="N296" s="452">
        <v>0</v>
      </c>
      <c r="O296" s="452">
        <v>0</v>
      </c>
      <c r="P296" s="452">
        <v>0</v>
      </c>
      <c r="Q296" s="452">
        <v>1236.459716796875</v>
      </c>
      <c r="R296" s="452">
        <v>0</v>
      </c>
      <c r="S296" s="452">
        <v>0</v>
      </c>
      <c r="T296" s="452">
        <v>0</v>
      </c>
      <c r="U296" s="409">
        <v>0</v>
      </c>
      <c r="V296" s="409">
        <v>0</v>
      </c>
      <c r="W296" s="409">
        <v>0</v>
      </c>
      <c r="X296" s="409">
        <v>0</v>
      </c>
      <c r="Y296" s="409">
        <v>0</v>
      </c>
      <c r="Z296" s="453">
        <f t="shared" si="108"/>
        <v>1236.459716796875</v>
      </c>
      <c r="AA296" s="452">
        <v>0</v>
      </c>
      <c r="AB296" s="452">
        <v>0</v>
      </c>
      <c r="AC296" s="452">
        <v>0</v>
      </c>
      <c r="AD296" s="452">
        <v>0</v>
      </c>
      <c r="AE296" s="452">
        <v>0</v>
      </c>
      <c r="AF296" s="452">
        <v>0</v>
      </c>
      <c r="AG296" s="452">
        <v>0</v>
      </c>
      <c r="AH296" s="409">
        <v>0</v>
      </c>
      <c r="AI296" s="409">
        <v>0</v>
      </c>
      <c r="AJ296" s="409">
        <v>0</v>
      </c>
      <c r="AK296" s="409">
        <v>0</v>
      </c>
      <c r="AL296" s="409">
        <v>0</v>
      </c>
      <c r="AM296" s="453">
        <f t="shared" si="103"/>
        <v>0</v>
      </c>
      <c r="AN296" s="452">
        <v>0</v>
      </c>
      <c r="AO296" s="452">
        <v>0</v>
      </c>
      <c r="AP296" s="452">
        <v>0</v>
      </c>
      <c r="AQ296" s="452">
        <v>0</v>
      </c>
      <c r="AR296" s="452">
        <v>0</v>
      </c>
      <c r="AS296" s="452">
        <v>0</v>
      </c>
      <c r="AT296" s="452">
        <v>0</v>
      </c>
      <c r="AU296" s="409">
        <v>0</v>
      </c>
      <c r="AV296" s="409">
        <v>0</v>
      </c>
      <c r="AW296" s="409">
        <v>0</v>
      </c>
      <c r="AX296" s="409">
        <v>0</v>
      </c>
      <c r="AY296" s="409">
        <v>0</v>
      </c>
      <c r="AZ296" s="453">
        <f t="shared" si="104"/>
        <v>0</v>
      </c>
      <c r="BA296" s="452">
        <v>0</v>
      </c>
      <c r="BB296" s="452">
        <v>0</v>
      </c>
      <c r="BC296" s="452">
        <v>0</v>
      </c>
      <c r="BD296" s="452">
        <v>0</v>
      </c>
      <c r="BE296" s="452">
        <v>0</v>
      </c>
      <c r="BF296" s="452">
        <v>1000</v>
      </c>
      <c r="BG296" s="452">
        <v>0</v>
      </c>
      <c r="BH296" s="409">
        <v>0</v>
      </c>
      <c r="BI296" s="409">
        <v>0</v>
      </c>
      <c r="BJ296" s="409">
        <v>0</v>
      </c>
      <c r="BK296" s="409">
        <v>0</v>
      </c>
      <c r="BL296" s="409">
        <v>0</v>
      </c>
      <c r="BM296" s="453">
        <f t="shared" si="105"/>
        <v>1000</v>
      </c>
      <c r="BN296" s="452">
        <v>0</v>
      </c>
      <c r="BO296" s="452">
        <v>0</v>
      </c>
      <c r="BP296" s="452">
        <v>0</v>
      </c>
      <c r="BQ296" s="452">
        <v>0</v>
      </c>
      <c r="BR296" s="452">
        <v>0</v>
      </c>
      <c r="BS296" s="452">
        <v>0</v>
      </c>
      <c r="BT296" s="452">
        <v>0</v>
      </c>
      <c r="BU296" s="409">
        <v>0</v>
      </c>
      <c r="BV296" s="409">
        <v>0</v>
      </c>
      <c r="BW296" s="409">
        <v>0</v>
      </c>
      <c r="BX296" s="409">
        <v>0</v>
      </c>
      <c r="BY296" s="409">
        <v>0</v>
      </c>
      <c r="BZ296" s="453">
        <f t="shared" si="106"/>
        <v>0</v>
      </c>
      <c r="CA296" s="454">
        <f t="shared" si="107"/>
        <v>2236.459716796875</v>
      </c>
      <c r="CB296" s="419"/>
      <c r="CC296" s="419">
        <v>1</v>
      </c>
      <c r="CD296" s="419">
        <v>1</v>
      </c>
      <c r="CE296" s="419">
        <v>1</v>
      </c>
      <c r="CF296" s="419">
        <v>1</v>
      </c>
      <c r="CG296" s="420">
        <f>IFERROR((FE296/Z296%),0)</f>
        <v>100</v>
      </c>
      <c r="CH296" s="421">
        <f>IFERROR((FK296/Z296%),0)</f>
        <v>100</v>
      </c>
      <c r="CI296" s="414" t="s">
        <v>1624</v>
      </c>
      <c r="CJ296" s="415">
        <v>0</v>
      </c>
      <c r="CK296" s="415">
        <v>0</v>
      </c>
      <c r="CL296" s="415">
        <v>0</v>
      </c>
      <c r="CM296" s="415">
        <v>4</v>
      </c>
      <c r="CN296" s="415">
        <v>0</v>
      </c>
      <c r="CO296" s="415">
        <v>0</v>
      </c>
      <c r="CP296" s="415">
        <v>0</v>
      </c>
      <c r="CQ296" s="415">
        <v>0</v>
      </c>
      <c r="CR296" s="415">
        <v>0</v>
      </c>
      <c r="CS296" s="415">
        <v>0</v>
      </c>
      <c r="CT296" s="415">
        <v>0</v>
      </c>
      <c r="CU296" s="415">
        <v>0</v>
      </c>
      <c r="CV296" s="410">
        <f t="shared" si="117"/>
        <v>4</v>
      </c>
      <c r="CW296" s="415">
        <v>0</v>
      </c>
      <c r="CX296" s="415">
        <v>0</v>
      </c>
      <c r="CY296" s="415">
        <v>0</v>
      </c>
      <c r="CZ296" s="415">
        <v>0</v>
      </c>
      <c r="DA296" s="415">
        <v>0</v>
      </c>
      <c r="DB296" s="415">
        <v>0</v>
      </c>
      <c r="DC296" s="415">
        <v>0</v>
      </c>
      <c r="DD296" s="415">
        <v>0</v>
      </c>
      <c r="DE296" s="415">
        <v>0</v>
      </c>
      <c r="DF296" s="415">
        <v>0</v>
      </c>
      <c r="DG296" s="415">
        <v>0</v>
      </c>
      <c r="DH296" s="415">
        <v>0</v>
      </c>
      <c r="DI296" s="410">
        <f t="shared" si="118"/>
        <v>0</v>
      </c>
      <c r="DJ296" s="415">
        <v>0</v>
      </c>
      <c r="DK296" s="415">
        <v>0</v>
      </c>
      <c r="DL296" s="415">
        <v>0</v>
      </c>
      <c r="DM296" s="415">
        <v>0</v>
      </c>
      <c r="DN296" s="415">
        <v>0</v>
      </c>
      <c r="DO296" s="415">
        <v>0</v>
      </c>
      <c r="DP296" s="415">
        <v>0</v>
      </c>
      <c r="DQ296" s="415">
        <v>0</v>
      </c>
      <c r="DR296" s="415">
        <v>0</v>
      </c>
      <c r="DS296" s="415">
        <v>0</v>
      </c>
      <c r="DT296" s="415">
        <v>0</v>
      </c>
      <c r="DU296" s="415">
        <v>0</v>
      </c>
      <c r="DV296" s="410">
        <f t="shared" si="119"/>
        <v>0</v>
      </c>
      <c r="DW296" s="415">
        <v>0</v>
      </c>
      <c r="DX296" s="415">
        <v>0</v>
      </c>
      <c r="DY296" s="415">
        <v>0</v>
      </c>
      <c r="DZ296" s="415">
        <v>0</v>
      </c>
      <c r="EA296" s="415">
        <v>0</v>
      </c>
      <c r="EB296" s="415">
        <v>4</v>
      </c>
      <c r="EC296" s="415">
        <v>0</v>
      </c>
      <c r="ED296" s="415">
        <v>0</v>
      </c>
      <c r="EE296" s="415">
        <v>0</v>
      </c>
      <c r="EF296" s="415">
        <v>0</v>
      </c>
      <c r="EG296" s="415">
        <v>0</v>
      </c>
      <c r="EH296" s="415">
        <v>0</v>
      </c>
      <c r="EI296" s="410">
        <f t="shared" si="120"/>
        <v>4</v>
      </c>
      <c r="EJ296" s="415">
        <v>0</v>
      </c>
      <c r="EK296" s="415">
        <v>0</v>
      </c>
      <c r="EL296" s="415">
        <v>0</v>
      </c>
      <c r="EM296" s="415">
        <v>0</v>
      </c>
      <c r="EN296" s="415">
        <v>0</v>
      </c>
      <c r="EO296" s="415">
        <v>0</v>
      </c>
      <c r="EP296" s="415">
        <v>0</v>
      </c>
      <c r="EQ296" s="415">
        <v>0</v>
      </c>
      <c r="ER296" s="415">
        <v>0</v>
      </c>
      <c r="ES296" s="415">
        <v>0</v>
      </c>
      <c r="ET296" s="415">
        <v>0</v>
      </c>
      <c r="EU296" s="415">
        <v>0</v>
      </c>
      <c r="EV296" s="410">
        <f t="shared" si="121"/>
        <v>0</v>
      </c>
      <c r="EW296" s="416">
        <f t="shared" si="122"/>
        <v>8</v>
      </c>
      <c r="EX296" s="417">
        <f>IFERROR(VLOOKUP(H296,CEI_012018!$A$1:$U$509,9,FALSE),0)</f>
        <v>0</v>
      </c>
      <c r="EY296" s="417">
        <f>IFERROR(VLOOKUP(H296,CEI_022018!$A$1:$U$509,9,FALSE),0)</f>
        <v>0</v>
      </c>
      <c r="EZ296" s="417">
        <f>IFERROR(VLOOKUP(H296,CEI_032018!$A$1:$U$509,9,FALSE),0)</f>
        <v>0</v>
      </c>
      <c r="FA296" s="417">
        <f>IFERROR(VLOOKUP(H296,CEI_042018!$A$1:$U$491,9,FALSE),0)</f>
        <v>1236.459716796875</v>
      </c>
      <c r="FB296" s="417">
        <f>IFERROR(VLOOKUP(H296,CEI_052018!$A$1:$U$489,9,FALSE),0)</f>
        <v>1236.459716796875</v>
      </c>
      <c r="FC296" s="417">
        <f>IFERROR(VLOOKUP(H296,CEI_062018!$A$1:$U$489,9,FALSE),0)</f>
        <v>1236.459716796875</v>
      </c>
      <c r="FD296" s="417">
        <f>IFERROR(VLOOKUP(H296,CEI_072018!$A$1:$U$489,9,FALSE),0)</f>
        <v>1236.459716796875</v>
      </c>
      <c r="FE296" s="417">
        <f>IFERROR(VLOOKUP(H296,CEI_082018!$A$1:$U$489,9,FALSE),0)</f>
        <v>1236.459716796875</v>
      </c>
      <c r="FF296" s="417">
        <f>IFERROR(VLOOKUP(H296,CEI_092018!$A$1:$U$489,9,FALSE),0)</f>
        <v>1236.459716796875</v>
      </c>
      <c r="FG296" s="417"/>
      <c r="FH296" s="417"/>
      <c r="FI296" s="417"/>
      <c r="FJ296" s="418">
        <f>IFERROR(VLOOKUP(H296,CEI_092018!$A$1:$U$489,12,FALSE),0)</f>
        <v>0</v>
      </c>
      <c r="FK296" s="418">
        <f t="shared" si="99"/>
        <v>1236.459716796875</v>
      </c>
      <c r="FL296" s="418">
        <f t="shared" si="100"/>
        <v>0</v>
      </c>
      <c r="FM296" s="417"/>
      <c r="FN296" s="417"/>
      <c r="FO296" s="417"/>
      <c r="FP296" s="417"/>
      <c r="FQ296" s="417"/>
      <c r="FR296" s="417"/>
      <c r="FS296" s="417"/>
      <c r="FT296" s="417"/>
      <c r="FU296" s="417"/>
      <c r="FV296" s="417"/>
      <c r="FW296" s="417"/>
      <c r="FX296" s="417"/>
      <c r="FY296" s="418"/>
      <c r="FZ296" s="418"/>
      <c r="GA296" s="418"/>
      <c r="GB296" s="417"/>
      <c r="GC296" s="417"/>
      <c r="GD296" s="417"/>
      <c r="GE296" s="417"/>
      <c r="GF296" s="417"/>
      <c r="GG296" s="417"/>
      <c r="GH296" s="417"/>
      <c r="GI296" s="417"/>
      <c r="GJ296" s="417"/>
      <c r="GK296" s="417"/>
      <c r="GL296" s="417"/>
      <c r="GM296" s="417"/>
      <c r="GN296" s="418"/>
      <c r="GO296" s="418"/>
      <c r="GP296" s="418"/>
      <c r="GQ296" s="417"/>
      <c r="GR296" s="417"/>
      <c r="GS296" s="417"/>
      <c r="GT296" s="417"/>
      <c r="GU296" s="417"/>
      <c r="GV296" s="417"/>
      <c r="GW296" s="417"/>
      <c r="GX296" s="417"/>
      <c r="GY296" s="417"/>
      <c r="GZ296" s="417"/>
      <c r="HA296" s="417"/>
      <c r="HB296" s="417"/>
      <c r="HC296" s="418"/>
      <c r="HD296" s="418"/>
      <c r="HE296" s="418"/>
      <c r="HF296" s="417"/>
      <c r="HG296" s="417"/>
      <c r="HH296" s="417"/>
      <c r="HI296" s="417"/>
      <c r="HJ296" s="417"/>
      <c r="HK296" s="417"/>
      <c r="HL296" s="417"/>
      <c r="HM296" s="417"/>
      <c r="HN296" s="417"/>
      <c r="HO296" s="417"/>
      <c r="HP296" s="417"/>
      <c r="HQ296" s="417"/>
      <c r="HR296" s="418"/>
      <c r="HS296" s="418"/>
      <c r="HT296" s="418"/>
    </row>
    <row r="297" spans="1:228" s="387" customFormat="1" ht="12.75" customHeight="1" x14ac:dyDescent="0.2">
      <c r="A297" s="406" t="s">
        <v>55</v>
      </c>
      <c r="B297" s="407" t="s">
        <v>42</v>
      </c>
      <c r="C297" s="406" t="s">
        <v>297</v>
      </c>
      <c r="D297" s="407" t="s">
        <v>1002</v>
      </c>
      <c r="E297" s="407" t="s">
        <v>297</v>
      </c>
      <c r="F297" s="407" t="s">
        <v>1002</v>
      </c>
      <c r="G297" s="406" t="s">
        <v>54</v>
      </c>
      <c r="H297" s="408" t="s">
        <v>520</v>
      </c>
      <c r="I297" s="408" t="s">
        <v>57</v>
      </c>
      <c r="J297" s="406" t="s">
        <v>788</v>
      </c>
      <c r="K297" s="406" t="s">
        <v>57</v>
      </c>
      <c r="L297" s="406" t="s">
        <v>57</v>
      </c>
      <c r="M297" s="406" t="s">
        <v>57</v>
      </c>
      <c r="N297" s="452">
        <v>0</v>
      </c>
      <c r="O297" s="452">
        <v>0</v>
      </c>
      <c r="P297" s="452">
        <v>0</v>
      </c>
      <c r="Q297" s="452">
        <v>0</v>
      </c>
      <c r="R297" s="452">
        <v>0</v>
      </c>
      <c r="S297" s="452">
        <v>0</v>
      </c>
      <c r="T297" s="452">
        <v>0</v>
      </c>
      <c r="U297" s="409">
        <v>0</v>
      </c>
      <c r="V297" s="409">
        <v>0</v>
      </c>
      <c r="W297" s="409">
        <v>0</v>
      </c>
      <c r="X297" s="409">
        <v>0</v>
      </c>
      <c r="Y297" s="409">
        <v>0</v>
      </c>
      <c r="Z297" s="453">
        <f t="shared" si="108"/>
        <v>0</v>
      </c>
      <c r="AA297" s="452">
        <v>0</v>
      </c>
      <c r="AB297" s="452">
        <v>0</v>
      </c>
      <c r="AC297" s="452">
        <v>0</v>
      </c>
      <c r="AD297" s="452">
        <v>0</v>
      </c>
      <c r="AE297" s="452">
        <v>0</v>
      </c>
      <c r="AF297" s="452">
        <v>0</v>
      </c>
      <c r="AG297" s="452">
        <v>0</v>
      </c>
      <c r="AH297" s="409">
        <v>0</v>
      </c>
      <c r="AI297" s="409">
        <v>0</v>
      </c>
      <c r="AJ297" s="409">
        <v>0</v>
      </c>
      <c r="AK297" s="409">
        <v>250</v>
      </c>
      <c r="AL297" s="409">
        <v>0</v>
      </c>
      <c r="AM297" s="453">
        <f t="shared" si="103"/>
        <v>250</v>
      </c>
      <c r="AN297" s="452">
        <v>0</v>
      </c>
      <c r="AO297" s="452">
        <v>0</v>
      </c>
      <c r="AP297" s="452">
        <v>0</v>
      </c>
      <c r="AQ297" s="452">
        <v>0</v>
      </c>
      <c r="AR297" s="452">
        <v>0</v>
      </c>
      <c r="AS297" s="452">
        <v>0</v>
      </c>
      <c r="AT297" s="452">
        <v>0</v>
      </c>
      <c r="AU297" s="409">
        <v>0</v>
      </c>
      <c r="AV297" s="409">
        <v>0</v>
      </c>
      <c r="AW297" s="409">
        <v>0</v>
      </c>
      <c r="AX297" s="409">
        <v>250</v>
      </c>
      <c r="AY297" s="409">
        <v>0</v>
      </c>
      <c r="AZ297" s="453">
        <f t="shared" si="104"/>
        <v>250</v>
      </c>
      <c r="BA297" s="452">
        <v>0</v>
      </c>
      <c r="BB297" s="452">
        <v>0</v>
      </c>
      <c r="BC297" s="452">
        <v>0</v>
      </c>
      <c r="BD297" s="452">
        <v>0</v>
      </c>
      <c r="BE297" s="452">
        <v>0</v>
      </c>
      <c r="BF297" s="452">
        <v>0</v>
      </c>
      <c r="BG297" s="452">
        <v>0</v>
      </c>
      <c r="BH297" s="409">
        <v>0</v>
      </c>
      <c r="BI297" s="409">
        <v>0</v>
      </c>
      <c r="BJ297" s="409">
        <v>0</v>
      </c>
      <c r="BK297" s="409">
        <v>0</v>
      </c>
      <c r="BL297" s="409">
        <v>0</v>
      </c>
      <c r="BM297" s="453">
        <f t="shared" si="105"/>
        <v>0</v>
      </c>
      <c r="BN297" s="452">
        <v>0</v>
      </c>
      <c r="BO297" s="452">
        <v>0</v>
      </c>
      <c r="BP297" s="452">
        <v>0</v>
      </c>
      <c r="BQ297" s="452">
        <v>0</v>
      </c>
      <c r="BR297" s="452">
        <v>0</v>
      </c>
      <c r="BS297" s="452">
        <v>0</v>
      </c>
      <c r="BT297" s="452">
        <v>0</v>
      </c>
      <c r="BU297" s="409">
        <v>0</v>
      </c>
      <c r="BV297" s="409">
        <v>0</v>
      </c>
      <c r="BW297" s="409">
        <v>0</v>
      </c>
      <c r="BX297" s="409">
        <v>0</v>
      </c>
      <c r="BY297" s="409">
        <v>0</v>
      </c>
      <c r="BZ297" s="453">
        <f t="shared" si="106"/>
        <v>0</v>
      </c>
      <c r="CA297" s="454">
        <f t="shared" si="107"/>
        <v>500</v>
      </c>
      <c r="CB297" s="411"/>
      <c r="CC297" s="411"/>
      <c r="CD297" s="411"/>
      <c r="CE297" s="411"/>
      <c r="CF297" s="411"/>
      <c r="CG297" s="412"/>
      <c r="CH297" s="413"/>
      <c r="CI297" s="414" t="s">
        <v>1624</v>
      </c>
      <c r="CJ297" s="415">
        <v>0</v>
      </c>
      <c r="CK297" s="415">
        <v>0</v>
      </c>
      <c r="CL297" s="415">
        <v>0</v>
      </c>
      <c r="CM297" s="415">
        <v>0</v>
      </c>
      <c r="CN297" s="415">
        <v>0</v>
      </c>
      <c r="CO297" s="415">
        <v>0</v>
      </c>
      <c r="CP297" s="415">
        <v>0</v>
      </c>
      <c r="CQ297" s="415">
        <v>0</v>
      </c>
      <c r="CR297" s="415">
        <v>0</v>
      </c>
      <c r="CS297" s="415">
        <v>0</v>
      </c>
      <c r="CT297" s="415">
        <v>0</v>
      </c>
      <c r="CU297" s="415">
        <v>0</v>
      </c>
      <c r="CV297" s="410">
        <f t="shared" si="117"/>
        <v>0</v>
      </c>
      <c r="CW297" s="415">
        <v>0</v>
      </c>
      <c r="CX297" s="415">
        <v>0</v>
      </c>
      <c r="CY297" s="415">
        <v>0</v>
      </c>
      <c r="CZ297" s="415">
        <v>0</v>
      </c>
      <c r="DA297" s="415">
        <v>0</v>
      </c>
      <c r="DB297" s="415">
        <v>0</v>
      </c>
      <c r="DC297" s="415">
        <v>0</v>
      </c>
      <c r="DD297" s="415">
        <v>0</v>
      </c>
      <c r="DE297" s="415">
        <v>0</v>
      </c>
      <c r="DF297" s="415">
        <v>0</v>
      </c>
      <c r="DG297" s="415">
        <v>1</v>
      </c>
      <c r="DH297" s="415">
        <v>0</v>
      </c>
      <c r="DI297" s="410">
        <f t="shared" si="118"/>
        <v>1</v>
      </c>
      <c r="DJ297" s="415">
        <v>0</v>
      </c>
      <c r="DK297" s="415">
        <v>0</v>
      </c>
      <c r="DL297" s="415">
        <v>0</v>
      </c>
      <c r="DM297" s="415">
        <v>0</v>
      </c>
      <c r="DN297" s="415">
        <v>0</v>
      </c>
      <c r="DO297" s="415">
        <v>0</v>
      </c>
      <c r="DP297" s="415">
        <v>0</v>
      </c>
      <c r="DQ297" s="415">
        <v>0</v>
      </c>
      <c r="DR297" s="415">
        <v>0</v>
      </c>
      <c r="DS297" s="415">
        <v>0</v>
      </c>
      <c r="DT297" s="415">
        <v>1</v>
      </c>
      <c r="DU297" s="415">
        <v>0</v>
      </c>
      <c r="DV297" s="410">
        <f t="shared" si="119"/>
        <v>1</v>
      </c>
      <c r="DW297" s="415">
        <v>0</v>
      </c>
      <c r="DX297" s="415">
        <v>0</v>
      </c>
      <c r="DY297" s="415">
        <v>0</v>
      </c>
      <c r="DZ297" s="415">
        <v>0</v>
      </c>
      <c r="EA297" s="415">
        <v>0</v>
      </c>
      <c r="EB297" s="415">
        <v>0</v>
      </c>
      <c r="EC297" s="415">
        <v>0</v>
      </c>
      <c r="ED297" s="415">
        <v>0</v>
      </c>
      <c r="EE297" s="415">
        <v>0</v>
      </c>
      <c r="EF297" s="415">
        <v>0</v>
      </c>
      <c r="EG297" s="415">
        <v>0</v>
      </c>
      <c r="EH297" s="415">
        <v>0</v>
      </c>
      <c r="EI297" s="410">
        <f t="shared" si="120"/>
        <v>0</v>
      </c>
      <c r="EJ297" s="415">
        <v>0</v>
      </c>
      <c r="EK297" s="415">
        <v>0</v>
      </c>
      <c r="EL297" s="415">
        <v>0</v>
      </c>
      <c r="EM297" s="415">
        <v>0</v>
      </c>
      <c r="EN297" s="415">
        <v>0</v>
      </c>
      <c r="EO297" s="415">
        <v>0</v>
      </c>
      <c r="EP297" s="415">
        <v>0</v>
      </c>
      <c r="EQ297" s="415">
        <v>0</v>
      </c>
      <c r="ER297" s="415">
        <v>0</v>
      </c>
      <c r="ES297" s="415">
        <v>0</v>
      </c>
      <c r="ET297" s="415">
        <v>0</v>
      </c>
      <c r="EU297" s="415">
        <v>0</v>
      </c>
      <c r="EV297" s="410">
        <f t="shared" si="121"/>
        <v>0</v>
      </c>
      <c r="EW297" s="416">
        <f t="shared" si="122"/>
        <v>2</v>
      </c>
      <c r="EX297" s="417">
        <f>IFERROR(VLOOKUP(H297,CEI_012018!$A$1:$U$509,9,FALSE),0)</f>
        <v>0</v>
      </c>
      <c r="EY297" s="417">
        <f>IFERROR(VLOOKUP(H297,CEI_022018!$A$1:$U$509,9,FALSE),0)</f>
        <v>0</v>
      </c>
      <c r="EZ297" s="417">
        <f>IFERROR(VLOOKUP(H297,CEI_032018!$A$1:$U$509,9,FALSE),0)</f>
        <v>0</v>
      </c>
      <c r="FA297" s="417">
        <f>IFERROR(VLOOKUP(H297,CEI_042018!$A$1:$U$491,9,FALSE),0)</f>
        <v>0</v>
      </c>
      <c r="FB297" s="417">
        <f>IFERROR(VLOOKUP(H297,CEI_052018!$A$1:$U$489,9,FALSE),0)</f>
        <v>0</v>
      </c>
      <c r="FC297" s="417">
        <f>IFERROR(VLOOKUP(H297,CEI_062018!$A$1:$U$489,9,FALSE),0)</f>
        <v>0</v>
      </c>
      <c r="FD297" s="417">
        <f>IFERROR(VLOOKUP(H297,CEI_072018!$A$1:$U$489,9,FALSE),0)</f>
        <v>0</v>
      </c>
      <c r="FE297" s="417">
        <f>IFERROR(VLOOKUP(H297,CEI_082018!$A$1:$U$489,9,FALSE),0)</f>
        <v>0</v>
      </c>
      <c r="FF297" s="417">
        <f>IFERROR(VLOOKUP(H297,CEI_092018!$A$1:$U$489,9,FALSE),0)</f>
        <v>0</v>
      </c>
      <c r="FG297" s="417"/>
      <c r="FH297" s="417"/>
      <c r="FI297" s="417"/>
      <c r="FJ297" s="418">
        <f>IFERROR(VLOOKUP(H297,CEI_092018!$A$1:$U$489,12,FALSE),0)</f>
        <v>0</v>
      </c>
      <c r="FK297" s="418">
        <f t="shared" ref="FK297:FK315" si="123">FF297+FJ297</f>
        <v>0</v>
      </c>
      <c r="FL297" s="418">
        <f t="shared" ref="FL297:FL315" si="124">SUM(Z297-FK297)</f>
        <v>0</v>
      </c>
      <c r="FM297" s="417"/>
      <c r="FN297" s="417"/>
      <c r="FO297" s="417"/>
      <c r="FP297" s="417"/>
      <c r="FQ297" s="417"/>
      <c r="FR297" s="417"/>
      <c r="FS297" s="417"/>
      <c r="FT297" s="417"/>
      <c r="FU297" s="417"/>
      <c r="FV297" s="417"/>
      <c r="FW297" s="417"/>
      <c r="FX297" s="417"/>
      <c r="FY297" s="418"/>
      <c r="FZ297" s="418"/>
      <c r="GA297" s="418"/>
      <c r="GB297" s="417"/>
      <c r="GC297" s="417"/>
      <c r="GD297" s="417"/>
      <c r="GE297" s="417"/>
      <c r="GF297" s="417"/>
      <c r="GG297" s="417"/>
      <c r="GH297" s="417"/>
      <c r="GI297" s="417"/>
      <c r="GJ297" s="417"/>
      <c r="GK297" s="417"/>
      <c r="GL297" s="417"/>
      <c r="GM297" s="417"/>
      <c r="GN297" s="418"/>
      <c r="GO297" s="418"/>
      <c r="GP297" s="418"/>
      <c r="GQ297" s="417"/>
      <c r="GR297" s="417"/>
      <c r="GS297" s="417"/>
      <c r="GT297" s="417"/>
      <c r="GU297" s="417"/>
      <c r="GV297" s="417"/>
      <c r="GW297" s="417"/>
      <c r="GX297" s="417"/>
      <c r="GY297" s="417"/>
      <c r="GZ297" s="417"/>
      <c r="HA297" s="417"/>
      <c r="HB297" s="417"/>
      <c r="HC297" s="418"/>
      <c r="HD297" s="418"/>
      <c r="HE297" s="418"/>
      <c r="HF297" s="417"/>
      <c r="HG297" s="417"/>
      <c r="HH297" s="417"/>
      <c r="HI297" s="417"/>
      <c r="HJ297" s="417"/>
      <c r="HK297" s="417"/>
      <c r="HL297" s="417"/>
      <c r="HM297" s="417"/>
      <c r="HN297" s="417"/>
      <c r="HO297" s="417"/>
      <c r="HP297" s="417"/>
      <c r="HQ297" s="417"/>
      <c r="HR297" s="418"/>
      <c r="HS297" s="418"/>
      <c r="HT297" s="418"/>
    </row>
    <row r="298" spans="1:228" s="387" customFormat="1" ht="12.75" customHeight="1" x14ac:dyDescent="0.2">
      <c r="A298" s="406" t="s">
        <v>55</v>
      </c>
      <c r="B298" s="407" t="s">
        <v>42</v>
      </c>
      <c r="C298" s="406" t="s">
        <v>297</v>
      </c>
      <c r="D298" s="407" t="s">
        <v>1007</v>
      </c>
      <c r="E298" s="407" t="s">
        <v>297</v>
      </c>
      <c r="F298" s="407" t="s">
        <v>1007</v>
      </c>
      <c r="G298" s="406" t="s">
        <v>54</v>
      </c>
      <c r="H298" s="408" t="s">
        <v>520</v>
      </c>
      <c r="I298" s="408" t="s">
        <v>57</v>
      </c>
      <c r="J298" s="406" t="s">
        <v>340</v>
      </c>
      <c r="K298" s="406" t="s">
        <v>341</v>
      </c>
      <c r="L298" s="406" t="s">
        <v>945</v>
      </c>
      <c r="M298" s="406" t="s">
        <v>57</v>
      </c>
      <c r="N298" s="452">
        <v>0</v>
      </c>
      <c r="O298" s="452">
        <v>0</v>
      </c>
      <c r="P298" s="452">
        <v>0</v>
      </c>
      <c r="Q298" s="452">
        <v>0</v>
      </c>
      <c r="R298" s="452">
        <v>0</v>
      </c>
      <c r="S298" s="452">
        <v>0</v>
      </c>
      <c r="T298" s="452">
        <v>0</v>
      </c>
      <c r="U298" s="409">
        <v>0</v>
      </c>
      <c r="V298" s="409">
        <v>0</v>
      </c>
      <c r="W298" s="409">
        <v>0</v>
      </c>
      <c r="X298" s="409">
        <v>0</v>
      </c>
      <c r="Y298" s="409">
        <v>0</v>
      </c>
      <c r="Z298" s="453">
        <f t="shared" si="108"/>
        <v>0</v>
      </c>
      <c r="AA298" s="452">
        <v>0</v>
      </c>
      <c r="AB298" s="452">
        <v>0</v>
      </c>
      <c r="AC298" s="452">
        <v>0</v>
      </c>
      <c r="AD298" s="452">
        <v>0</v>
      </c>
      <c r="AE298" s="452">
        <v>0</v>
      </c>
      <c r="AF298" s="452">
        <v>0</v>
      </c>
      <c r="AG298" s="452">
        <v>0</v>
      </c>
      <c r="AH298" s="409">
        <v>0</v>
      </c>
      <c r="AI298" s="409">
        <v>0</v>
      </c>
      <c r="AJ298" s="409">
        <v>0</v>
      </c>
      <c r="AK298" s="409">
        <v>0</v>
      </c>
      <c r="AL298" s="409">
        <v>0</v>
      </c>
      <c r="AM298" s="453">
        <f t="shared" si="103"/>
        <v>0</v>
      </c>
      <c r="AN298" s="452">
        <v>0</v>
      </c>
      <c r="AO298" s="452">
        <v>0</v>
      </c>
      <c r="AP298" s="452">
        <v>1500</v>
      </c>
      <c r="AQ298" s="452">
        <v>0</v>
      </c>
      <c r="AR298" s="452">
        <v>0</v>
      </c>
      <c r="AS298" s="452">
        <v>0</v>
      </c>
      <c r="AT298" s="452">
        <v>0</v>
      </c>
      <c r="AU298" s="409">
        <v>0</v>
      </c>
      <c r="AV298" s="409">
        <v>0</v>
      </c>
      <c r="AW298" s="409">
        <v>0</v>
      </c>
      <c r="AX298" s="409">
        <v>0</v>
      </c>
      <c r="AY298" s="409">
        <v>0</v>
      </c>
      <c r="AZ298" s="453">
        <f t="shared" si="104"/>
        <v>1500</v>
      </c>
      <c r="BA298" s="452">
        <v>0</v>
      </c>
      <c r="BB298" s="452">
        <v>0</v>
      </c>
      <c r="BC298" s="452">
        <v>0</v>
      </c>
      <c r="BD298" s="452">
        <v>0</v>
      </c>
      <c r="BE298" s="452">
        <v>0</v>
      </c>
      <c r="BF298" s="452">
        <v>0</v>
      </c>
      <c r="BG298" s="452">
        <v>0</v>
      </c>
      <c r="BH298" s="409">
        <v>0</v>
      </c>
      <c r="BI298" s="409">
        <v>0</v>
      </c>
      <c r="BJ298" s="409">
        <v>0</v>
      </c>
      <c r="BK298" s="409">
        <v>0</v>
      </c>
      <c r="BL298" s="409">
        <v>0</v>
      </c>
      <c r="BM298" s="453">
        <f t="shared" si="105"/>
        <v>0</v>
      </c>
      <c r="BN298" s="452">
        <v>0</v>
      </c>
      <c r="BO298" s="452">
        <v>0</v>
      </c>
      <c r="BP298" s="452">
        <v>0</v>
      </c>
      <c r="BQ298" s="452">
        <v>0</v>
      </c>
      <c r="BR298" s="452">
        <v>0</v>
      </c>
      <c r="BS298" s="452">
        <v>0</v>
      </c>
      <c r="BT298" s="452">
        <v>0</v>
      </c>
      <c r="BU298" s="409">
        <v>0</v>
      </c>
      <c r="BV298" s="409">
        <v>0</v>
      </c>
      <c r="BW298" s="409">
        <v>0</v>
      </c>
      <c r="BX298" s="409">
        <v>0</v>
      </c>
      <c r="BY298" s="409">
        <v>0</v>
      </c>
      <c r="BZ298" s="453">
        <f t="shared" si="106"/>
        <v>0</v>
      </c>
      <c r="CA298" s="454">
        <f t="shared" si="107"/>
        <v>1500</v>
      </c>
      <c r="CB298" s="411"/>
      <c r="CC298" s="411"/>
      <c r="CD298" s="411"/>
      <c r="CE298" s="411"/>
      <c r="CF298" s="411"/>
      <c r="CG298" s="412"/>
      <c r="CH298" s="413"/>
      <c r="CI298" s="414" t="s">
        <v>1603</v>
      </c>
      <c r="CJ298" s="415">
        <v>0</v>
      </c>
      <c r="CK298" s="415">
        <v>0</v>
      </c>
      <c r="CL298" s="415">
        <v>0</v>
      </c>
      <c r="CM298" s="415">
        <v>0</v>
      </c>
      <c r="CN298" s="415">
        <v>0</v>
      </c>
      <c r="CO298" s="415">
        <v>0</v>
      </c>
      <c r="CP298" s="415">
        <v>0</v>
      </c>
      <c r="CQ298" s="415">
        <v>0</v>
      </c>
      <c r="CR298" s="415">
        <v>0</v>
      </c>
      <c r="CS298" s="415">
        <v>0</v>
      </c>
      <c r="CT298" s="415">
        <v>0</v>
      </c>
      <c r="CU298" s="415">
        <v>0</v>
      </c>
      <c r="CV298" s="410">
        <f t="shared" si="117"/>
        <v>0</v>
      </c>
      <c r="CW298" s="415">
        <v>0</v>
      </c>
      <c r="CX298" s="415">
        <v>0</v>
      </c>
      <c r="CY298" s="415">
        <v>0</v>
      </c>
      <c r="CZ298" s="415">
        <v>0</v>
      </c>
      <c r="DA298" s="415">
        <v>0</v>
      </c>
      <c r="DB298" s="415">
        <v>0</v>
      </c>
      <c r="DC298" s="415">
        <v>0</v>
      </c>
      <c r="DD298" s="415">
        <v>0</v>
      </c>
      <c r="DE298" s="415">
        <v>0</v>
      </c>
      <c r="DF298" s="415">
        <v>0</v>
      </c>
      <c r="DG298" s="415">
        <v>0</v>
      </c>
      <c r="DH298" s="415">
        <v>0</v>
      </c>
      <c r="DI298" s="410">
        <f t="shared" si="118"/>
        <v>0</v>
      </c>
      <c r="DJ298" s="415">
        <v>0</v>
      </c>
      <c r="DK298" s="415">
        <v>0</v>
      </c>
      <c r="DL298" s="415">
        <v>2</v>
      </c>
      <c r="DM298" s="415">
        <v>0</v>
      </c>
      <c r="DN298" s="415">
        <v>0</v>
      </c>
      <c r="DO298" s="415">
        <v>0</v>
      </c>
      <c r="DP298" s="415">
        <v>0</v>
      </c>
      <c r="DQ298" s="415">
        <v>0</v>
      </c>
      <c r="DR298" s="415">
        <v>0</v>
      </c>
      <c r="DS298" s="415">
        <v>0</v>
      </c>
      <c r="DT298" s="415">
        <v>0</v>
      </c>
      <c r="DU298" s="415">
        <v>0</v>
      </c>
      <c r="DV298" s="410">
        <f t="shared" si="119"/>
        <v>2</v>
      </c>
      <c r="DW298" s="415">
        <v>0</v>
      </c>
      <c r="DX298" s="415">
        <v>0</v>
      </c>
      <c r="DY298" s="415">
        <v>0</v>
      </c>
      <c r="DZ298" s="415">
        <v>0</v>
      </c>
      <c r="EA298" s="415">
        <v>0</v>
      </c>
      <c r="EB298" s="415">
        <v>0</v>
      </c>
      <c r="EC298" s="415">
        <v>0</v>
      </c>
      <c r="ED298" s="415">
        <v>0</v>
      </c>
      <c r="EE298" s="415">
        <v>0</v>
      </c>
      <c r="EF298" s="415">
        <v>0</v>
      </c>
      <c r="EG298" s="415">
        <v>0</v>
      </c>
      <c r="EH298" s="415">
        <v>0</v>
      </c>
      <c r="EI298" s="410">
        <f t="shared" si="120"/>
        <v>0</v>
      </c>
      <c r="EJ298" s="415">
        <v>0</v>
      </c>
      <c r="EK298" s="415">
        <v>0</v>
      </c>
      <c r="EL298" s="415">
        <v>0</v>
      </c>
      <c r="EM298" s="415">
        <v>0</v>
      </c>
      <c r="EN298" s="415">
        <v>0</v>
      </c>
      <c r="EO298" s="415">
        <v>0</v>
      </c>
      <c r="EP298" s="415">
        <v>0</v>
      </c>
      <c r="EQ298" s="415">
        <v>0</v>
      </c>
      <c r="ER298" s="415">
        <v>0</v>
      </c>
      <c r="ES298" s="415">
        <v>0</v>
      </c>
      <c r="ET298" s="415">
        <v>0</v>
      </c>
      <c r="EU298" s="415">
        <v>0</v>
      </c>
      <c r="EV298" s="410">
        <f t="shared" si="121"/>
        <v>0</v>
      </c>
      <c r="EW298" s="416">
        <f t="shared" si="122"/>
        <v>2</v>
      </c>
      <c r="EX298" s="417">
        <f>IFERROR(VLOOKUP(H298,CEI_012018!$A$1:$U$509,9,FALSE),0)</f>
        <v>0</v>
      </c>
      <c r="EY298" s="417">
        <f>IFERROR(VLOOKUP(H298,CEI_022018!$A$1:$U$509,9,FALSE),0)</f>
        <v>0</v>
      </c>
      <c r="EZ298" s="417">
        <f>IFERROR(VLOOKUP(H298,CEI_032018!$A$1:$U$509,9,FALSE),0)</f>
        <v>0</v>
      </c>
      <c r="FA298" s="417">
        <f>IFERROR(VLOOKUP(H298,CEI_042018!$A$1:$U$491,9,FALSE),0)</f>
        <v>0</v>
      </c>
      <c r="FB298" s="417">
        <f>IFERROR(VLOOKUP(H298,CEI_052018!$A$1:$U$489,9,FALSE),0)</f>
        <v>0</v>
      </c>
      <c r="FC298" s="417">
        <f>IFERROR(VLOOKUP(H298,CEI_062018!$A$1:$U$489,9,FALSE),0)</f>
        <v>0</v>
      </c>
      <c r="FD298" s="417">
        <f>IFERROR(VLOOKUP(H298,CEI_072018!$A$1:$U$489,9,FALSE),0)</f>
        <v>0</v>
      </c>
      <c r="FE298" s="417">
        <f>IFERROR(VLOOKUP(H298,CEI_082018!$A$1:$U$489,9,FALSE),0)</f>
        <v>0</v>
      </c>
      <c r="FF298" s="417">
        <f>IFERROR(VLOOKUP(H298,CEI_092018!$A$1:$U$489,9,FALSE),0)</f>
        <v>0</v>
      </c>
      <c r="FG298" s="417"/>
      <c r="FH298" s="417"/>
      <c r="FI298" s="417"/>
      <c r="FJ298" s="418">
        <f>IFERROR(VLOOKUP(H298,CEI_092018!$A$1:$U$489,12,FALSE),0)</f>
        <v>0</v>
      </c>
      <c r="FK298" s="418">
        <f t="shared" si="123"/>
        <v>0</v>
      </c>
      <c r="FL298" s="418">
        <f t="shared" si="124"/>
        <v>0</v>
      </c>
      <c r="FM298" s="417"/>
      <c r="FN298" s="417"/>
      <c r="FO298" s="417"/>
      <c r="FP298" s="417"/>
      <c r="FQ298" s="417"/>
      <c r="FR298" s="417"/>
      <c r="FS298" s="417"/>
      <c r="FT298" s="417"/>
      <c r="FU298" s="417"/>
      <c r="FV298" s="417"/>
      <c r="FW298" s="417"/>
      <c r="FX298" s="417"/>
      <c r="FY298" s="418"/>
      <c r="FZ298" s="418"/>
      <c r="GA298" s="418"/>
      <c r="GB298" s="417"/>
      <c r="GC298" s="417"/>
      <c r="GD298" s="417"/>
      <c r="GE298" s="417"/>
      <c r="GF298" s="417"/>
      <c r="GG298" s="417"/>
      <c r="GH298" s="417"/>
      <c r="GI298" s="417"/>
      <c r="GJ298" s="417"/>
      <c r="GK298" s="417"/>
      <c r="GL298" s="417"/>
      <c r="GM298" s="417"/>
      <c r="GN298" s="418"/>
      <c r="GO298" s="418"/>
      <c r="GP298" s="418"/>
      <c r="GQ298" s="417"/>
      <c r="GR298" s="417"/>
      <c r="GS298" s="417"/>
      <c r="GT298" s="417"/>
      <c r="GU298" s="417"/>
      <c r="GV298" s="417"/>
      <c r="GW298" s="417"/>
      <c r="GX298" s="417"/>
      <c r="GY298" s="417"/>
      <c r="GZ298" s="417"/>
      <c r="HA298" s="417"/>
      <c r="HB298" s="417"/>
      <c r="HC298" s="418"/>
      <c r="HD298" s="418"/>
      <c r="HE298" s="418"/>
      <c r="HF298" s="417"/>
      <c r="HG298" s="417"/>
      <c r="HH298" s="417"/>
      <c r="HI298" s="417"/>
      <c r="HJ298" s="417"/>
      <c r="HK298" s="417"/>
      <c r="HL298" s="417"/>
      <c r="HM298" s="417"/>
      <c r="HN298" s="417"/>
      <c r="HO298" s="417"/>
      <c r="HP298" s="417"/>
      <c r="HQ298" s="417"/>
      <c r="HR298" s="418"/>
      <c r="HS298" s="418"/>
      <c r="HT298" s="418"/>
    </row>
    <row r="299" spans="1:228" s="387" customFormat="1" ht="12.75" customHeight="1" x14ac:dyDescent="0.2">
      <c r="A299" s="406" t="s">
        <v>55</v>
      </c>
      <c r="B299" s="407" t="s">
        <v>42</v>
      </c>
      <c r="C299" s="406" t="s">
        <v>297</v>
      </c>
      <c r="D299" s="407" t="s">
        <v>1007</v>
      </c>
      <c r="E299" s="407" t="s">
        <v>297</v>
      </c>
      <c r="F299" s="407" t="s">
        <v>1007</v>
      </c>
      <c r="G299" s="406" t="s">
        <v>54</v>
      </c>
      <c r="H299" s="408" t="s">
        <v>1103</v>
      </c>
      <c r="I299" s="408" t="s">
        <v>1104</v>
      </c>
      <c r="J299" s="406" t="s">
        <v>1105</v>
      </c>
      <c r="K299" s="406"/>
      <c r="L299" s="406"/>
      <c r="M299" s="406" t="s">
        <v>1783</v>
      </c>
      <c r="N299" s="452">
        <v>0</v>
      </c>
      <c r="O299" s="452">
        <v>0</v>
      </c>
      <c r="P299" s="452">
        <v>0</v>
      </c>
      <c r="Q299" s="452">
        <v>0</v>
      </c>
      <c r="R299" s="452">
        <v>0</v>
      </c>
      <c r="S299" s="452">
        <v>0</v>
      </c>
      <c r="T299" s="452">
        <v>0</v>
      </c>
      <c r="U299" s="409">
        <v>0</v>
      </c>
      <c r="V299" s="409">
        <v>0</v>
      </c>
      <c r="W299" s="409">
        <v>0</v>
      </c>
      <c r="X299" s="409">
        <v>1225</v>
      </c>
      <c r="Y299" s="409">
        <v>0</v>
      </c>
      <c r="Z299" s="453">
        <f t="shared" si="108"/>
        <v>1225</v>
      </c>
      <c r="AA299" s="452">
        <v>0</v>
      </c>
      <c r="AB299" s="452">
        <v>0</v>
      </c>
      <c r="AC299" s="452">
        <v>0</v>
      </c>
      <c r="AD299" s="452">
        <v>0</v>
      </c>
      <c r="AE299" s="452">
        <v>0</v>
      </c>
      <c r="AF299" s="452">
        <v>0</v>
      </c>
      <c r="AG299" s="452">
        <v>0</v>
      </c>
      <c r="AH299" s="409">
        <v>0</v>
      </c>
      <c r="AI299" s="409">
        <v>0</v>
      </c>
      <c r="AJ299" s="409">
        <v>0</v>
      </c>
      <c r="AK299" s="409">
        <v>0</v>
      </c>
      <c r="AL299" s="409">
        <v>0</v>
      </c>
      <c r="AM299" s="453">
        <f t="shared" si="103"/>
        <v>0</v>
      </c>
      <c r="AN299" s="452">
        <v>0</v>
      </c>
      <c r="AO299" s="452">
        <v>0</v>
      </c>
      <c r="AP299" s="452">
        <v>0</v>
      </c>
      <c r="AQ299" s="452">
        <v>0</v>
      </c>
      <c r="AR299" s="452">
        <v>0</v>
      </c>
      <c r="AS299" s="452">
        <v>0</v>
      </c>
      <c r="AT299" s="452">
        <v>0</v>
      </c>
      <c r="AU299" s="409">
        <v>0</v>
      </c>
      <c r="AV299" s="409">
        <v>0</v>
      </c>
      <c r="AW299" s="409">
        <v>0</v>
      </c>
      <c r="AX299" s="409">
        <v>0</v>
      </c>
      <c r="AY299" s="409">
        <v>0</v>
      </c>
      <c r="AZ299" s="453">
        <f t="shared" si="104"/>
        <v>0</v>
      </c>
      <c r="BA299" s="452">
        <v>0</v>
      </c>
      <c r="BB299" s="452">
        <v>0</v>
      </c>
      <c r="BC299" s="452">
        <v>0</v>
      </c>
      <c r="BD299" s="452">
        <v>0</v>
      </c>
      <c r="BE299" s="452">
        <v>0</v>
      </c>
      <c r="BF299" s="452">
        <v>1150</v>
      </c>
      <c r="BG299" s="452">
        <v>0</v>
      </c>
      <c r="BH299" s="409">
        <v>0</v>
      </c>
      <c r="BI299" s="409">
        <v>0</v>
      </c>
      <c r="BJ299" s="409">
        <v>0</v>
      </c>
      <c r="BK299" s="409">
        <v>0</v>
      </c>
      <c r="BL299" s="409">
        <v>0</v>
      </c>
      <c r="BM299" s="453">
        <f t="shared" si="105"/>
        <v>1150</v>
      </c>
      <c r="BN299" s="452">
        <v>0</v>
      </c>
      <c r="BO299" s="452">
        <v>0</v>
      </c>
      <c r="BP299" s="452">
        <v>0</v>
      </c>
      <c r="BQ299" s="452">
        <v>0</v>
      </c>
      <c r="BR299" s="452">
        <v>0</v>
      </c>
      <c r="BS299" s="452">
        <v>0</v>
      </c>
      <c r="BT299" s="452">
        <v>0</v>
      </c>
      <c r="BU299" s="409">
        <v>0</v>
      </c>
      <c r="BV299" s="409">
        <v>0</v>
      </c>
      <c r="BW299" s="409">
        <v>0</v>
      </c>
      <c r="BX299" s="409">
        <v>0</v>
      </c>
      <c r="BY299" s="409">
        <v>0</v>
      </c>
      <c r="BZ299" s="453">
        <f t="shared" si="106"/>
        <v>0</v>
      </c>
      <c r="CA299" s="454">
        <f t="shared" si="107"/>
        <v>2375</v>
      </c>
      <c r="CB299" s="419"/>
      <c r="CC299" s="419">
        <v>1</v>
      </c>
      <c r="CD299" s="419">
        <v>1</v>
      </c>
      <c r="CE299" s="419">
        <v>1</v>
      </c>
      <c r="CF299" s="419">
        <v>1</v>
      </c>
      <c r="CG299" s="420">
        <f>IFERROR((FE299/Z299%),0)</f>
        <v>0</v>
      </c>
      <c r="CH299" s="421">
        <f>IFERROR((FK299/Z299%),0)</f>
        <v>79.105341697225768</v>
      </c>
      <c r="CI299" s="414" t="s">
        <v>1603</v>
      </c>
      <c r="CJ299" s="415">
        <v>0</v>
      </c>
      <c r="CK299" s="415">
        <v>0</v>
      </c>
      <c r="CL299" s="415">
        <v>0</v>
      </c>
      <c r="CM299" s="415">
        <v>0</v>
      </c>
      <c r="CN299" s="415">
        <v>0</v>
      </c>
      <c r="CO299" s="415">
        <v>0</v>
      </c>
      <c r="CP299" s="415">
        <v>0</v>
      </c>
      <c r="CQ299" s="415">
        <v>0</v>
      </c>
      <c r="CR299" s="415">
        <v>12</v>
      </c>
      <c r="CS299" s="415">
        <v>0</v>
      </c>
      <c r="CT299" s="415">
        <v>0</v>
      </c>
      <c r="CU299" s="415">
        <v>0</v>
      </c>
      <c r="CV299" s="410">
        <f t="shared" si="117"/>
        <v>12</v>
      </c>
      <c r="CW299" s="415">
        <v>0</v>
      </c>
      <c r="CX299" s="415">
        <v>0</v>
      </c>
      <c r="CY299" s="415">
        <v>0</v>
      </c>
      <c r="CZ299" s="415">
        <v>0</v>
      </c>
      <c r="DA299" s="415">
        <v>0</v>
      </c>
      <c r="DB299" s="415">
        <v>0</v>
      </c>
      <c r="DC299" s="415">
        <v>0</v>
      </c>
      <c r="DD299" s="415">
        <v>0</v>
      </c>
      <c r="DE299" s="415">
        <v>0</v>
      </c>
      <c r="DF299" s="415">
        <v>0</v>
      </c>
      <c r="DG299" s="415">
        <v>0</v>
      </c>
      <c r="DH299" s="415">
        <v>0</v>
      </c>
      <c r="DI299" s="410">
        <f t="shared" si="118"/>
        <v>0</v>
      </c>
      <c r="DJ299" s="415">
        <v>0</v>
      </c>
      <c r="DK299" s="415">
        <v>0</v>
      </c>
      <c r="DL299" s="415">
        <v>0</v>
      </c>
      <c r="DM299" s="415">
        <v>0</v>
      </c>
      <c r="DN299" s="415">
        <v>0</v>
      </c>
      <c r="DO299" s="415">
        <v>0</v>
      </c>
      <c r="DP299" s="415">
        <v>0</v>
      </c>
      <c r="DQ299" s="415">
        <v>0</v>
      </c>
      <c r="DR299" s="415">
        <v>0</v>
      </c>
      <c r="DS299" s="415">
        <v>0</v>
      </c>
      <c r="DT299" s="415">
        <v>0</v>
      </c>
      <c r="DU299" s="415">
        <v>0</v>
      </c>
      <c r="DV299" s="410">
        <f t="shared" si="119"/>
        <v>0</v>
      </c>
      <c r="DW299" s="415">
        <v>0</v>
      </c>
      <c r="DX299" s="415">
        <v>0</v>
      </c>
      <c r="DY299" s="415">
        <v>0</v>
      </c>
      <c r="DZ299" s="415">
        <v>0</v>
      </c>
      <c r="EA299" s="415">
        <v>0</v>
      </c>
      <c r="EB299" s="415">
        <v>12</v>
      </c>
      <c r="EC299" s="415">
        <v>0</v>
      </c>
      <c r="ED299" s="415">
        <v>0</v>
      </c>
      <c r="EE299" s="415">
        <v>0</v>
      </c>
      <c r="EF299" s="415">
        <v>0</v>
      </c>
      <c r="EG299" s="415">
        <v>0</v>
      </c>
      <c r="EH299" s="415">
        <v>0</v>
      </c>
      <c r="EI299" s="410">
        <f t="shared" si="120"/>
        <v>12</v>
      </c>
      <c r="EJ299" s="415">
        <v>0</v>
      </c>
      <c r="EK299" s="415">
        <v>0</v>
      </c>
      <c r="EL299" s="415">
        <v>0</v>
      </c>
      <c r="EM299" s="415">
        <v>0</v>
      </c>
      <c r="EN299" s="415">
        <v>0</v>
      </c>
      <c r="EO299" s="415">
        <v>0</v>
      </c>
      <c r="EP299" s="415">
        <v>0</v>
      </c>
      <c r="EQ299" s="415">
        <v>0</v>
      </c>
      <c r="ER299" s="415">
        <v>0</v>
      </c>
      <c r="ES299" s="415">
        <v>0</v>
      </c>
      <c r="ET299" s="415">
        <v>0</v>
      </c>
      <c r="EU299" s="415">
        <v>0</v>
      </c>
      <c r="EV299" s="410">
        <f t="shared" si="121"/>
        <v>0</v>
      </c>
      <c r="EW299" s="416">
        <f t="shared" si="122"/>
        <v>24</v>
      </c>
      <c r="EX299" s="417">
        <f>IFERROR(VLOOKUP(H299,CEI_012018!$A$1:$U$509,9,FALSE),0)</f>
        <v>0</v>
      </c>
      <c r="EY299" s="417">
        <f>IFERROR(VLOOKUP(H299,CEI_022018!$A$1:$U$509,9,FALSE),0)</f>
        <v>0</v>
      </c>
      <c r="EZ299" s="417">
        <f>IFERROR(VLOOKUP(H299,CEI_032018!$A$1:$U$509,9,FALSE),0)</f>
        <v>0</v>
      </c>
      <c r="FA299" s="417">
        <f>IFERROR(VLOOKUP(H299,CEI_042018!$A$1:$U$491,9,FALSE),0)</f>
        <v>0</v>
      </c>
      <c r="FB299" s="417">
        <f>IFERROR(VLOOKUP(H299,CEI_052018!$A$1:$U$489,9,FALSE),0)</f>
        <v>0</v>
      </c>
      <c r="FC299" s="417">
        <f>IFERROR(VLOOKUP(H299,CEI_062018!$A$1:$U$489,9,FALSE),0)</f>
        <v>0</v>
      </c>
      <c r="FD299" s="417">
        <f>IFERROR(VLOOKUP(H299,CEI_072018!$A$1:$U$489,9,FALSE),0)</f>
        <v>0</v>
      </c>
      <c r="FE299" s="417">
        <f>IFERROR(VLOOKUP(H299,CEI_082018!$A$1:$U$489,9,FALSE),0)</f>
        <v>0</v>
      </c>
      <c r="FF299" s="417">
        <f>IFERROR(VLOOKUP(H299,CEI_092018!$A$1:$U$489,9,FALSE),0)</f>
        <v>0</v>
      </c>
      <c r="FG299" s="417"/>
      <c r="FH299" s="417"/>
      <c r="FI299" s="417"/>
      <c r="FJ299" s="418">
        <f>IFERROR(VLOOKUP(H299,CEI_092018!$A$1:$U$489,12,FALSE),0)</f>
        <v>969.04043579101562</v>
      </c>
      <c r="FK299" s="418">
        <f t="shared" si="123"/>
        <v>969.04043579101562</v>
      </c>
      <c r="FL299" s="418">
        <f t="shared" si="124"/>
        <v>255.95956420898437</v>
      </c>
      <c r="FM299" s="417"/>
      <c r="FN299" s="417"/>
      <c r="FO299" s="417"/>
      <c r="FP299" s="417"/>
      <c r="FQ299" s="417"/>
      <c r="FR299" s="417"/>
      <c r="FS299" s="417"/>
      <c r="FT299" s="417"/>
      <c r="FU299" s="417"/>
      <c r="FV299" s="417"/>
      <c r="FW299" s="417"/>
      <c r="FX299" s="417"/>
      <c r="FY299" s="418"/>
      <c r="FZ299" s="418"/>
      <c r="GA299" s="418"/>
      <c r="GB299" s="417"/>
      <c r="GC299" s="417"/>
      <c r="GD299" s="417"/>
      <c r="GE299" s="417"/>
      <c r="GF299" s="417"/>
      <c r="GG299" s="417"/>
      <c r="GH299" s="417"/>
      <c r="GI299" s="417"/>
      <c r="GJ299" s="417"/>
      <c r="GK299" s="417"/>
      <c r="GL299" s="417"/>
      <c r="GM299" s="417"/>
      <c r="GN299" s="418"/>
      <c r="GO299" s="418"/>
      <c r="GP299" s="418"/>
      <c r="GQ299" s="417"/>
      <c r="GR299" s="417"/>
      <c r="GS299" s="417"/>
      <c r="GT299" s="417"/>
      <c r="GU299" s="417"/>
      <c r="GV299" s="417"/>
      <c r="GW299" s="417"/>
      <c r="GX299" s="417"/>
      <c r="GY299" s="417"/>
      <c r="GZ299" s="417"/>
      <c r="HA299" s="417"/>
      <c r="HB299" s="417"/>
      <c r="HC299" s="418"/>
      <c r="HD299" s="418"/>
      <c r="HE299" s="418"/>
      <c r="HF299" s="417"/>
      <c r="HG299" s="417"/>
      <c r="HH299" s="417"/>
      <c r="HI299" s="417"/>
      <c r="HJ299" s="417"/>
      <c r="HK299" s="417"/>
      <c r="HL299" s="417"/>
      <c r="HM299" s="417"/>
      <c r="HN299" s="417"/>
      <c r="HO299" s="417"/>
      <c r="HP299" s="417"/>
      <c r="HQ299" s="417"/>
      <c r="HR299" s="418"/>
      <c r="HS299" s="418"/>
      <c r="HT299" s="418"/>
    </row>
    <row r="300" spans="1:228" s="387" customFormat="1" ht="12.75" customHeight="1" x14ac:dyDescent="0.2">
      <c r="A300" s="406" t="s">
        <v>55</v>
      </c>
      <c r="B300" s="407" t="s">
        <v>42</v>
      </c>
      <c r="C300" s="406" t="s">
        <v>297</v>
      </c>
      <c r="D300" s="407" t="s">
        <v>1007</v>
      </c>
      <c r="E300" s="407" t="s">
        <v>297</v>
      </c>
      <c r="F300" s="407" t="s">
        <v>1007</v>
      </c>
      <c r="G300" s="406" t="s">
        <v>54</v>
      </c>
      <c r="H300" s="408" t="s">
        <v>520</v>
      </c>
      <c r="I300" s="408" t="s">
        <v>57</v>
      </c>
      <c r="J300" s="406" t="s">
        <v>1512</v>
      </c>
      <c r="K300" s="406" t="s">
        <v>783</v>
      </c>
      <c r="L300" s="406" t="s">
        <v>784</v>
      </c>
      <c r="M300" s="406" t="s">
        <v>1783</v>
      </c>
      <c r="N300" s="452">
        <v>0</v>
      </c>
      <c r="O300" s="452">
        <v>0</v>
      </c>
      <c r="P300" s="452">
        <v>0</v>
      </c>
      <c r="Q300" s="452">
        <v>0</v>
      </c>
      <c r="R300" s="452">
        <v>0</v>
      </c>
      <c r="S300" s="452">
        <v>0</v>
      </c>
      <c r="T300" s="452">
        <v>0</v>
      </c>
      <c r="U300" s="409">
        <v>0</v>
      </c>
      <c r="V300" s="409">
        <v>0</v>
      </c>
      <c r="W300" s="409">
        <v>0</v>
      </c>
      <c r="X300" s="409">
        <v>0</v>
      </c>
      <c r="Y300" s="409">
        <v>0</v>
      </c>
      <c r="Z300" s="453">
        <f t="shared" si="108"/>
        <v>0</v>
      </c>
      <c r="AA300" s="452">
        <v>0</v>
      </c>
      <c r="AB300" s="452">
        <v>200</v>
      </c>
      <c r="AC300" s="452">
        <v>1760</v>
      </c>
      <c r="AD300" s="452">
        <v>222</v>
      </c>
      <c r="AE300" s="452">
        <v>0</v>
      </c>
      <c r="AF300" s="452">
        <v>0</v>
      </c>
      <c r="AG300" s="452">
        <v>0</v>
      </c>
      <c r="AH300" s="409">
        <v>0</v>
      </c>
      <c r="AI300" s="409">
        <v>0</v>
      </c>
      <c r="AJ300" s="409">
        <v>0</v>
      </c>
      <c r="AK300" s="409">
        <v>0</v>
      </c>
      <c r="AL300" s="409">
        <v>0</v>
      </c>
      <c r="AM300" s="453">
        <f t="shared" si="103"/>
        <v>2182</v>
      </c>
      <c r="AN300" s="452">
        <v>0</v>
      </c>
      <c r="AO300" s="452">
        <v>0</v>
      </c>
      <c r="AP300" s="452">
        <v>0</v>
      </c>
      <c r="AQ300" s="452">
        <v>0</v>
      </c>
      <c r="AR300" s="452">
        <v>0</v>
      </c>
      <c r="AS300" s="452">
        <v>0</v>
      </c>
      <c r="AT300" s="452">
        <v>0</v>
      </c>
      <c r="AU300" s="409">
        <v>0</v>
      </c>
      <c r="AV300" s="409">
        <v>0</v>
      </c>
      <c r="AW300" s="409">
        <v>0</v>
      </c>
      <c r="AX300" s="409">
        <v>0</v>
      </c>
      <c r="AY300" s="409">
        <v>0</v>
      </c>
      <c r="AZ300" s="453">
        <f t="shared" si="104"/>
        <v>0</v>
      </c>
      <c r="BA300" s="452">
        <v>0</v>
      </c>
      <c r="BB300" s="452">
        <v>0</v>
      </c>
      <c r="BC300" s="452">
        <v>0</v>
      </c>
      <c r="BD300" s="452">
        <v>0</v>
      </c>
      <c r="BE300" s="452">
        <v>0</v>
      </c>
      <c r="BF300" s="452">
        <v>0</v>
      </c>
      <c r="BG300" s="452">
        <v>0</v>
      </c>
      <c r="BH300" s="409">
        <v>0</v>
      </c>
      <c r="BI300" s="409">
        <v>0</v>
      </c>
      <c r="BJ300" s="409">
        <v>0</v>
      </c>
      <c r="BK300" s="409">
        <v>0</v>
      </c>
      <c r="BL300" s="409">
        <v>0</v>
      </c>
      <c r="BM300" s="453">
        <f t="shared" si="105"/>
        <v>0</v>
      </c>
      <c r="BN300" s="452">
        <v>0</v>
      </c>
      <c r="BO300" s="452">
        <v>0</v>
      </c>
      <c r="BP300" s="452">
        <v>0</v>
      </c>
      <c r="BQ300" s="452">
        <v>0</v>
      </c>
      <c r="BR300" s="452">
        <v>0</v>
      </c>
      <c r="BS300" s="452">
        <v>0</v>
      </c>
      <c r="BT300" s="452">
        <v>0</v>
      </c>
      <c r="BU300" s="409">
        <v>0</v>
      </c>
      <c r="BV300" s="409">
        <v>0</v>
      </c>
      <c r="BW300" s="409">
        <v>0</v>
      </c>
      <c r="BX300" s="409">
        <v>0</v>
      </c>
      <c r="BY300" s="409">
        <v>0</v>
      </c>
      <c r="BZ300" s="453">
        <f t="shared" si="106"/>
        <v>0</v>
      </c>
      <c r="CA300" s="454">
        <f t="shared" si="107"/>
        <v>2182</v>
      </c>
      <c r="CB300" s="411"/>
      <c r="CC300" s="411"/>
      <c r="CD300" s="411"/>
      <c r="CE300" s="411"/>
      <c r="CF300" s="411"/>
      <c r="CG300" s="412"/>
      <c r="CH300" s="413"/>
      <c r="CI300" s="414" t="s">
        <v>1603</v>
      </c>
      <c r="CJ300" s="415">
        <v>0</v>
      </c>
      <c r="CK300" s="415">
        <v>0</v>
      </c>
      <c r="CL300" s="415">
        <v>0</v>
      </c>
      <c r="CM300" s="415">
        <v>0</v>
      </c>
      <c r="CN300" s="415">
        <v>0</v>
      </c>
      <c r="CO300" s="415">
        <v>0</v>
      </c>
      <c r="CP300" s="415">
        <v>0</v>
      </c>
      <c r="CQ300" s="415">
        <v>0</v>
      </c>
      <c r="CR300" s="415">
        <v>0</v>
      </c>
      <c r="CS300" s="415">
        <v>0</v>
      </c>
      <c r="CT300" s="415">
        <v>0</v>
      </c>
      <c r="CU300" s="415">
        <v>0</v>
      </c>
      <c r="CV300" s="410">
        <f t="shared" si="117"/>
        <v>0</v>
      </c>
      <c r="CW300" s="415">
        <v>0</v>
      </c>
      <c r="CX300" s="415">
        <v>0</v>
      </c>
      <c r="CY300" s="415">
        <v>40</v>
      </c>
      <c r="CZ300" s="415">
        <v>0</v>
      </c>
      <c r="DA300" s="415">
        <v>0</v>
      </c>
      <c r="DB300" s="415">
        <v>0</v>
      </c>
      <c r="DC300" s="415">
        <v>0</v>
      </c>
      <c r="DD300" s="415">
        <v>0</v>
      </c>
      <c r="DE300" s="415">
        <v>0</v>
      </c>
      <c r="DF300" s="415">
        <v>0</v>
      </c>
      <c r="DG300" s="415">
        <v>0</v>
      </c>
      <c r="DH300" s="415">
        <v>0</v>
      </c>
      <c r="DI300" s="410">
        <f t="shared" si="118"/>
        <v>40</v>
      </c>
      <c r="DJ300" s="415">
        <v>0</v>
      </c>
      <c r="DK300" s="415">
        <v>0</v>
      </c>
      <c r="DL300" s="415">
        <v>0</v>
      </c>
      <c r="DM300" s="415">
        <v>0</v>
      </c>
      <c r="DN300" s="415">
        <v>0</v>
      </c>
      <c r="DO300" s="415">
        <v>0</v>
      </c>
      <c r="DP300" s="415">
        <v>0</v>
      </c>
      <c r="DQ300" s="415">
        <v>0</v>
      </c>
      <c r="DR300" s="415">
        <v>0</v>
      </c>
      <c r="DS300" s="415">
        <v>0</v>
      </c>
      <c r="DT300" s="415">
        <v>0</v>
      </c>
      <c r="DU300" s="415">
        <v>0</v>
      </c>
      <c r="DV300" s="410">
        <f t="shared" si="119"/>
        <v>0</v>
      </c>
      <c r="DW300" s="415">
        <v>0</v>
      </c>
      <c r="DX300" s="415">
        <v>0</v>
      </c>
      <c r="DY300" s="415">
        <v>0</v>
      </c>
      <c r="DZ300" s="415">
        <v>0</v>
      </c>
      <c r="EA300" s="415">
        <v>0</v>
      </c>
      <c r="EB300" s="415">
        <v>0</v>
      </c>
      <c r="EC300" s="415">
        <v>0</v>
      </c>
      <c r="ED300" s="415">
        <v>0</v>
      </c>
      <c r="EE300" s="415">
        <v>0</v>
      </c>
      <c r="EF300" s="415">
        <v>0</v>
      </c>
      <c r="EG300" s="415">
        <v>0</v>
      </c>
      <c r="EH300" s="415">
        <v>0</v>
      </c>
      <c r="EI300" s="410">
        <f t="shared" si="120"/>
        <v>0</v>
      </c>
      <c r="EJ300" s="415">
        <v>0</v>
      </c>
      <c r="EK300" s="415">
        <v>0</v>
      </c>
      <c r="EL300" s="415">
        <v>0</v>
      </c>
      <c r="EM300" s="415">
        <v>0</v>
      </c>
      <c r="EN300" s="415">
        <v>0</v>
      </c>
      <c r="EO300" s="415">
        <v>0</v>
      </c>
      <c r="EP300" s="415">
        <v>0</v>
      </c>
      <c r="EQ300" s="415">
        <v>0</v>
      </c>
      <c r="ER300" s="415">
        <v>0</v>
      </c>
      <c r="ES300" s="415">
        <v>0</v>
      </c>
      <c r="ET300" s="415">
        <v>0</v>
      </c>
      <c r="EU300" s="415">
        <v>0</v>
      </c>
      <c r="EV300" s="410">
        <f t="shared" si="121"/>
        <v>0</v>
      </c>
      <c r="EW300" s="416">
        <f t="shared" si="122"/>
        <v>40</v>
      </c>
      <c r="EX300" s="417">
        <f>IFERROR(VLOOKUP(H300,CEI_012018!$A$1:$U$509,9,FALSE),0)</f>
        <v>0</v>
      </c>
      <c r="EY300" s="417">
        <f>IFERROR(VLOOKUP(H300,CEI_022018!$A$1:$U$509,9,FALSE),0)</f>
        <v>0</v>
      </c>
      <c r="EZ300" s="417">
        <f>IFERROR(VLOOKUP(H300,CEI_032018!$A$1:$U$509,9,FALSE),0)</f>
        <v>0</v>
      </c>
      <c r="FA300" s="417">
        <f>IFERROR(VLOOKUP(H300,CEI_042018!$A$1:$U$491,9,FALSE),0)</f>
        <v>0</v>
      </c>
      <c r="FB300" s="417">
        <f>IFERROR(VLOOKUP(H300,CEI_052018!$A$1:$U$489,9,FALSE),0)</f>
        <v>0</v>
      </c>
      <c r="FC300" s="417">
        <f>IFERROR(VLOOKUP(H300,CEI_062018!$A$1:$U$489,9,FALSE),0)</f>
        <v>0</v>
      </c>
      <c r="FD300" s="417">
        <f>IFERROR(VLOOKUP(H300,CEI_072018!$A$1:$U$489,9,FALSE),0)</f>
        <v>0</v>
      </c>
      <c r="FE300" s="417">
        <f>IFERROR(VLOOKUP(H300,CEI_082018!$A$1:$U$489,9,FALSE),0)</f>
        <v>0</v>
      </c>
      <c r="FF300" s="417">
        <f>IFERROR(VLOOKUP(H300,CEI_092018!$A$1:$U$489,9,FALSE),0)</f>
        <v>0</v>
      </c>
      <c r="FG300" s="417"/>
      <c r="FH300" s="417"/>
      <c r="FI300" s="417"/>
      <c r="FJ300" s="418">
        <f>IFERROR(VLOOKUP(H300,CEI_092018!$A$1:$U$489,12,FALSE),0)</f>
        <v>0</v>
      </c>
      <c r="FK300" s="418">
        <f t="shared" si="123"/>
        <v>0</v>
      </c>
      <c r="FL300" s="418">
        <f t="shared" si="124"/>
        <v>0</v>
      </c>
      <c r="FM300" s="417"/>
      <c r="FN300" s="417"/>
      <c r="FO300" s="417"/>
      <c r="FP300" s="417"/>
      <c r="FQ300" s="417"/>
      <c r="FR300" s="417"/>
      <c r="FS300" s="417"/>
      <c r="FT300" s="417"/>
      <c r="FU300" s="417"/>
      <c r="FV300" s="417"/>
      <c r="FW300" s="417"/>
      <c r="FX300" s="417"/>
      <c r="FY300" s="418"/>
      <c r="FZ300" s="418"/>
      <c r="GA300" s="418"/>
      <c r="GB300" s="417"/>
      <c r="GC300" s="417"/>
      <c r="GD300" s="417"/>
      <c r="GE300" s="417"/>
      <c r="GF300" s="417"/>
      <c r="GG300" s="417"/>
      <c r="GH300" s="417"/>
      <c r="GI300" s="417"/>
      <c r="GJ300" s="417"/>
      <c r="GK300" s="417"/>
      <c r="GL300" s="417"/>
      <c r="GM300" s="417"/>
      <c r="GN300" s="418"/>
      <c r="GO300" s="418"/>
      <c r="GP300" s="418"/>
      <c r="GQ300" s="417"/>
      <c r="GR300" s="417"/>
      <c r="GS300" s="417"/>
      <c r="GT300" s="417"/>
      <c r="GU300" s="417"/>
      <c r="GV300" s="417"/>
      <c r="GW300" s="417"/>
      <c r="GX300" s="417"/>
      <c r="GY300" s="417"/>
      <c r="GZ300" s="417"/>
      <c r="HA300" s="417"/>
      <c r="HB300" s="417"/>
      <c r="HC300" s="418"/>
      <c r="HD300" s="418"/>
      <c r="HE300" s="418"/>
      <c r="HF300" s="417"/>
      <c r="HG300" s="417"/>
      <c r="HH300" s="417"/>
      <c r="HI300" s="417"/>
      <c r="HJ300" s="417"/>
      <c r="HK300" s="417"/>
      <c r="HL300" s="417"/>
      <c r="HM300" s="417"/>
      <c r="HN300" s="417"/>
      <c r="HO300" s="417"/>
      <c r="HP300" s="417"/>
      <c r="HQ300" s="417"/>
      <c r="HR300" s="418"/>
      <c r="HS300" s="418"/>
      <c r="HT300" s="418"/>
    </row>
    <row r="301" spans="1:228" s="387" customFormat="1" ht="12.75" customHeight="1" x14ac:dyDescent="0.2">
      <c r="A301" s="406" t="s">
        <v>55</v>
      </c>
      <c r="B301" s="407" t="s">
        <v>42</v>
      </c>
      <c r="C301" s="406" t="s">
        <v>297</v>
      </c>
      <c r="D301" s="407" t="s">
        <v>1007</v>
      </c>
      <c r="E301" s="407" t="s">
        <v>297</v>
      </c>
      <c r="F301" s="407" t="s">
        <v>1007</v>
      </c>
      <c r="G301" s="406" t="s">
        <v>54</v>
      </c>
      <c r="H301" s="408" t="s">
        <v>1573</v>
      </c>
      <c r="I301" s="408" t="s">
        <v>1574</v>
      </c>
      <c r="J301" s="406" t="s">
        <v>1511</v>
      </c>
      <c r="K301" s="406" t="s">
        <v>1611</v>
      </c>
      <c r="L301" s="406" t="s">
        <v>1618</v>
      </c>
      <c r="M301" s="406" t="s">
        <v>1783</v>
      </c>
      <c r="N301" s="452">
        <v>0</v>
      </c>
      <c r="O301" s="452">
        <v>0</v>
      </c>
      <c r="P301" s="452">
        <v>0</v>
      </c>
      <c r="Q301" s="452">
        <v>0</v>
      </c>
      <c r="R301" s="452">
        <v>0</v>
      </c>
      <c r="S301" s="452">
        <v>0</v>
      </c>
      <c r="T301" s="452">
        <v>0</v>
      </c>
      <c r="U301" s="409">
        <v>0</v>
      </c>
      <c r="V301" s="409">
        <v>0</v>
      </c>
      <c r="W301" s="409">
        <v>0</v>
      </c>
      <c r="X301" s="409">
        <v>760</v>
      </c>
      <c r="Y301" s="409">
        <v>0</v>
      </c>
      <c r="Z301" s="453">
        <f t="shared" si="108"/>
        <v>760</v>
      </c>
      <c r="AA301" s="452">
        <v>0</v>
      </c>
      <c r="AB301" s="452">
        <v>0</v>
      </c>
      <c r="AC301" s="452">
        <v>0</v>
      </c>
      <c r="AD301" s="452">
        <v>0</v>
      </c>
      <c r="AE301" s="452">
        <v>0</v>
      </c>
      <c r="AF301" s="452">
        <v>0</v>
      </c>
      <c r="AG301" s="452">
        <v>0</v>
      </c>
      <c r="AH301" s="409">
        <v>0</v>
      </c>
      <c r="AI301" s="409">
        <v>0</v>
      </c>
      <c r="AJ301" s="409">
        <v>0</v>
      </c>
      <c r="AK301" s="409">
        <v>0</v>
      </c>
      <c r="AL301" s="409">
        <v>0</v>
      </c>
      <c r="AM301" s="453">
        <f t="shared" si="103"/>
        <v>0</v>
      </c>
      <c r="AN301" s="452">
        <v>0</v>
      </c>
      <c r="AO301" s="452">
        <v>0</v>
      </c>
      <c r="AP301" s="452">
        <v>0</v>
      </c>
      <c r="AQ301" s="452">
        <v>0</v>
      </c>
      <c r="AR301" s="452">
        <v>0</v>
      </c>
      <c r="AS301" s="452">
        <v>0</v>
      </c>
      <c r="AT301" s="452">
        <v>0</v>
      </c>
      <c r="AU301" s="409">
        <v>0</v>
      </c>
      <c r="AV301" s="409">
        <v>0</v>
      </c>
      <c r="AW301" s="409">
        <v>0</v>
      </c>
      <c r="AX301" s="409">
        <v>0</v>
      </c>
      <c r="AY301" s="409">
        <v>0</v>
      </c>
      <c r="AZ301" s="453">
        <f t="shared" si="104"/>
        <v>0</v>
      </c>
      <c r="BA301" s="452">
        <v>0</v>
      </c>
      <c r="BB301" s="452">
        <v>0</v>
      </c>
      <c r="BC301" s="452">
        <v>0</v>
      </c>
      <c r="BD301" s="452">
        <v>0</v>
      </c>
      <c r="BE301" s="452">
        <v>0</v>
      </c>
      <c r="BF301" s="452">
        <v>0</v>
      </c>
      <c r="BG301" s="452">
        <v>0</v>
      </c>
      <c r="BH301" s="409">
        <v>0</v>
      </c>
      <c r="BI301" s="409">
        <v>0</v>
      </c>
      <c r="BJ301" s="409">
        <v>0</v>
      </c>
      <c r="BK301" s="409">
        <v>0</v>
      </c>
      <c r="BL301" s="409">
        <v>0</v>
      </c>
      <c r="BM301" s="453">
        <f t="shared" si="105"/>
        <v>0</v>
      </c>
      <c r="BN301" s="452">
        <v>0</v>
      </c>
      <c r="BO301" s="452">
        <v>0</v>
      </c>
      <c r="BP301" s="452">
        <v>0</v>
      </c>
      <c r="BQ301" s="452">
        <v>0</v>
      </c>
      <c r="BR301" s="452">
        <v>0</v>
      </c>
      <c r="BS301" s="452">
        <v>0</v>
      </c>
      <c r="BT301" s="452">
        <v>0</v>
      </c>
      <c r="BU301" s="409">
        <v>0</v>
      </c>
      <c r="BV301" s="409">
        <v>0</v>
      </c>
      <c r="BW301" s="409">
        <v>0</v>
      </c>
      <c r="BX301" s="409">
        <v>0</v>
      </c>
      <c r="BY301" s="409">
        <v>0</v>
      </c>
      <c r="BZ301" s="453">
        <f t="shared" si="106"/>
        <v>0</v>
      </c>
      <c r="CA301" s="454">
        <f t="shared" si="107"/>
        <v>760</v>
      </c>
      <c r="CB301" s="419"/>
      <c r="CC301" s="419">
        <v>1</v>
      </c>
      <c r="CD301" s="419">
        <v>1</v>
      </c>
      <c r="CE301" s="419">
        <v>1</v>
      </c>
      <c r="CF301" s="419">
        <v>-1</v>
      </c>
      <c r="CG301" s="420">
        <f>IFERROR((FE301/Z301%),0)</f>
        <v>0</v>
      </c>
      <c r="CH301" s="421">
        <f>IFERROR((FK301/Z301%),0)</f>
        <v>76.381052920692852</v>
      </c>
      <c r="CI301" s="414" t="s">
        <v>1603</v>
      </c>
      <c r="CJ301" s="415">
        <v>0</v>
      </c>
      <c r="CK301" s="415">
        <v>0</v>
      </c>
      <c r="CL301" s="415">
        <v>0</v>
      </c>
      <c r="CM301" s="415">
        <v>0</v>
      </c>
      <c r="CN301" s="415">
        <v>0</v>
      </c>
      <c r="CO301" s="415">
        <v>0</v>
      </c>
      <c r="CP301" s="415">
        <v>0</v>
      </c>
      <c r="CQ301" s="415">
        <v>0</v>
      </c>
      <c r="CR301" s="415">
        <v>0</v>
      </c>
      <c r="CS301" s="415">
        <v>4</v>
      </c>
      <c r="CT301" s="415">
        <v>0</v>
      </c>
      <c r="CU301" s="415">
        <v>0</v>
      </c>
      <c r="CV301" s="410">
        <f t="shared" si="117"/>
        <v>4</v>
      </c>
      <c r="CW301" s="415">
        <v>0</v>
      </c>
      <c r="CX301" s="415">
        <v>0</v>
      </c>
      <c r="CY301" s="415">
        <v>0</v>
      </c>
      <c r="CZ301" s="415">
        <v>0</v>
      </c>
      <c r="DA301" s="415">
        <v>0</v>
      </c>
      <c r="DB301" s="415">
        <v>0</v>
      </c>
      <c r="DC301" s="415">
        <v>0</v>
      </c>
      <c r="DD301" s="415">
        <v>0</v>
      </c>
      <c r="DE301" s="415">
        <v>0</v>
      </c>
      <c r="DF301" s="415">
        <v>0</v>
      </c>
      <c r="DG301" s="415">
        <v>0</v>
      </c>
      <c r="DH301" s="415">
        <v>0</v>
      </c>
      <c r="DI301" s="410">
        <f t="shared" si="118"/>
        <v>0</v>
      </c>
      <c r="DJ301" s="415">
        <v>0</v>
      </c>
      <c r="DK301" s="415">
        <v>0</v>
      </c>
      <c r="DL301" s="415">
        <v>0</v>
      </c>
      <c r="DM301" s="415">
        <v>0</v>
      </c>
      <c r="DN301" s="415">
        <v>0</v>
      </c>
      <c r="DO301" s="415">
        <v>0</v>
      </c>
      <c r="DP301" s="415">
        <v>0</v>
      </c>
      <c r="DQ301" s="415">
        <v>0</v>
      </c>
      <c r="DR301" s="415">
        <v>0</v>
      </c>
      <c r="DS301" s="415">
        <v>0</v>
      </c>
      <c r="DT301" s="415">
        <v>0</v>
      </c>
      <c r="DU301" s="415">
        <v>0</v>
      </c>
      <c r="DV301" s="410">
        <f t="shared" si="119"/>
        <v>0</v>
      </c>
      <c r="DW301" s="415">
        <v>0</v>
      </c>
      <c r="DX301" s="415">
        <v>0</v>
      </c>
      <c r="DY301" s="415">
        <v>0</v>
      </c>
      <c r="DZ301" s="415">
        <v>0</v>
      </c>
      <c r="EA301" s="415">
        <v>0</v>
      </c>
      <c r="EB301" s="415">
        <v>0</v>
      </c>
      <c r="EC301" s="415">
        <v>0</v>
      </c>
      <c r="ED301" s="415">
        <v>0</v>
      </c>
      <c r="EE301" s="415">
        <v>0</v>
      </c>
      <c r="EF301" s="415">
        <v>0</v>
      </c>
      <c r="EG301" s="415">
        <v>0</v>
      </c>
      <c r="EH301" s="415">
        <v>0</v>
      </c>
      <c r="EI301" s="410">
        <f t="shared" si="120"/>
        <v>0</v>
      </c>
      <c r="EJ301" s="415">
        <v>0</v>
      </c>
      <c r="EK301" s="415">
        <v>0</v>
      </c>
      <c r="EL301" s="415">
        <v>0</v>
      </c>
      <c r="EM301" s="415">
        <v>0</v>
      </c>
      <c r="EN301" s="415">
        <v>0</v>
      </c>
      <c r="EO301" s="415">
        <v>0</v>
      </c>
      <c r="EP301" s="415">
        <v>0</v>
      </c>
      <c r="EQ301" s="415">
        <v>0</v>
      </c>
      <c r="ER301" s="415">
        <v>0</v>
      </c>
      <c r="ES301" s="415">
        <v>0</v>
      </c>
      <c r="ET301" s="415">
        <v>0</v>
      </c>
      <c r="EU301" s="415">
        <v>0</v>
      </c>
      <c r="EV301" s="410">
        <f t="shared" si="121"/>
        <v>0</v>
      </c>
      <c r="EW301" s="416">
        <f t="shared" si="122"/>
        <v>4</v>
      </c>
      <c r="EX301" s="417">
        <f>IFERROR(VLOOKUP(H301,CEI_012018!$A$1:$U$509,9,FALSE),0)</f>
        <v>0</v>
      </c>
      <c r="EY301" s="417">
        <f>IFERROR(VLOOKUP(H301,CEI_022018!$A$1:$U$509,9,FALSE),0)</f>
        <v>0</v>
      </c>
      <c r="EZ301" s="417">
        <f>IFERROR(VLOOKUP(H301,CEI_032018!$A$1:$U$509,9,FALSE),0)</f>
        <v>0</v>
      </c>
      <c r="FA301" s="417">
        <f>IFERROR(VLOOKUP(H301,CEI_042018!$A$1:$U$491,9,FALSE),0)</f>
        <v>0</v>
      </c>
      <c r="FB301" s="417">
        <f>IFERROR(VLOOKUP(H301,CEI_052018!$A$1:$U$489,9,FALSE),0)</f>
        <v>0</v>
      </c>
      <c r="FC301" s="417">
        <f>IFERROR(VLOOKUP(H301,CEI_062018!$A$1:$U$489,9,FALSE),0)</f>
        <v>0</v>
      </c>
      <c r="FD301" s="417">
        <f>IFERROR(VLOOKUP(H301,CEI_072018!$A$1:$U$489,9,FALSE),0)</f>
        <v>0</v>
      </c>
      <c r="FE301" s="417">
        <f>IFERROR(VLOOKUP(H301,CEI_082018!$A$1:$U$489,9,FALSE),0)</f>
        <v>0</v>
      </c>
      <c r="FF301" s="417">
        <f>IFERROR(VLOOKUP(H301,CEI_092018!$A$1:$U$489,9,FALSE),0)</f>
        <v>0</v>
      </c>
      <c r="FG301" s="417"/>
      <c r="FH301" s="417"/>
      <c r="FI301" s="417"/>
      <c r="FJ301" s="418">
        <f>IFERROR(VLOOKUP(H301,CEI_092018!$A$1:$U$489,12,FALSE),0)</f>
        <v>580.49600219726562</v>
      </c>
      <c r="FK301" s="418">
        <f t="shared" si="123"/>
        <v>580.49600219726562</v>
      </c>
      <c r="FL301" s="418">
        <f t="shared" si="124"/>
        <v>179.50399780273438</v>
      </c>
      <c r="FM301" s="417"/>
      <c r="FN301" s="417"/>
      <c r="FO301" s="417"/>
      <c r="FP301" s="417"/>
      <c r="FQ301" s="417"/>
      <c r="FR301" s="417"/>
      <c r="FS301" s="417"/>
      <c r="FT301" s="417"/>
      <c r="FU301" s="417"/>
      <c r="FV301" s="417"/>
      <c r="FW301" s="417"/>
      <c r="FX301" s="417"/>
      <c r="FY301" s="418"/>
      <c r="FZ301" s="418"/>
      <c r="GA301" s="418"/>
      <c r="GB301" s="417"/>
      <c r="GC301" s="417"/>
      <c r="GD301" s="417"/>
      <c r="GE301" s="417"/>
      <c r="GF301" s="417"/>
      <c r="GG301" s="417"/>
      <c r="GH301" s="417"/>
      <c r="GI301" s="417"/>
      <c r="GJ301" s="417"/>
      <c r="GK301" s="417"/>
      <c r="GL301" s="417"/>
      <c r="GM301" s="417"/>
      <c r="GN301" s="418"/>
      <c r="GO301" s="418"/>
      <c r="GP301" s="418"/>
      <c r="GQ301" s="417"/>
      <c r="GR301" s="417"/>
      <c r="GS301" s="417"/>
      <c r="GT301" s="417"/>
      <c r="GU301" s="417"/>
      <c r="GV301" s="417"/>
      <c r="GW301" s="417"/>
      <c r="GX301" s="417"/>
      <c r="GY301" s="417"/>
      <c r="GZ301" s="417"/>
      <c r="HA301" s="417"/>
      <c r="HB301" s="417"/>
      <c r="HC301" s="418"/>
      <c r="HD301" s="418"/>
      <c r="HE301" s="418"/>
      <c r="HF301" s="417"/>
      <c r="HG301" s="417"/>
      <c r="HH301" s="417"/>
      <c r="HI301" s="417"/>
      <c r="HJ301" s="417"/>
      <c r="HK301" s="417"/>
      <c r="HL301" s="417"/>
      <c r="HM301" s="417"/>
      <c r="HN301" s="417"/>
      <c r="HO301" s="417"/>
      <c r="HP301" s="417"/>
      <c r="HQ301" s="417"/>
      <c r="HR301" s="418"/>
      <c r="HS301" s="418"/>
      <c r="HT301" s="418"/>
    </row>
    <row r="302" spans="1:228" s="387" customFormat="1" ht="12.75" customHeight="1" x14ac:dyDescent="0.2">
      <c r="A302" s="406" t="s">
        <v>55</v>
      </c>
      <c r="B302" s="407" t="s">
        <v>42</v>
      </c>
      <c r="C302" s="406" t="s">
        <v>297</v>
      </c>
      <c r="D302" s="407" t="s">
        <v>1007</v>
      </c>
      <c r="E302" s="407" t="s">
        <v>297</v>
      </c>
      <c r="F302" s="407" t="s">
        <v>1007</v>
      </c>
      <c r="G302" s="406" t="s">
        <v>54</v>
      </c>
      <c r="H302" s="408" t="s">
        <v>1404</v>
      </c>
      <c r="I302" s="408" t="s">
        <v>1406</v>
      </c>
      <c r="J302" s="406" t="s">
        <v>775</v>
      </c>
      <c r="K302" s="406" t="s">
        <v>776</v>
      </c>
      <c r="L302" s="406" t="s">
        <v>777</v>
      </c>
      <c r="M302" s="406" t="s">
        <v>1783</v>
      </c>
      <c r="N302" s="452">
        <v>0</v>
      </c>
      <c r="O302" s="452">
        <v>0</v>
      </c>
      <c r="P302" s="452">
        <v>0</v>
      </c>
      <c r="Q302" s="452">
        <v>0</v>
      </c>
      <c r="R302" s="452">
        <v>0</v>
      </c>
      <c r="S302" s="452">
        <v>0</v>
      </c>
      <c r="T302" s="452">
        <v>232.37596130371094</v>
      </c>
      <c r="U302" s="409">
        <v>0</v>
      </c>
      <c r="V302" s="409">
        <v>0</v>
      </c>
      <c r="W302" s="409">
        <v>0</v>
      </c>
      <c r="X302" s="409">
        <v>0</v>
      </c>
      <c r="Y302" s="409">
        <v>12.624050000000011</v>
      </c>
      <c r="Z302" s="453">
        <f t="shared" si="108"/>
        <v>245.00001130371095</v>
      </c>
      <c r="AA302" s="452">
        <v>0</v>
      </c>
      <c r="AB302" s="452">
        <v>0</v>
      </c>
      <c r="AC302" s="452">
        <v>0</v>
      </c>
      <c r="AD302" s="452">
        <v>0</v>
      </c>
      <c r="AE302" s="452">
        <v>0</v>
      </c>
      <c r="AF302" s="452">
        <v>0</v>
      </c>
      <c r="AG302" s="452">
        <v>0</v>
      </c>
      <c r="AH302" s="409">
        <v>0</v>
      </c>
      <c r="AI302" s="409">
        <v>935</v>
      </c>
      <c r="AJ302" s="409">
        <v>0</v>
      </c>
      <c r="AK302" s="409">
        <v>0</v>
      </c>
      <c r="AL302" s="409">
        <v>0</v>
      </c>
      <c r="AM302" s="453">
        <f t="shared" si="103"/>
        <v>935</v>
      </c>
      <c r="AN302" s="452">
        <v>0</v>
      </c>
      <c r="AO302" s="452">
        <v>0</v>
      </c>
      <c r="AP302" s="452">
        <v>0</v>
      </c>
      <c r="AQ302" s="452">
        <v>0</v>
      </c>
      <c r="AR302" s="452">
        <v>0</v>
      </c>
      <c r="AS302" s="452">
        <v>0</v>
      </c>
      <c r="AT302" s="452">
        <v>0</v>
      </c>
      <c r="AU302" s="409">
        <v>0</v>
      </c>
      <c r="AV302" s="409">
        <v>0</v>
      </c>
      <c r="AW302" s="409">
        <v>0</v>
      </c>
      <c r="AX302" s="409">
        <v>0</v>
      </c>
      <c r="AY302" s="409">
        <v>0</v>
      </c>
      <c r="AZ302" s="453">
        <f t="shared" si="104"/>
        <v>0</v>
      </c>
      <c r="BA302" s="452">
        <v>0</v>
      </c>
      <c r="BB302" s="452">
        <v>0</v>
      </c>
      <c r="BC302" s="452">
        <v>0</v>
      </c>
      <c r="BD302" s="452">
        <v>0</v>
      </c>
      <c r="BE302" s="452">
        <v>1105</v>
      </c>
      <c r="BF302" s="452">
        <v>0</v>
      </c>
      <c r="BG302" s="452">
        <v>0</v>
      </c>
      <c r="BH302" s="409">
        <v>0</v>
      </c>
      <c r="BI302" s="409">
        <v>0</v>
      </c>
      <c r="BJ302" s="409">
        <v>0</v>
      </c>
      <c r="BK302" s="409">
        <v>0</v>
      </c>
      <c r="BL302" s="409">
        <v>0</v>
      </c>
      <c r="BM302" s="453">
        <f t="shared" si="105"/>
        <v>1105</v>
      </c>
      <c r="BN302" s="452">
        <v>0</v>
      </c>
      <c r="BO302" s="452">
        <v>0</v>
      </c>
      <c r="BP302" s="452">
        <v>0</v>
      </c>
      <c r="BQ302" s="452">
        <v>0</v>
      </c>
      <c r="BR302" s="452">
        <v>0</v>
      </c>
      <c r="BS302" s="452">
        <v>0</v>
      </c>
      <c r="BT302" s="452">
        <v>0</v>
      </c>
      <c r="BU302" s="409">
        <v>0</v>
      </c>
      <c r="BV302" s="409">
        <v>0</v>
      </c>
      <c r="BW302" s="409">
        <v>0</v>
      </c>
      <c r="BX302" s="409">
        <v>0</v>
      </c>
      <c r="BY302" s="409">
        <v>0</v>
      </c>
      <c r="BZ302" s="453">
        <f t="shared" si="106"/>
        <v>0</v>
      </c>
      <c r="CA302" s="454">
        <f t="shared" si="107"/>
        <v>2285.0000113037108</v>
      </c>
      <c r="CB302" s="419"/>
      <c r="CC302" s="419">
        <v>1</v>
      </c>
      <c r="CD302" s="419">
        <v>1</v>
      </c>
      <c r="CE302" s="419">
        <v>1</v>
      </c>
      <c r="CF302" s="419">
        <v>1</v>
      </c>
      <c r="CG302" s="420">
        <f>IFERROR((FE302/Z302%),0)</f>
        <v>94.847326768344189</v>
      </c>
      <c r="CH302" s="421">
        <f>IFERROR((FK302/Z302%),0)</f>
        <v>94.847326768344189</v>
      </c>
      <c r="CI302" s="414" t="s">
        <v>1603</v>
      </c>
      <c r="CJ302" s="415">
        <v>0</v>
      </c>
      <c r="CK302" s="415">
        <v>0</v>
      </c>
      <c r="CL302" s="415">
        <v>0</v>
      </c>
      <c r="CM302" s="415">
        <v>0</v>
      </c>
      <c r="CN302" s="415">
        <v>0</v>
      </c>
      <c r="CO302" s="415">
        <v>0</v>
      </c>
      <c r="CP302" s="415">
        <v>0</v>
      </c>
      <c r="CQ302" s="415">
        <v>1</v>
      </c>
      <c r="CR302" s="415">
        <v>0</v>
      </c>
      <c r="CS302" s="415">
        <v>0</v>
      </c>
      <c r="CT302" s="415">
        <v>0</v>
      </c>
      <c r="CU302" s="415">
        <v>0</v>
      </c>
      <c r="CV302" s="410">
        <f t="shared" si="117"/>
        <v>1</v>
      </c>
      <c r="CW302" s="415">
        <v>0</v>
      </c>
      <c r="CX302" s="415">
        <v>0</v>
      </c>
      <c r="CY302" s="415">
        <v>0</v>
      </c>
      <c r="CZ302" s="415">
        <v>0</v>
      </c>
      <c r="DA302" s="415">
        <v>0</v>
      </c>
      <c r="DB302" s="415">
        <v>0</v>
      </c>
      <c r="DC302" s="415">
        <v>0</v>
      </c>
      <c r="DD302" s="415">
        <v>0</v>
      </c>
      <c r="DE302" s="415">
        <v>1</v>
      </c>
      <c r="DF302" s="415">
        <v>0</v>
      </c>
      <c r="DG302" s="415">
        <v>0</v>
      </c>
      <c r="DH302" s="415">
        <v>0</v>
      </c>
      <c r="DI302" s="410">
        <f t="shared" si="118"/>
        <v>1</v>
      </c>
      <c r="DJ302" s="415">
        <v>0</v>
      </c>
      <c r="DK302" s="415">
        <v>0</v>
      </c>
      <c r="DL302" s="415">
        <v>0</v>
      </c>
      <c r="DM302" s="415">
        <v>0</v>
      </c>
      <c r="DN302" s="415">
        <v>0</v>
      </c>
      <c r="DO302" s="415">
        <v>0</v>
      </c>
      <c r="DP302" s="415">
        <v>0</v>
      </c>
      <c r="DQ302" s="415">
        <v>0</v>
      </c>
      <c r="DR302" s="415">
        <v>0</v>
      </c>
      <c r="DS302" s="415">
        <v>0</v>
      </c>
      <c r="DT302" s="415">
        <v>0</v>
      </c>
      <c r="DU302" s="415">
        <v>0</v>
      </c>
      <c r="DV302" s="410">
        <f t="shared" si="119"/>
        <v>0</v>
      </c>
      <c r="DW302" s="415">
        <v>0</v>
      </c>
      <c r="DX302" s="415">
        <v>0</v>
      </c>
      <c r="DY302" s="415">
        <v>0</v>
      </c>
      <c r="DZ302" s="415">
        <v>0</v>
      </c>
      <c r="EA302" s="415">
        <v>1</v>
      </c>
      <c r="EB302" s="415">
        <v>0</v>
      </c>
      <c r="EC302" s="415">
        <v>0</v>
      </c>
      <c r="ED302" s="415">
        <v>0</v>
      </c>
      <c r="EE302" s="415">
        <v>0</v>
      </c>
      <c r="EF302" s="415">
        <v>0</v>
      </c>
      <c r="EG302" s="415">
        <v>0</v>
      </c>
      <c r="EH302" s="415">
        <v>0</v>
      </c>
      <c r="EI302" s="410">
        <f t="shared" si="120"/>
        <v>1</v>
      </c>
      <c r="EJ302" s="415">
        <v>0</v>
      </c>
      <c r="EK302" s="415">
        <v>0</v>
      </c>
      <c r="EL302" s="415">
        <v>0</v>
      </c>
      <c r="EM302" s="415">
        <v>0</v>
      </c>
      <c r="EN302" s="415">
        <v>0</v>
      </c>
      <c r="EO302" s="415">
        <v>0</v>
      </c>
      <c r="EP302" s="415">
        <v>0</v>
      </c>
      <c r="EQ302" s="415">
        <v>0</v>
      </c>
      <c r="ER302" s="415">
        <v>0</v>
      </c>
      <c r="ES302" s="415">
        <v>0</v>
      </c>
      <c r="ET302" s="415">
        <v>0</v>
      </c>
      <c r="EU302" s="415">
        <v>0</v>
      </c>
      <c r="EV302" s="410">
        <f t="shared" si="121"/>
        <v>0</v>
      </c>
      <c r="EW302" s="416">
        <f t="shared" si="122"/>
        <v>3</v>
      </c>
      <c r="EX302" s="417">
        <f>IFERROR(VLOOKUP(H302,CEI_012018!$A$1:$U$509,9,FALSE),0)</f>
        <v>0</v>
      </c>
      <c r="EY302" s="417">
        <f>IFERROR(VLOOKUP(H302,CEI_022018!$A$1:$U$509,9,FALSE),0)</f>
        <v>0</v>
      </c>
      <c r="EZ302" s="417">
        <f>IFERROR(VLOOKUP(H302,CEI_032018!$A$1:$U$509,9,FALSE),0)</f>
        <v>0</v>
      </c>
      <c r="FA302" s="417">
        <f>IFERROR(VLOOKUP(H302,CEI_042018!$A$1:$U$491,9,FALSE),0)</f>
        <v>0</v>
      </c>
      <c r="FB302" s="417">
        <f>IFERROR(VLOOKUP(H302,CEI_052018!$A$1:$U$489,9,FALSE),0)</f>
        <v>0</v>
      </c>
      <c r="FC302" s="417">
        <f>IFERROR(VLOOKUP(H302,CEI_062018!$A$1:$U$489,9,FALSE),0)</f>
        <v>0</v>
      </c>
      <c r="FD302" s="417">
        <f>IFERROR(VLOOKUP(H302,CEI_072018!$A$1:$U$489,9,FALSE),0)</f>
        <v>232.37596130371094</v>
      </c>
      <c r="FE302" s="417">
        <f>IFERROR(VLOOKUP(H302,CEI_082018!$A$1:$U$489,9,FALSE),0)</f>
        <v>232.37596130371094</v>
      </c>
      <c r="FF302" s="417">
        <f>IFERROR(VLOOKUP(H302,CEI_092018!$A$1:$U$489,9,FALSE),0)</f>
        <v>232.37596130371094</v>
      </c>
      <c r="FG302" s="417"/>
      <c r="FH302" s="417"/>
      <c r="FI302" s="417"/>
      <c r="FJ302" s="418">
        <f>IFERROR(VLOOKUP(H302,CEI_092018!$A$1:$U$489,12,FALSE),0)</f>
        <v>0</v>
      </c>
      <c r="FK302" s="418">
        <f t="shared" si="123"/>
        <v>232.37596130371094</v>
      </c>
      <c r="FL302" s="418">
        <f t="shared" si="124"/>
        <v>12.624050000000011</v>
      </c>
      <c r="FM302" s="417"/>
      <c r="FN302" s="417"/>
      <c r="FO302" s="417"/>
      <c r="FP302" s="417"/>
      <c r="FQ302" s="417"/>
      <c r="FR302" s="417"/>
      <c r="FS302" s="417"/>
      <c r="FT302" s="417"/>
      <c r="FU302" s="417"/>
      <c r="FV302" s="417"/>
      <c r="FW302" s="417"/>
      <c r="FX302" s="417"/>
      <c r="FY302" s="418"/>
      <c r="FZ302" s="418"/>
      <c r="GA302" s="418"/>
      <c r="GB302" s="417"/>
      <c r="GC302" s="417"/>
      <c r="GD302" s="417"/>
      <c r="GE302" s="417"/>
      <c r="GF302" s="417"/>
      <c r="GG302" s="417"/>
      <c r="GH302" s="417"/>
      <c r="GI302" s="417"/>
      <c r="GJ302" s="417"/>
      <c r="GK302" s="417"/>
      <c r="GL302" s="417"/>
      <c r="GM302" s="417"/>
      <c r="GN302" s="418"/>
      <c r="GO302" s="418"/>
      <c r="GP302" s="418"/>
      <c r="GQ302" s="417"/>
      <c r="GR302" s="417"/>
      <c r="GS302" s="417"/>
      <c r="GT302" s="417"/>
      <c r="GU302" s="417"/>
      <c r="GV302" s="417"/>
      <c r="GW302" s="417"/>
      <c r="GX302" s="417"/>
      <c r="GY302" s="417"/>
      <c r="GZ302" s="417"/>
      <c r="HA302" s="417"/>
      <c r="HB302" s="417"/>
      <c r="HC302" s="418"/>
      <c r="HD302" s="418"/>
      <c r="HE302" s="418"/>
      <c r="HF302" s="417"/>
      <c r="HG302" s="417"/>
      <c r="HH302" s="417"/>
      <c r="HI302" s="417"/>
      <c r="HJ302" s="417"/>
      <c r="HK302" s="417"/>
      <c r="HL302" s="417"/>
      <c r="HM302" s="417"/>
      <c r="HN302" s="417"/>
      <c r="HO302" s="417"/>
      <c r="HP302" s="417"/>
      <c r="HQ302" s="417"/>
      <c r="HR302" s="418"/>
      <c r="HS302" s="418"/>
      <c r="HT302" s="418"/>
    </row>
    <row r="303" spans="1:228" s="387" customFormat="1" ht="12.75" customHeight="1" x14ac:dyDescent="0.2">
      <c r="A303" s="406" t="s">
        <v>55</v>
      </c>
      <c r="B303" s="407" t="s">
        <v>42</v>
      </c>
      <c r="C303" s="406" t="s">
        <v>297</v>
      </c>
      <c r="D303" s="407" t="s">
        <v>1007</v>
      </c>
      <c r="E303" s="407" t="s">
        <v>297</v>
      </c>
      <c r="F303" s="407" t="s">
        <v>1007</v>
      </c>
      <c r="G303" s="406" t="s">
        <v>54</v>
      </c>
      <c r="H303" s="408" t="s">
        <v>1669</v>
      </c>
      <c r="I303" s="408" t="s">
        <v>1670</v>
      </c>
      <c r="J303" s="406" t="s">
        <v>778</v>
      </c>
      <c r="K303" s="406" t="s">
        <v>779</v>
      </c>
      <c r="L303" s="406" t="s">
        <v>780</v>
      </c>
      <c r="M303" s="406" t="s">
        <v>1783</v>
      </c>
      <c r="N303" s="452">
        <v>0</v>
      </c>
      <c r="O303" s="452">
        <v>0</v>
      </c>
      <c r="P303" s="452">
        <v>0</v>
      </c>
      <c r="Q303" s="452">
        <v>0</v>
      </c>
      <c r="R303" s="452">
        <v>0</v>
      </c>
      <c r="S303" s="452">
        <v>0</v>
      </c>
      <c r="T303" s="452">
        <v>0</v>
      </c>
      <c r="U303" s="409">
        <v>0</v>
      </c>
      <c r="V303" s="409">
        <v>0</v>
      </c>
      <c r="W303" s="409">
        <v>0</v>
      </c>
      <c r="X303" s="409">
        <v>130</v>
      </c>
      <c r="Y303" s="409">
        <v>992.60844000000009</v>
      </c>
      <c r="Z303" s="453">
        <f t="shared" si="108"/>
        <v>1122.60844</v>
      </c>
      <c r="AA303" s="452">
        <v>172.73974000000001</v>
      </c>
      <c r="AB303" s="452">
        <v>64.651820000000001</v>
      </c>
      <c r="AC303" s="452">
        <v>0</v>
      </c>
      <c r="AD303" s="452">
        <v>0</v>
      </c>
      <c r="AE303" s="452">
        <v>0</v>
      </c>
      <c r="AF303" s="452">
        <v>0</v>
      </c>
      <c r="AG303" s="452">
        <v>0</v>
      </c>
      <c r="AH303" s="409">
        <v>0</v>
      </c>
      <c r="AI303" s="409">
        <v>0</v>
      </c>
      <c r="AJ303" s="409">
        <v>0</v>
      </c>
      <c r="AK303" s="409">
        <v>0</v>
      </c>
      <c r="AL303" s="409">
        <v>0</v>
      </c>
      <c r="AM303" s="453">
        <f t="shared" si="103"/>
        <v>237.39156000000003</v>
      </c>
      <c r="AN303" s="452">
        <v>0</v>
      </c>
      <c r="AO303" s="452">
        <v>0</v>
      </c>
      <c r="AP303" s="452">
        <v>337</v>
      </c>
      <c r="AQ303" s="452">
        <v>63</v>
      </c>
      <c r="AR303" s="452">
        <v>0</v>
      </c>
      <c r="AS303" s="452">
        <v>0</v>
      </c>
      <c r="AT303" s="452">
        <v>0</v>
      </c>
      <c r="AU303" s="409">
        <v>0</v>
      </c>
      <c r="AV303" s="409">
        <v>0</v>
      </c>
      <c r="AW303" s="409">
        <v>0</v>
      </c>
      <c r="AX303" s="409">
        <v>0</v>
      </c>
      <c r="AY303" s="409">
        <v>0</v>
      </c>
      <c r="AZ303" s="453">
        <f t="shared" si="104"/>
        <v>400</v>
      </c>
      <c r="BA303" s="452">
        <v>0</v>
      </c>
      <c r="BB303" s="452">
        <v>0</v>
      </c>
      <c r="BC303" s="452">
        <v>0</v>
      </c>
      <c r="BD303" s="452">
        <v>0</v>
      </c>
      <c r="BE303" s="452">
        <v>0</v>
      </c>
      <c r="BF303" s="452">
        <v>0</v>
      </c>
      <c r="BG303" s="452">
        <v>0</v>
      </c>
      <c r="BH303" s="409">
        <v>0</v>
      </c>
      <c r="BI303" s="409">
        <v>0</v>
      </c>
      <c r="BJ303" s="409">
        <v>0</v>
      </c>
      <c r="BK303" s="409">
        <v>0</v>
      </c>
      <c r="BL303" s="409">
        <v>0</v>
      </c>
      <c r="BM303" s="453">
        <f t="shared" si="105"/>
        <v>0</v>
      </c>
      <c r="BN303" s="452">
        <v>0</v>
      </c>
      <c r="BO303" s="452">
        <v>0</v>
      </c>
      <c r="BP303" s="452">
        <v>0</v>
      </c>
      <c r="BQ303" s="452">
        <v>0</v>
      </c>
      <c r="BR303" s="452">
        <v>0</v>
      </c>
      <c r="BS303" s="452">
        <v>0</v>
      </c>
      <c r="BT303" s="452">
        <v>0</v>
      </c>
      <c r="BU303" s="409">
        <v>0</v>
      </c>
      <c r="BV303" s="409">
        <v>0</v>
      </c>
      <c r="BW303" s="409">
        <v>0</v>
      </c>
      <c r="BX303" s="409">
        <v>0</v>
      </c>
      <c r="BY303" s="409">
        <v>0</v>
      </c>
      <c r="BZ303" s="453">
        <f t="shared" si="106"/>
        <v>0</v>
      </c>
      <c r="CA303" s="454">
        <f t="shared" si="107"/>
        <v>1760</v>
      </c>
      <c r="CB303" s="419"/>
      <c r="CC303" s="419">
        <v>1</v>
      </c>
      <c r="CD303" s="419">
        <v>1</v>
      </c>
      <c r="CE303" s="419">
        <v>1</v>
      </c>
      <c r="CF303" s="419">
        <v>-1</v>
      </c>
      <c r="CG303" s="420">
        <f>IFERROR((FE303/Z303%),0)</f>
        <v>0</v>
      </c>
      <c r="CH303" s="421">
        <f>IFERROR((FK303/Z303%),0)</f>
        <v>88.419824057033281</v>
      </c>
      <c r="CI303" s="414" t="s">
        <v>1603</v>
      </c>
      <c r="CJ303" s="415">
        <v>0</v>
      </c>
      <c r="CK303" s="415">
        <v>0</v>
      </c>
      <c r="CL303" s="415">
        <v>0</v>
      </c>
      <c r="CM303" s="415">
        <v>0</v>
      </c>
      <c r="CN303" s="415">
        <v>0</v>
      </c>
      <c r="CO303" s="415">
        <v>0</v>
      </c>
      <c r="CP303" s="415">
        <v>0</v>
      </c>
      <c r="CQ303" s="415">
        <v>0</v>
      </c>
      <c r="CR303" s="415">
        <v>0</v>
      </c>
      <c r="CS303" s="415">
        <v>0</v>
      </c>
      <c r="CT303" s="415">
        <v>10</v>
      </c>
      <c r="CU303" s="415">
        <v>0</v>
      </c>
      <c r="CV303" s="410">
        <f t="shared" si="117"/>
        <v>10</v>
      </c>
      <c r="CW303" s="415">
        <v>2.9069767441860463</v>
      </c>
      <c r="CX303" s="415">
        <v>2.9069767441860463</v>
      </c>
      <c r="CY303" s="415">
        <v>0</v>
      </c>
      <c r="CZ303" s="415">
        <v>0</v>
      </c>
      <c r="DA303" s="415">
        <v>0</v>
      </c>
      <c r="DB303" s="415">
        <v>0</v>
      </c>
      <c r="DC303" s="415">
        <v>0</v>
      </c>
      <c r="DD303" s="415">
        <v>0</v>
      </c>
      <c r="DE303" s="415">
        <v>0</v>
      </c>
      <c r="DF303" s="415">
        <v>0</v>
      </c>
      <c r="DG303" s="415">
        <v>0</v>
      </c>
      <c r="DH303" s="415">
        <v>0</v>
      </c>
      <c r="DI303" s="410">
        <f t="shared" si="118"/>
        <v>5.8139534883720927</v>
      </c>
      <c r="DJ303" s="415">
        <v>0</v>
      </c>
      <c r="DK303" s="415">
        <v>0</v>
      </c>
      <c r="DL303" s="415">
        <v>4.6511627906976747</v>
      </c>
      <c r="DM303" s="415">
        <v>0</v>
      </c>
      <c r="DN303" s="415">
        <v>0</v>
      </c>
      <c r="DO303" s="415">
        <v>0</v>
      </c>
      <c r="DP303" s="415">
        <v>0</v>
      </c>
      <c r="DQ303" s="415">
        <v>0</v>
      </c>
      <c r="DR303" s="415">
        <v>0</v>
      </c>
      <c r="DS303" s="415">
        <v>0</v>
      </c>
      <c r="DT303" s="415">
        <v>0</v>
      </c>
      <c r="DU303" s="415">
        <v>0</v>
      </c>
      <c r="DV303" s="410">
        <f t="shared" si="119"/>
        <v>4.6511627906976747</v>
      </c>
      <c r="DW303" s="415">
        <v>0</v>
      </c>
      <c r="DX303" s="415">
        <v>0</v>
      </c>
      <c r="DY303" s="415">
        <v>0</v>
      </c>
      <c r="DZ303" s="415">
        <v>0</v>
      </c>
      <c r="EA303" s="415">
        <v>0</v>
      </c>
      <c r="EB303" s="415">
        <v>0</v>
      </c>
      <c r="EC303" s="415">
        <v>0</v>
      </c>
      <c r="ED303" s="415">
        <v>0</v>
      </c>
      <c r="EE303" s="415">
        <v>0</v>
      </c>
      <c r="EF303" s="415">
        <v>0</v>
      </c>
      <c r="EG303" s="415">
        <v>0</v>
      </c>
      <c r="EH303" s="415">
        <v>0</v>
      </c>
      <c r="EI303" s="410">
        <f t="shared" si="120"/>
        <v>0</v>
      </c>
      <c r="EJ303" s="415">
        <v>0</v>
      </c>
      <c r="EK303" s="415">
        <v>0</v>
      </c>
      <c r="EL303" s="415">
        <v>0</v>
      </c>
      <c r="EM303" s="415">
        <v>0</v>
      </c>
      <c r="EN303" s="415">
        <v>0</v>
      </c>
      <c r="EO303" s="415">
        <v>0</v>
      </c>
      <c r="EP303" s="415">
        <v>0</v>
      </c>
      <c r="EQ303" s="415">
        <v>0</v>
      </c>
      <c r="ER303" s="415">
        <v>0</v>
      </c>
      <c r="ES303" s="415">
        <v>0</v>
      </c>
      <c r="ET303" s="415">
        <v>0</v>
      </c>
      <c r="EU303" s="415">
        <v>0</v>
      </c>
      <c r="EV303" s="410">
        <f t="shared" si="121"/>
        <v>0</v>
      </c>
      <c r="EW303" s="416">
        <f t="shared" si="122"/>
        <v>20.465116279069768</v>
      </c>
      <c r="EX303" s="417">
        <f>IFERROR(VLOOKUP(H303,CEI_012018!$A$1:$U$509,9,FALSE),0)</f>
        <v>0</v>
      </c>
      <c r="EY303" s="417">
        <f>IFERROR(VLOOKUP(H303,CEI_022018!$A$1:$U$509,9,FALSE),0)</f>
        <v>0</v>
      </c>
      <c r="EZ303" s="417">
        <f>IFERROR(VLOOKUP(H303,CEI_032018!$A$1:$U$509,9,FALSE),0)</f>
        <v>0</v>
      </c>
      <c r="FA303" s="417">
        <f>IFERROR(VLOOKUP(H303,CEI_042018!$A$1:$U$491,9,FALSE),0)</f>
        <v>0</v>
      </c>
      <c r="FB303" s="417">
        <f>IFERROR(VLOOKUP(H303,CEI_052018!$A$1:$U$489,9,FALSE),0)</f>
        <v>0</v>
      </c>
      <c r="FC303" s="417">
        <f>IFERROR(VLOOKUP(H303,CEI_062018!$A$1:$U$489,9,FALSE),0)</f>
        <v>0</v>
      </c>
      <c r="FD303" s="417">
        <f>IFERROR(VLOOKUP(H303,CEI_072018!$A$1:$U$489,9,FALSE),0)</f>
        <v>0</v>
      </c>
      <c r="FE303" s="417">
        <f>IFERROR(VLOOKUP(H303,CEI_082018!$A$1:$U$489,9,FALSE),0)</f>
        <v>0</v>
      </c>
      <c r="FF303" s="417">
        <f>IFERROR(VLOOKUP(H303,CEI_092018!$A$1:$U$489,9,FALSE),0)</f>
        <v>0</v>
      </c>
      <c r="FG303" s="417"/>
      <c r="FH303" s="417"/>
      <c r="FI303" s="417"/>
      <c r="FJ303" s="418">
        <f>IFERROR(VLOOKUP(H303,CEI_092018!$A$1:$U$489,12,FALSE),0)</f>
        <v>992.60840749740601</v>
      </c>
      <c r="FK303" s="418">
        <f t="shared" si="123"/>
        <v>992.60840749740601</v>
      </c>
      <c r="FL303" s="418">
        <f t="shared" si="124"/>
        <v>130.00003250259397</v>
      </c>
      <c r="FM303" s="417"/>
      <c r="FN303" s="417"/>
      <c r="FO303" s="417"/>
      <c r="FP303" s="417"/>
      <c r="FQ303" s="417"/>
      <c r="FR303" s="417"/>
      <c r="FS303" s="417"/>
      <c r="FT303" s="417"/>
      <c r="FU303" s="417"/>
      <c r="FV303" s="417"/>
      <c r="FW303" s="417"/>
      <c r="FX303" s="417"/>
      <c r="FY303" s="418"/>
      <c r="FZ303" s="418"/>
      <c r="GA303" s="418"/>
      <c r="GB303" s="417"/>
      <c r="GC303" s="417"/>
      <c r="GD303" s="417"/>
      <c r="GE303" s="417"/>
      <c r="GF303" s="417"/>
      <c r="GG303" s="417"/>
      <c r="GH303" s="417"/>
      <c r="GI303" s="417"/>
      <c r="GJ303" s="417"/>
      <c r="GK303" s="417"/>
      <c r="GL303" s="417"/>
      <c r="GM303" s="417"/>
      <c r="GN303" s="418"/>
      <c r="GO303" s="418"/>
      <c r="GP303" s="418"/>
      <c r="GQ303" s="417"/>
      <c r="GR303" s="417"/>
      <c r="GS303" s="417"/>
      <c r="GT303" s="417"/>
      <c r="GU303" s="417"/>
      <c r="GV303" s="417"/>
      <c r="GW303" s="417"/>
      <c r="GX303" s="417"/>
      <c r="GY303" s="417"/>
      <c r="GZ303" s="417"/>
      <c r="HA303" s="417"/>
      <c r="HB303" s="417"/>
      <c r="HC303" s="418"/>
      <c r="HD303" s="418"/>
      <c r="HE303" s="418"/>
      <c r="HF303" s="417"/>
      <c r="HG303" s="417"/>
      <c r="HH303" s="417"/>
      <c r="HI303" s="417"/>
      <c r="HJ303" s="417"/>
      <c r="HK303" s="417"/>
      <c r="HL303" s="417"/>
      <c r="HM303" s="417"/>
      <c r="HN303" s="417"/>
      <c r="HO303" s="417"/>
      <c r="HP303" s="417"/>
      <c r="HQ303" s="417"/>
      <c r="HR303" s="418"/>
      <c r="HS303" s="418"/>
      <c r="HT303" s="418"/>
    </row>
    <row r="304" spans="1:228" s="387" customFormat="1" ht="12.75" customHeight="1" x14ac:dyDescent="0.2">
      <c r="A304" s="406" t="s">
        <v>55</v>
      </c>
      <c r="B304" s="407" t="s">
        <v>42</v>
      </c>
      <c r="C304" s="406" t="s">
        <v>297</v>
      </c>
      <c r="D304" s="407" t="s">
        <v>1007</v>
      </c>
      <c r="E304" s="407" t="s">
        <v>297</v>
      </c>
      <c r="F304" s="407" t="s">
        <v>1007</v>
      </c>
      <c r="G304" s="406" t="s">
        <v>54</v>
      </c>
      <c r="H304" s="408" t="s">
        <v>520</v>
      </c>
      <c r="I304" s="408" t="s">
        <v>57</v>
      </c>
      <c r="J304" s="406" t="s">
        <v>1513</v>
      </c>
      <c r="K304" s="406" t="s">
        <v>781</v>
      </c>
      <c r="L304" s="406" t="s">
        <v>782</v>
      </c>
      <c r="M304" s="406" t="s">
        <v>1783</v>
      </c>
      <c r="N304" s="452">
        <v>0</v>
      </c>
      <c r="O304" s="452">
        <v>0</v>
      </c>
      <c r="P304" s="452">
        <v>0</v>
      </c>
      <c r="Q304" s="452">
        <v>0</v>
      </c>
      <c r="R304" s="452">
        <v>0</v>
      </c>
      <c r="S304" s="452">
        <v>0</v>
      </c>
      <c r="T304" s="452">
        <v>0</v>
      </c>
      <c r="U304" s="409">
        <v>0</v>
      </c>
      <c r="V304" s="409">
        <v>0</v>
      </c>
      <c r="W304" s="409">
        <v>0</v>
      </c>
      <c r="X304" s="409">
        <v>0</v>
      </c>
      <c r="Y304" s="409">
        <v>0</v>
      </c>
      <c r="Z304" s="453">
        <f t="shared" si="108"/>
        <v>0</v>
      </c>
      <c r="AA304" s="452">
        <v>0</v>
      </c>
      <c r="AB304" s="452">
        <v>0</v>
      </c>
      <c r="AC304" s="452">
        <v>0</v>
      </c>
      <c r="AD304" s="452">
        <v>0</v>
      </c>
      <c r="AE304" s="452">
        <v>0</v>
      </c>
      <c r="AF304" s="452">
        <v>1880</v>
      </c>
      <c r="AG304" s="452">
        <v>451</v>
      </c>
      <c r="AH304" s="409">
        <v>0</v>
      </c>
      <c r="AI304" s="409">
        <v>0</v>
      </c>
      <c r="AJ304" s="409">
        <v>0</v>
      </c>
      <c r="AK304" s="409">
        <v>0</v>
      </c>
      <c r="AL304" s="409">
        <v>0</v>
      </c>
      <c r="AM304" s="453">
        <f t="shared" si="103"/>
        <v>2331</v>
      </c>
      <c r="AN304" s="452">
        <v>0</v>
      </c>
      <c r="AO304" s="452">
        <v>0</v>
      </c>
      <c r="AP304" s="452">
        <v>337</v>
      </c>
      <c r="AQ304" s="452">
        <v>63</v>
      </c>
      <c r="AR304" s="452">
        <v>0</v>
      </c>
      <c r="AS304" s="452">
        <v>0</v>
      </c>
      <c r="AT304" s="452">
        <v>0</v>
      </c>
      <c r="AU304" s="409">
        <v>0</v>
      </c>
      <c r="AV304" s="409">
        <v>0</v>
      </c>
      <c r="AW304" s="409">
        <v>0</v>
      </c>
      <c r="AX304" s="409">
        <v>0</v>
      </c>
      <c r="AY304" s="409">
        <v>0</v>
      </c>
      <c r="AZ304" s="453">
        <f t="shared" si="104"/>
        <v>400</v>
      </c>
      <c r="BA304" s="452">
        <v>0</v>
      </c>
      <c r="BB304" s="452">
        <v>0</v>
      </c>
      <c r="BC304" s="452">
        <v>0</v>
      </c>
      <c r="BD304" s="452">
        <v>0</v>
      </c>
      <c r="BE304" s="452">
        <v>0</v>
      </c>
      <c r="BF304" s="452">
        <v>0</v>
      </c>
      <c r="BG304" s="452">
        <v>0</v>
      </c>
      <c r="BH304" s="409">
        <v>0</v>
      </c>
      <c r="BI304" s="409">
        <v>0</v>
      </c>
      <c r="BJ304" s="409">
        <v>0</v>
      </c>
      <c r="BK304" s="409">
        <v>0</v>
      </c>
      <c r="BL304" s="409">
        <v>0</v>
      </c>
      <c r="BM304" s="453">
        <f t="shared" si="105"/>
        <v>0</v>
      </c>
      <c r="BN304" s="452">
        <v>0</v>
      </c>
      <c r="BO304" s="452">
        <v>0</v>
      </c>
      <c r="BP304" s="452">
        <v>0</v>
      </c>
      <c r="BQ304" s="452">
        <v>0</v>
      </c>
      <c r="BR304" s="452">
        <v>0</v>
      </c>
      <c r="BS304" s="452">
        <v>0</v>
      </c>
      <c r="BT304" s="452">
        <v>0</v>
      </c>
      <c r="BU304" s="409">
        <v>0</v>
      </c>
      <c r="BV304" s="409">
        <v>0</v>
      </c>
      <c r="BW304" s="409">
        <v>0</v>
      </c>
      <c r="BX304" s="409">
        <v>0</v>
      </c>
      <c r="BY304" s="409">
        <v>0</v>
      </c>
      <c r="BZ304" s="453">
        <f t="shared" si="106"/>
        <v>0</v>
      </c>
      <c r="CA304" s="454">
        <f t="shared" si="107"/>
        <v>2731</v>
      </c>
      <c r="CB304" s="411"/>
      <c r="CC304" s="411"/>
      <c r="CD304" s="411"/>
      <c r="CE304" s="411"/>
      <c r="CF304" s="411"/>
      <c r="CG304" s="412"/>
      <c r="CH304" s="413"/>
      <c r="CI304" s="414" t="s">
        <v>1626</v>
      </c>
      <c r="CJ304" s="415">
        <v>0</v>
      </c>
      <c r="CK304" s="415">
        <v>0</v>
      </c>
      <c r="CL304" s="415">
        <v>0</v>
      </c>
      <c r="CM304" s="415">
        <v>0</v>
      </c>
      <c r="CN304" s="415">
        <v>0</v>
      </c>
      <c r="CO304" s="415">
        <v>0</v>
      </c>
      <c r="CP304" s="415">
        <v>0</v>
      </c>
      <c r="CQ304" s="415">
        <v>0</v>
      </c>
      <c r="CR304" s="415">
        <v>0</v>
      </c>
      <c r="CS304" s="415">
        <v>0</v>
      </c>
      <c r="CT304" s="415">
        <v>0</v>
      </c>
      <c r="CU304" s="415">
        <v>0</v>
      </c>
      <c r="CV304" s="410">
        <f t="shared" si="117"/>
        <v>0</v>
      </c>
      <c r="CW304" s="415">
        <v>0</v>
      </c>
      <c r="CX304" s="415">
        <v>0</v>
      </c>
      <c r="CY304" s="415">
        <v>0</v>
      </c>
      <c r="CZ304" s="415">
        <v>0</v>
      </c>
      <c r="DA304" s="415">
        <v>0</v>
      </c>
      <c r="DB304" s="415">
        <v>47</v>
      </c>
      <c r="DC304" s="415">
        <v>11.275</v>
      </c>
      <c r="DD304" s="415">
        <v>0</v>
      </c>
      <c r="DE304" s="415">
        <v>0</v>
      </c>
      <c r="DF304" s="415">
        <v>0</v>
      </c>
      <c r="DG304" s="415">
        <v>0</v>
      </c>
      <c r="DH304" s="415">
        <v>0</v>
      </c>
      <c r="DI304" s="410">
        <f t="shared" si="118"/>
        <v>58.274999999999999</v>
      </c>
      <c r="DJ304" s="415">
        <v>0</v>
      </c>
      <c r="DK304" s="415">
        <v>0</v>
      </c>
      <c r="DL304" s="415">
        <v>10</v>
      </c>
      <c r="DM304" s="415">
        <v>0</v>
      </c>
      <c r="DN304" s="415">
        <v>0</v>
      </c>
      <c r="DO304" s="415">
        <v>0</v>
      </c>
      <c r="DP304" s="415">
        <v>0</v>
      </c>
      <c r="DQ304" s="415">
        <v>0</v>
      </c>
      <c r="DR304" s="415">
        <v>0</v>
      </c>
      <c r="DS304" s="415">
        <v>0</v>
      </c>
      <c r="DT304" s="415">
        <v>0</v>
      </c>
      <c r="DU304" s="415">
        <v>0</v>
      </c>
      <c r="DV304" s="410">
        <f t="shared" si="119"/>
        <v>10</v>
      </c>
      <c r="DW304" s="415">
        <v>0</v>
      </c>
      <c r="DX304" s="415">
        <v>0</v>
      </c>
      <c r="DY304" s="415">
        <v>0</v>
      </c>
      <c r="DZ304" s="415">
        <v>0</v>
      </c>
      <c r="EA304" s="415">
        <v>0</v>
      </c>
      <c r="EB304" s="415">
        <v>0</v>
      </c>
      <c r="EC304" s="415">
        <v>0</v>
      </c>
      <c r="ED304" s="415">
        <v>0</v>
      </c>
      <c r="EE304" s="415">
        <v>0</v>
      </c>
      <c r="EF304" s="415">
        <v>0</v>
      </c>
      <c r="EG304" s="415">
        <v>0</v>
      </c>
      <c r="EH304" s="415">
        <v>0</v>
      </c>
      <c r="EI304" s="410">
        <f t="shared" si="120"/>
        <v>0</v>
      </c>
      <c r="EJ304" s="415">
        <v>0</v>
      </c>
      <c r="EK304" s="415">
        <v>0</v>
      </c>
      <c r="EL304" s="415">
        <v>0</v>
      </c>
      <c r="EM304" s="415">
        <v>0</v>
      </c>
      <c r="EN304" s="415">
        <v>0</v>
      </c>
      <c r="EO304" s="415">
        <v>0</v>
      </c>
      <c r="EP304" s="415">
        <v>0</v>
      </c>
      <c r="EQ304" s="415">
        <v>0</v>
      </c>
      <c r="ER304" s="415">
        <v>0</v>
      </c>
      <c r="ES304" s="415">
        <v>0</v>
      </c>
      <c r="ET304" s="415">
        <v>0</v>
      </c>
      <c r="EU304" s="415">
        <v>0</v>
      </c>
      <c r="EV304" s="410">
        <f t="shared" si="121"/>
        <v>0</v>
      </c>
      <c r="EW304" s="416">
        <f t="shared" si="122"/>
        <v>68.275000000000006</v>
      </c>
      <c r="EX304" s="417">
        <f>IFERROR(VLOOKUP(H304,CEI_012018!$A$1:$U$509,9,FALSE),0)</f>
        <v>0</v>
      </c>
      <c r="EY304" s="417">
        <f>IFERROR(VLOOKUP(H304,CEI_022018!$A$1:$U$509,9,FALSE),0)</f>
        <v>0</v>
      </c>
      <c r="EZ304" s="417">
        <f>IFERROR(VLOOKUP(H304,CEI_032018!$A$1:$U$509,9,FALSE),0)</f>
        <v>0</v>
      </c>
      <c r="FA304" s="417">
        <f>IFERROR(VLOOKUP(H304,CEI_042018!$A$1:$U$491,9,FALSE),0)</f>
        <v>0</v>
      </c>
      <c r="FB304" s="417">
        <f>IFERROR(VLOOKUP(H304,CEI_052018!$A$1:$U$489,9,FALSE),0)</f>
        <v>0</v>
      </c>
      <c r="FC304" s="417">
        <f>IFERROR(VLOOKUP(H304,CEI_062018!$A$1:$U$489,9,FALSE),0)</f>
        <v>0</v>
      </c>
      <c r="FD304" s="417">
        <f>IFERROR(VLOOKUP(H304,CEI_072018!$A$1:$U$489,9,FALSE),0)</f>
        <v>0</v>
      </c>
      <c r="FE304" s="417">
        <f>IFERROR(VLOOKUP(H304,CEI_082018!$A$1:$U$489,9,FALSE),0)</f>
        <v>0</v>
      </c>
      <c r="FF304" s="417">
        <f>IFERROR(VLOOKUP(H304,CEI_092018!$A$1:$U$489,9,FALSE),0)</f>
        <v>0</v>
      </c>
      <c r="FG304" s="417"/>
      <c r="FH304" s="417"/>
      <c r="FI304" s="417"/>
      <c r="FJ304" s="418">
        <f>IFERROR(VLOOKUP(H304,CEI_092018!$A$1:$U$489,12,FALSE),0)</f>
        <v>0</v>
      </c>
      <c r="FK304" s="418">
        <f t="shared" si="123"/>
        <v>0</v>
      </c>
      <c r="FL304" s="418">
        <f t="shared" si="124"/>
        <v>0</v>
      </c>
      <c r="FM304" s="417"/>
      <c r="FN304" s="417"/>
      <c r="FO304" s="417"/>
      <c r="FP304" s="417"/>
      <c r="FQ304" s="417"/>
      <c r="FR304" s="417"/>
      <c r="FS304" s="417"/>
      <c r="FT304" s="417"/>
      <c r="FU304" s="417"/>
      <c r="FV304" s="417"/>
      <c r="FW304" s="417"/>
      <c r="FX304" s="417"/>
      <c r="FY304" s="418"/>
      <c r="FZ304" s="418"/>
      <c r="GA304" s="418"/>
      <c r="GB304" s="417"/>
      <c r="GC304" s="417"/>
      <c r="GD304" s="417"/>
      <c r="GE304" s="417"/>
      <c r="GF304" s="417"/>
      <c r="GG304" s="417"/>
      <c r="GH304" s="417"/>
      <c r="GI304" s="417"/>
      <c r="GJ304" s="417"/>
      <c r="GK304" s="417"/>
      <c r="GL304" s="417"/>
      <c r="GM304" s="417"/>
      <c r="GN304" s="418"/>
      <c r="GO304" s="418"/>
      <c r="GP304" s="418"/>
      <c r="GQ304" s="417"/>
      <c r="GR304" s="417"/>
      <c r="GS304" s="417"/>
      <c r="GT304" s="417"/>
      <c r="GU304" s="417"/>
      <c r="GV304" s="417"/>
      <c r="GW304" s="417"/>
      <c r="GX304" s="417"/>
      <c r="GY304" s="417"/>
      <c r="GZ304" s="417"/>
      <c r="HA304" s="417"/>
      <c r="HB304" s="417"/>
      <c r="HC304" s="418"/>
      <c r="HD304" s="418"/>
      <c r="HE304" s="418"/>
      <c r="HF304" s="417"/>
      <c r="HG304" s="417"/>
      <c r="HH304" s="417"/>
      <c r="HI304" s="417"/>
      <c r="HJ304" s="417"/>
      <c r="HK304" s="417"/>
      <c r="HL304" s="417"/>
      <c r="HM304" s="417"/>
      <c r="HN304" s="417"/>
      <c r="HO304" s="417"/>
      <c r="HP304" s="417"/>
      <c r="HQ304" s="417"/>
      <c r="HR304" s="418"/>
      <c r="HS304" s="418"/>
      <c r="HT304" s="418"/>
    </row>
    <row r="305" spans="1:228" s="387" customFormat="1" ht="12.75" customHeight="1" x14ac:dyDescent="0.2">
      <c r="A305" s="406" t="s">
        <v>55</v>
      </c>
      <c r="B305" s="407" t="s">
        <v>42</v>
      </c>
      <c r="C305" s="406" t="s">
        <v>297</v>
      </c>
      <c r="D305" s="407" t="s">
        <v>1007</v>
      </c>
      <c r="E305" s="407" t="s">
        <v>297</v>
      </c>
      <c r="F305" s="407" t="s">
        <v>1007</v>
      </c>
      <c r="G305" s="406" t="s">
        <v>54</v>
      </c>
      <c r="H305" s="408" t="s">
        <v>1275</v>
      </c>
      <c r="I305" s="408" t="s">
        <v>1276</v>
      </c>
      <c r="J305" s="406" t="s">
        <v>767</v>
      </c>
      <c r="K305" s="406" t="s">
        <v>768</v>
      </c>
      <c r="L305" s="406" t="s">
        <v>769</v>
      </c>
      <c r="M305" s="406" t="s">
        <v>1783</v>
      </c>
      <c r="N305" s="452">
        <v>0</v>
      </c>
      <c r="O305" s="452">
        <v>0</v>
      </c>
      <c r="P305" s="452">
        <v>0</v>
      </c>
      <c r="Q305" s="452">
        <v>0</v>
      </c>
      <c r="R305" s="452">
        <v>0</v>
      </c>
      <c r="S305" s="452">
        <v>0</v>
      </c>
      <c r="T305" s="452">
        <v>0</v>
      </c>
      <c r="U305" s="409">
        <v>0</v>
      </c>
      <c r="V305" s="409">
        <v>0</v>
      </c>
      <c r="W305" s="409">
        <v>0</v>
      </c>
      <c r="X305" s="409">
        <v>0</v>
      </c>
      <c r="Y305" s="409">
        <v>0</v>
      </c>
      <c r="Z305" s="453">
        <f t="shared" si="108"/>
        <v>0</v>
      </c>
      <c r="AA305" s="452">
        <v>0</v>
      </c>
      <c r="AB305" s="452">
        <v>0</v>
      </c>
      <c r="AC305" s="452">
        <v>1115</v>
      </c>
      <c r="AD305" s="452">
        <v>268</v>
      </c>
      <c r="AE305" s="452">
        <v>0</v>
      </c>
      <c r="AF305" s="452">
        <v>0</v>
      </c>
      <c r="AG305" s="452">
        <v>0</v>
      </c>
      <c r="AH305" s="409">
        <v>0</v>
      </c>
      <c r="AI305" s="409">
        <v>0</v>
      </c>
      <c r="AJ305" s="409">
        <v>0</v>
      </c>
      <c r="AK305" s="409">
        <v>0</v>
      </c>
      <c r="AL305" s="409">
        <v>0</v>
      </c>
      <c r="AM305" s="453">
        <f t="shared" si="103"/>
        <v>1383</v>
      </c>
      <c r="AN305" s="452">
        <v>0</v>
      </c>
      <c r="AO305" s="452">
        <v>847</v>
      </c>
      <c r="AP305" s="452">
        <v>159</v>
      </c>
      <c r="AQ305" s="452">
        <v>0</v>
      </c>
      <c r="AR305" s="452">
        <v>0</v>
      </c>
      <c r="AS305" s="452">
        <v>0</v>
      </c>
      <c r="AT305" s="452">
        <v>0</v>
      </c>
      <c r="AU305" s="409">
        <v>0</v>
      </c>
      <c r="AV305" s="409">
        <v>0</v>
      </c>
      <c r="AW305" s="409">
        <v>0</v>
      </c>
      <c r="AX305" s="409">
        <v>0</v>
      </c>
      <c r="AY305" s="409">
        <v>0</v>
      </c>
      <c r="AZ305" s="453">
        <f t="shared" si="104"/>
        <v>1006</v>
      </c>
      <c r="BA305" s="452">
        <v>0</v>
      </c>
      <c r="BB305" s="452">
        <v>0</v>
      </c>
      <c r="BC305" s="452">
        <v>0</v>
      </c>
      <c r="BD305" s="452">
        <v>0</v>
      </c>
      <c r="BE305" s="452">
        <v>0</v>
      </c>
      <c r="BF305" s="452">
        <v>0</v>
      </c>
      <c r="BG305" s="452">
        <v>0</v>
      </c>
      <c r="BH305" s="409">
        <v>0</v>
      </c>
      <c r="BI305" s="409">
        <v>0</v>
      </c>
      <c r="BJ305" s="409">
        <v>0</v>
      </c>
      <c r="BK305" s="409">
        <v>0</v>
      </c>
      <c r="BL305" s="409">
        <v>0</v>
      </c>
      <c r="BM305" s="453">
        <f t="shared" si="105"/>
        <v>0</v>
      </c>
      <c r="BN305" s="452">
        <v>0</v>
      </c>
      <c r="BO305" s="452">
        <v>0</v>
      </c>
      <c r="BP305" s="452">
        <v>0</v>
      </c>
      <c r="BQ305" s="452">
        <v>0</v>
      </c>
      <c r="BR305" s="452">
        <v>0</v>
      </c>
      <c r="BS305" s="452">
        <v>0</v>
      </c>
      <c r="BT305" s="452">
        <v>0</v>
      </c>
      <c r="BU305" s="409">
        <v>0</v>
      </c>
      <c r="BV305" s="409">
        <v>0</v>
      </c>
      <c r="BW305" s="409">
        <v>0</v>
      </c>
      <c r="BX305" s="409">
        <v>0</v>
      </c>
      <c r="BY305" s="409">
        <v>0</v>
      </c>
      <c r="BZ305" s="453">
        <f t="shared" si="106"/>
        <v>0</v>
      </c>
      <c r="CA305" s="454">
        <f t="shared" si="107"/>
        <v>2389</v>
      </c>
      <c r="CB305" s="411"/>
      <c r="CC305" s="411"/>
      <c r="CD305" s="411"/>
      <c r="CE305" s="411"/>
      <c r="CF305" s="411"/>
      <c r="CG305" s="420">
        <f>IFERROR((FE305/Z305%),0)</f>
        <v>0</v>
      </c>
      <c r="CH305" s="413"/>
      <c r="CI305" s="414" t="s">
        <v>1621</v>
      </c>
      <c r="CJ305" s="415">
        <v>0</v>
      </c>
      <c r="CK305" s="415">
        <v>0</v>
      </c>
      <c r="CL305" s="415">
        <v>0</v>
      </c>
      <c r="CM305" s="415">
        <v>0</v>
      </c>
      <c r="CN305" s="415">
        <v>0</v>
      </c>
      <c r="CO305" s="415">
        <v>0</v>
      </c>
      <c r="CP305" s="415">
        <v>0</v>
      </c>
      <c r="CQ305" s="415">
        <v>0</v>
      </c>
      <c r="CR305" s="415">
        <v>0</v>
      </c>
      <c r="CS305" s="415">
        <v>0</v>
      </c>
      <c r="CT305" s="415">
        <v>0</v>
      </c>
      <c r="CU305" s="415">
        <v>0</v>
      </c>
      <c r="CV305" s="410">
        <f t="shared" si="117"/>
        <v>0</v>
      </c>
      <c r="CW305" s="415">
        <v>0</v>
      </c>
      <c r="CX305" s="415">
        <v>0</v>
      </c>
      <c r="CY305" s="415">
        <v>1</v>
      </c>
      <c r="CZ305" s="415">
        <v>0</v>
      </c>
      <c r="DA305" s="415">
        <v>0</v>
      </c>
      <c r="DB305" s="415">
        <v>0</v>
      </c>
      <c r="DC305" s="415">
        <v>0</v>
      </c>
      <c r="DD305" s="415">
        <v>0</v>
      </c>
      <c r="DE305" s="415">
        <v>0</v>
      </c>
      <c r="DF305" s="415">
        <v>0</v>
      </c>
      <c r="DG305" s="415">
        <v>0</v>
      </c>
      <c r="DH305" s="415">
        <v>0</v>
      </c>
      <c r="DI305" s="410">
        <f t="shared" si="118"/>
        <v>1</v>
      </c>
      <c r="DJ305" s="415">
        <v>0</v>
      </c>
      <c r="DK305" s="415">
        <v>0</v>
      </c>
      <c r="DL305" s="415">
        <v>1</v>
      </c>
      <c r="DM305" s="415">
        <v>0</v>
      </c>
      <c r="DN305" s="415">
        <v>0</v>
      </c>
      <c r="DO305" s="415">
        <v>0</v>
      </c>
      <c r="DP305" s="415">
        <v>0</v>
      </c>
      <c r="DQ305" s="415">
        <v>0</v>
      </c>
      <c r="DR305" s="415">
        <v>0</v>
      </c>
      <c r="DS305" s="415">
        <v>0</v>
      </c>
      <c r="DT305" s="415">
        <v>0</v>
      </c>
      <c r="DU305" s="415">
        <v>0</v>
      </c>
      <c r="DV305" s="410">
        <f t="shared" si="119"/>
        <v>1</v>
      </c>
      <c r="DW305" s="415">
        <v>0</v>
      </c>
      <c r="DX305" s="415">
        <v>0</v>
      </c>
      <c r="DY305" s="415">
        <v>0</v>
      </c>
      <c r="DZ305" s="415">
        <v>0</v>
      </c>
      <c r="EA305" s="415">
        <v>0</v>
      </c>
      <c r="EB305" s="415">
        <v>0</v>
      </c>
      <c r="EC305" s="415">
        <v>0</v>
      </c>
      <c r="ED305" s="415">
        <v>0</v>
      </c>
      <c r="EE305" s="415">
        <v>0</v>
      </c>
      <c r="EF305" s="415">
        <v>0</v>
      </c>
      <c r="EG305" s="415">
        <v>0</v>
      </c>
      <c r="EH305" s="415">
        <v>0</v>
      </c>
      <c r="EI305" s="410">
        <f t="shared" si="120"/>
        <v>0</v>
      </c>
      <c r="EJ305" s="415">
        <v>0</v>
      </c>
      <c r="EK305" s="415">
        <v>0</v>
      </c>
      <c r="EL305" s="415">
        <v>0</v>
      </c>
      <c r="EM305" s="415">
        <v>0</v>
      </c>
      <c r="EN305" s="415">
        <v>0</v>
      </c>
      <c r="EO305" s="415">
        <v>0</v>
      </c>
      <c r="EP305" s="415">
        <v>0</v>
      </c>
      <c r="EQ305" s="415">
        <v>0</v>
      </c>
      <c r="ER305" s="415">
        <v>0</v>
      </c>
      <c r="ES305" s="415">
        <v>0</v>
      </c>
      <c r="ET305" s="415">
        <v>0</v>
      </c>
      <c r="EU305" s="415">
        <v>0</v>
      </c>
      <c r="EV305" s="410">
        <f t="shared" si="121"/>
        <v>0</v>
      </c>
      <c r="EW305" s="416">
        <f t="shared" si="122"/>
        <v>2</v>
      </c>
      <c r="EX305" s="417">
        <f>IFERROR(VLOOKUP(H305,CEI_012018!$A$1:$U$509,9,FALSE),0)</f>
        <v>0</v>
      </c>
      <c r="EY305" s="417">
        <f>IFERROR(VLOOKUP(H305,CEI_022018!$A$1:$U$509,9,FALSE),0)</f>
        <v>0</v>
      </c>
      <c r="EZ305" s="417">
        <f>IFERROR(VLOOKUP(H305,CEI_032018!$A$1:$U$509,9,FALSE),0)</f>
        <v>0</v>
      </c>
      <c r="FA305" s="417">
        <f>IFERROR(VLOOKUP(H305,CEI_042018!$A$1:$U$491,9,FALSE),0)</f>
        <v>0</v>
      </c>
      <c r="FB305" s="417">
        <f>IFERROR(VLOOKUP(H305,CEI_052018!$A$1:$U$489,9,FALSE),0)</f>
        <v>0</v>
      </c>
      <c r="FC305" s="417">
        <f>IFERROR(VLOOKUP(H305,CEI_062018!$A$1:$U$489,9,FALSE),0)</f>
        <v>0</v>
      </c>
      <c r="FD305" s="417">
        <f>IFERROR(VLOOKUP(H305,CEI_072018!$A$1:$U$489,9,FALSE),0)</f>
        <v>0</v>
      </c>
      <c r="FE305" s="417">
        <f>IFERROR(VLOOKUP(H305,CEI_082018!$A$1:$U$489,9,FALSE),0)</f>
        <v>0</v>
      </c>
      <c r="FF305" s="417">
        <f>IFERROR(VLOOKUP(H305,CEI_092018!$A$1:$U$489,9,FALSE),0)</f>
        <v>0</v>
      </c>
      <c r="FG305" s="417"/>
      <c r="FH305" s="417"/>
      <c r="FI305" s="417"/>
      <c r="FJ305" s="418">
        <f>IFERROR(VLOOKUP(H305,CEI_092018!$A$1:$U$489,12,FALSE),0)</f>
        <v>0</v>
      </c>
      <c r="FK305" s="418">
        <f t="shared" si="123"/>
        <v>0</v>
      </c>
      <c r="FL305" s="418">
        <f t="shared" si="124"/>
        <v>0</v>
      </c>
      <c r="FM305" s="417"/>
      <c r="FN305" s="417"/>
      <c r="FO305" s="417"/>
      <c r="FP305" s="417"/>
      <c r="FQ305" s="417"/>
      <c r="FR305" s="417"/>
      <c r="FS305" s="417"/>
      <c r="FT305" s="417"/>
      <c r="FU305" s="417"/>
      <c r="FV305" s="417"/>
      <c r="FW305" s="417"/>
      <c r="FX305" s="417"/>
      <c r="FY305" s="418"/>
      <c r="FZ305" s="418"/>
      <c r="GA305" s="418"/>
      <c r="GB305" s="417"/>
      <c r="GC305" s="417"/>
      <c r="GD305" s="417"/>
      <c r="GE305" s="417"/>
      <c r="GF305" s="417"/>
      <c r="GG305" s="417"/>
      <c r="GH305" s="417"/>
      <c r="GI305" s="417"/>
      <c r="GJ305" s="417"/>
      <c r="GK305" s="417"/>
      <c r="GL305" s="417"/>
      <c r="GM305" s="417"/>
      <c r="GN305" s="418"/>
      <c r="GO305" s="418"/>
      <c r="GP305" s="418"/>
      <c r="GQ305" s="417"/>
      <c r="GR305" s="417"/>
      <c r="GS305" s="417"/>
      <c r="GT305" s="417"/>
      <c r="GU305" s="417"/>
      <c r="GV305" s="417"/>
      <c r="GW305" s="417"/>
      <c r="GX305" s="417"/>
      <c r="GY305" s="417"/>
      <c r="GZ305" s="417"/>
      <c r="HA305" s="417"/>
      <c r="HB305" s="417"/>
      <c r="HC305" s="418"/>
      <c r="HD305" s="418"/>
      <c r="HE305" s="418"/>
      <c r="HF305" s="417"/>
      <c r="HG305" s="417"/>
      <c r="HH305" s="417"/>
      <c r="HI305" s="417"/>
      <c r="HJ305" s="417"/>
      <c r="HK305" s="417"/>
      <c r="HL305" s="417"/>
      <c r="HM305" s="417"/>
      <c r="HN305" s="417"/>
      <c r="HO305" s="417"/>
      <c r="HP305" s="417"/>
      <c r="HQ305" s="417"/>
      <c r="HR305" s="418"/>
      <c r="HS305" s="418"/>
      <c r="HT305" s="418"/>
    </row>
    <row r="306" spans="1:228" s="387" customFormat="1" ht="12.75" customHeight="1" x14ac:dyDescent="0.2">
      <c r="A306" s="406" t="s">
        <v>55</v>
      </c>
      <c r="B306" s="407" t="s">
        <v>42</v>
      </c>
      <c r="C306" s="406" t="s">
        <v>297</v>
      </c>
      <c r="D306" s="407" t="s">
        <v>1007</v>
      </c>
      <c r="E306" s="407" t="s">
        <v>297</v>
      </c>
      <c r="F306" s="407" t="s">
        <v>1007</v>
      </c>
      <c r="G306" s="406" t="s">
        <v>54</v>
      </c>
      <c r="H306" s="408" t="s">
        <v>1575</v>
      </c>
      <c r="I306" s="408" t="s">
        <v>1576</v>
      </c>
      <c r="J306" s="406" t="s">
        <v>787</v>
      </c>
      <c r="K306" s="406" t="s">
        <v>1609</v>
      </c>
      <c r="L306" s="406" t="s">
        <v>1616</v>
      </c>
      <c r="M306" s="406" t="s">
        <v>1783</v>
      </c>
      <c r="N306" s="452">
        <v>0</v>
      </c>
      <c r="O306" s="452">
        <v>0</v>
      </c>
      <c r="P306" s="452">
        <v>0</v>
      </c>
      <c r="Q306" s="452">
        <v>0</v>
      </c>
      <c r="R306" s="452">
        <v>0</v>
      </c>
      <c r="S306" s="452">
        <v>0</v>
      </c>
      <c r="T306" s="452">
        <v>0</v>
      </c>
      <c r="U306" s="409">
        <v>0</v>
      </c>
      <c r="V306" s="409">
        <v>0</v>
      </c>
      <c r="W306" s="409">
        <v>0</v>
      </c>
      <c r="X306" s="409">
        <v>160</v>
      </c>
      <c r="Y306" s="409">
        <v>1705</v>
      </c>
      <c r="Z306" s="453">
        <f t="shared" si="108"/>
        <v>1865</v>
      </c>
      <c r="AA306" s="452">
        <v>0</v>
      </c>
      <c r="AB306" s="452">
        <v>0</v>
      </c>
      <c r="AC306" s="452">
        <v>0</v>
      </c>
      <c r="AD306" s="452">
        <v>0</v>
      </c>
      <c r="AE306" s="452">
        <v>0</v>
      </c>
      <c r="AF306" s="452">
        <v>0</v>
      </c>
      <c r="AG306" s="452">
        <v>0</v>
      </c>
      <c r="AH306" s="409">
        <v>0</v>
      </c>
      <c r="AI306" s="409">
        <v>0</v>
      </c>
      <c r="AJ306" s="409">
        <v>0</v>
      </c>
      <c r="AK306" s="409">
        <v>0</v>
      </c>
      <c r="AL306" s="409">
        <v>0</v>
      </c>
      <c r="AM306" s="453">
        <f t="shared" si="103"/>
        <v>0</v>
      </c>
      <c r="AN306" s="452">
        <v>0</v>
      </c>
      <c r="AO306" s="452">
        <v>0</v>
      </c>
      <c r="AP306" s="452">
        <v>0</v>
      </c>
      <c r="AQ306" s="452">
        <v>0</v>
      </c>
      <c r="AR306" s="452">
        <v>0</v>
      </c>
      <c r="AS306" s="452">
        <v>0</v>
      </c>
      <c r="AT306" s="452">
        <v>0</v>
      </c>
      <c r="AU306" s="409">
        <v>0</v>
      </c>
      <c r="AV306" s="409">
        <v>0</v>
      </c>
      <c r="AW306" s="409">
        <v>0</v>
      </c>
      <c r="AX306" s="409">
        <v>0</v>
      </c>
      <c r="AY306" s="409">
        <v>0</v>
      </c>
      <c r="AZ306" s="453">
        <f t="shared" si="104"/>
        <v>0</v>
      </c>
      <c r="BA306" s="452">
        <v>0</v>
      </c>
      <c r="BB306" s="452">
        <v>0</v>
      </c>
      <c r="BC306" s="452">
        <v>0</v>
      </c>
      <c r="BD306" s="452">
        <v>0</v>
      </c>
      <c r="BE306" s="452">
        <v>0</v>
      </c>
      <c r="BF306" s="452">
        <v>0</v>
      </c>
      <c r="BG306" s="452">
        <v>0</v>
      </c>
      <c r="BH306" s="409">
        <v>0</v>
      </c>
      <c r="BI306" s="409">
        <v>0</v>
      </c>
      <c r="BJ306" s="409">
        <v>0</v>
      </c>
      <c r="BK306" s="409">
        <v>0</v>
      </c>
      <c r="BL306" s="409">
        <v>0</v>
      </c>
      <c r="BM306" s="453">
        <f t="shared" si="105"/>
        <v>0</v>
      </c>
      <c r="BN306" s="452">
        <v>0</v>
      </c>
      <c r="BO306" s="452">
        <v>0</v>
      </c>
      <c r="BP306" s="452">
        <v>0</v>
      </c>
      <c r="BQ306" s="452">
        <v>0</v>
      </c>
      <c r="BR306" s="452">
        <v>0</v>
      </c>
      <c r="BS306" s="452">
        <v>0</v>
      </c>
      <c r="BT306" s="452">
        <v>0</v>
      </c>
      <c r="BU306" s="409">
        <v>0</v>
      </c>
      <c r="BV306" s="409">
        <v>0</v>
      </c>
      <c r="BW306" s="409">
        <v>0</v>
      </c>
      <c r="BX306" s="409">
        <v>0</v>
      </c>
      <c r="BY306" s="409">
        <v>0</v>
      </c>
      <c r="BZ306" s="453">
        <f t="shared" si="106"/>
        <v>0</v>
      </c>
      <c r="CA306" s="454">
        <f t="shared" si="107"/>
        <v>1865</v>
      </c>
      <c r="CB306" s="419"/>
      <c r="CC306" s="419">
        <v>1</v>
      </c>
      <c r="CD306" s="419">
        <v>1</v>
      </c>
      <c r="CE306" s="419">
        <v>1</v>
      </c>
      <c r="CF306" s="419">
        <v>-1</v>
      </c>
      <c r="CG306" s="420">
        <f>IFERROR((FE306/Z306%),0)</f>
        <v>0</v>
      </c>
      <c r="CH306" s="421">
        <f>IFERROR((FK306/Z306%),0)</f>
        <v>90.000214563937362</v>
      </c>
      <c r="CI306" s="414" t="s">
        <v>1603</v>
      </c>
      <c r="CJ306" s="415">
        <v>0</v>
      </c>
      <c r="CK306" s="415">
        <v>0</v>
      </c>
      <c r="CL306" s="415">
        <v>0</v>
      </c>
      <c r="CM306" s="415">
        <v>0</v>
      </c>
      <c r="CN306" s="415">
        <v>0</v>
      </c>
      <c r="CO306" s="415">
        <v>0</v>
      </c>
      <c r="CP306" s="415">
        <v>0</v>
      </c>
      <c r="CQ306" s="415">
        <v>0</v>
      </c>
      <c r="CR306" s="415">
        <v>0</v>
      </c>
      <c r="CS306" s="415">
        <v>26</v>
      </c>
      <c r="CT306" s="415">
        <v>0</v>
      </c>
      <c r="CU306" s="415">
        <v>0</v>
      </c>
      <c r="CV306" s="410">
        <f t="shared" si="117"/>
        <v>26</v>
      </c>
      <c r="CW306" s="415">
        <v>0</v>
      </c>
      <c r="CX306" s="415">
        <v>0</v>
      </c>
      <c r="CY306" s="415">
        <v>0</v>
      </c>
      <c r="CZ306" s="415">
        <v>0</v>
      </c>
      <c r="DA306" s="415">
        <v>0</v>
      </c>
      <c r="DB306" s="415">
        <v>0</v>
      </c>
      <c r="DC306" s="415">
        <v>0</v>
      </c>
      <c r="DD306" s="415">
        <v>0</v>
      </c>
      <c r="DE306" s="415">
        <v>0</v>
      </c>
      <c r="DF306" s="415">
        <v>0</v>
      </c>
      <c r="DG306" s="415">
        <v>0</v>
      </c>
      <c r="DH306" s="415">
        <v>0</v>
      </c>
      <c r="DI306" s="410">
        <f t="shared" si="118"/>
        <v>0</v>
      </c>
      <c r="DJ306" s="415">
        <v>0</v>
      </c>
      <c r="DK306" s="415">
        <v>0</v>
      </c>
      <c r="DL306" s="415">
        <v>0</v>
      </c>
      <c r="DM306" s="415">
        <v>0</v>
      </c>
      <c r="DN306" s="415">
        <v>0</v>
      </c>
      <c r="DO306" s="415">
        <v>0</v>
      </c>
      <c r="DP306" s="415">
        <v>0</v>
      </c>
      <c r="DQ306" s="415">
        <v>0</v>
      </c>
      <c r="DR306" s="415">
        <v>0</v>
      </c>
      <c r="DS306" s="415">
        <v>0</v>
      </c>
      <c r="DT306" s="415">
        <v>0</v>
      </c>
      <c r="DU306" s="415">
        <v>0</v>
      </c>
      <c r="DV306" s="410">
        <f t="shared" si="119"/>
        <v>0</v>
      </c>
      <c r="DW306" s="415">
        <v>0</v>
      </c>
      <c r="DX306" s="415">
        <v>0</v>
      </c>
      <c r="DY306" s="415">
        <v>0</v>
      </c>
      <c r="DZ306" s="415">
        <v>0</v>
      </c>
      <c r="EA306" s="415">
        <v>0</v>
      </c>
      <c r="EB306" s="415">
        <v>0</v>
      </c>
      <c r="EC306" s="415">
        <v>0</v>
      </c>
      <c r="ED306" s="415">
        <v>0</v>
      </c>
      <c r="EE306" s="415">
        <v>0</v>
      </c>
      <c r="EF306" s="415">
        <v>0</v>
      </c>
      <c r="EG306" s="415">
        <v>0</v>
      </c>
      <c r="EH306" s="415">
        <v>0</v>
      </c>
      <c r="EI306" s="410">
        <f t="shared" si="120"/>
        <v>0</v>
      </c>
      <c r="EJ306" s="415">
        <v>0</v>
      </c>
      <c r="EK306" s="415">
        <v>0</v>
      </c>
      <c r="EL306" s="415">
        <v>0</v>
      </c>
      <c r="EM306" s="415">
        <v>0</v>
      </c>
      <c r="EN306" s="415">
        <v>0</v>
      </c>
      <c r="EO306" s="415">
        <v>0</v>
      </c>
      <c r="EP306" s="415">
        <v>0</v>
      </c>
      <c r="EQ306" s="415">
        <v>0</v>
      </c>
      <c r="ER306" s="415">
        <v>0</v>
      </c>
      <c r="ES306" s="415">
        <v>0</v>
      </c>
      <c r="ET306" s="415">
        <v>0</v>
      </c>
      <c r="EU306" s="415">
        <v>0</v>
      </c>
      <c r="EV306" s="410">
        <f t="shared" si="121"/>
        <v>0</v>
      </c>
      <c r="EW306" s="416">
        <f t="shared" si="122"/>
        <v>26</v>
      </c>
      <c r="EX306" s="417">
        <f>IFERROR(VLOOKUP(H306,CEI_012018!$A$1:$U$509,9,FALSE),0)</f>
        <v>0</v>
      </c>
      <c r="EY306" s="417">
        <f>IFERROR(VLOOKUP(H306,CEI_022018!$A$1:$U$509,9,FALSE),0)</f>
        <v>0</v>
      </c>
      <c r="EZ306" s="417">
        <f>IFERROR(VLOOKUP(H306,CEI_032018!$A$1:$U$509,9,FALSE),0)</f>
        <v>0</v>
      </c>
      <c r="FA306" s="417">
        <f>IFERROR(VLOOKUP(H306,CEI_042018!$A$1:$U$491,9,FALSE),0)</f>
        <v>0</v>
      </c>
      <c r="FB306" s="417">
        <f>IFERROR(VLOOKUP(H306,CEI_052018!$A$1:$U$489,9,FALSE),0)</f>
        <v>0</v>
      </c>
      <c r="FC306" s="417">
        <f>IFERROR(VLOOKUP(H306,CEI_062018!$A$1:$U$489,9,FALSE),0)</f>
        <v>0</v>
      </c>
      <c r="FD306" s="417">
        <f>IFERROR(VLOOKUP(H306,CEI_072018!$A$1:$U$489,9,FALSE),0)</f>
        <v>0</v>
      </c>
      <c r="FE306" s="417">
        <f>IFERROR(VLOOKUP(H306,CEI_082018!$A$1:$U$489,9,FALSE),0)</f>
        <v>0</v>
      </c>
      <c r="FF306" s="417">
        <f>IFERROR(VLOOKUP(H306,CEI_092018!$A$1:$U$489,9,FALSE),0)</f>
        <v>0</v>
      </c>
      <c r="FG306" s="417"/>
      <c r="FH306" s="417"/>
      <c r="FI306" s="417"/>
      <c r="FJ306" s="418">
        <f>IFERROR(VLOOKUP(H306,CEI_092018!$A$1:$U$489,12,FALSE),0)</f>
        <v>1678.5040016174316</v>
      </c>
      <c r="FK306" s="418">
        <f t="shared" si="123"/>
        <v>1678.5040016174316</v>
      </c>
      <c r="FL306" s="418">
        <f t="shared" si="124"/>
        <v>186.49599838256836</v>
      </c>
      <c r="FM306" s="417"/>
      <c r="FN306" s="417"/>
      <c r="FO306" s="417"/>
      <c r="FP306" s="417"/>
      <c r="FQ306" s="417"/>
      <c r="FR306" s="417"/>
      <c r="FS306" s="417"/>
      <c r="FT306" s="417"/>
      <c r="FU306" s="417"/>
      <c r="FV306" s="417"/>
      <c r="FW306" s="417"/>
      <c r="FX306" s="417"/>
      <c r="FY306" s="418"/>
      <c r="FZ306" s="418"/>
      <c r="GA306" s="418"/>
      <c r="GB306" s="417"/>
      <c r="GC306" s="417"/>
      <c r="GD306" s="417"/>
      <c r="GE306" s="417"/>
      <c r="GF306" s="417"/>
      <c r="GG306" s="417"/>
      <c r="GH306" s="417"/>
      <c r="GI306" s="417"/>
      <c r="GJ306" s="417"/>
      <c r="GK306" s="417"/>
      <c r="GL306" s="417"/>
      <c r="GM306" s="417"/>
      <c r="GN306" s="418"/>
      <c r="GO306" s="418"/>
      <c r="GP306" s="418"/>
      <c r="GQ306" s="417"/>
      <c r="GR306" s="417"/>
      <c r="GS306" s="417"/>
      <c r="GT306" s="417"/>
      <c r="GU306" s="417"/>
      <c r="GV306" s="417"/>
      <c r="GW306" s="417"/>
      <c r="GX306" s="417"/>
      <c r="GY306" s="417"/>
      <c r="GZ306" s="417"/>
      <c r="HA306" s="417"/>
      <c r="HB306" s="417"/>
      <c r="HC306" s="418"/>
      <c r="HD306" s="418"/>
      <c r="HE306" s="418"/>
      <c r="HF306" s="417"/>
      <c r="HG306" s="417"/>
      <c r="HH306" s="417"/>
      <c r="HI306" s="417"/>
      <c r="HJ306" s="417"/>
      <c r="HK306" s="417"/>
      <c r="HL306" s="417"/>
      <c r="HM306" s="417"/>
      <c r="HN306" s="417"/>
      <c r="HO306" s="417"/>
      <c r="HP306" s="417"/>
      <c r="HQ306" s="417"/>
      <c r="HR306" s="418"/>
      <c r="HS306" s="418"/>
      <c r="HT306" s="418"/>
    </row>
    <row r="307" spans="1:228" s="387" customFormat="1" ht="12.75" customHeight="1" x14ac:dyDescent="0.2">
      <c r="A307" s="406" t="s">
        <v>55</v>
      </c>
      <c r="B307" s="407" t="s">
        <v>42</v>
      </c>
      <c r="C307" s="406" t="s">
        <v>297</v>
      </c>
      <c r="D307" s="407" t="s">
        <v>1007</v>
      </c>
      <c r="E307" s="407" t="s">
        <v>297</v>
      </c>
      <c r="F307" s="407" t="s">
        <v>1007</v>
      </c>
      <c r="G307" s="406" t="s">
        <v>54</v>
      </c>
      <c r="H307" s="408" t="s">
        <v>520</v>
      </c>
      <c r="I307" s="408" t="s">
        <v>57</v>
      </c>
      <c r="J307" s="406" t="s">
        <v>1608</v>
      </c>
      <c r="K307" s="406"/>
      <c r="L307" s="406"/>
      <c r="M307" s="406" t="s">
        <v>57</v>
      </c>
      <c r="N307" s="452">
        <v>0</v>
      </c>
      <c r="O307" s="452">
        <v>0</v>
      </c>
      <c r="P307" s="452">
        <v>0</v>
      </c>
      <c r="Q307" s="452">
        <v>0</v>
      </c>
      <c r="R307" s="452">
        <v>0</v>
      </c>
      <c r="S307" s="452">
        <v>0</v>
      </c>
      <c r="T307" s="452">
        <v>0</v>
      </c>
      <c r="U307" s="409">
        <v>0</v>
      </c>
      <c r="V307" s="409">
        <v>0</v>
      </c>
      <c r="W307" s="409">
        <v>0</v>
      </c>
      <c r="X307" s="409">
        <v>0</v>
      </c>
      <c r="Y307" s="409">
        <v>0</v>
      </c>
      <c r="Z307" s="453">
        <f t="shared" si="108"/>
        <v>0</v>
      </c>
      <c r="AA307" s="452">
        <v>0</v>
      </c>
      <c r="AB307" s="452">
        <v>0</v>
      </c>
      <c r="AC307" s="452">
        <v>0</v>
      </c>
      <c r="AD307" s="452">
        <v>0</v>
      </c>
      <c r="AE307" s="452">
        <v>0</v>
      </c>
      <c r="AF307" s="452">
        <v>0</v>
      </c>
      <c r="AG307" s="452">
        <v>0</v>
      </c>
      <c r="AH307" s="409">
        <v>1400</v>
      </c>
      <c r="AI307" s="409">
        <v>0</v>
      </c>
      <c r="AJ307" s="409">
        <v>0</v>
      </c>
      <c r="AK307" s="409">
        <v>0</v>
      </c>
      <c r="AL307" s="409">
        <v>0</v>
      </c>
      <c r="AM307" s="453">
        <f t="shared" si="103"/>
        <v>1400</v>
      </c>
      <c r="AN307" s="452">
        <v>0</v>
      </c>
      <c r="AO307" s="452">
        <v>0</v>
      </c>
      <c r="AP307" s="452">
        <v>0</v>
      </c>
      <c r="AQ307" s="452">
        <v>0</v>
      </c>
      <c r="AR307" s="452">
        <v>0</v>
      </c>
      <c r="AS307" s="452">
        <v>0</v>
      </c>
      <c r="AT307" s="452">
        <v>0</v>
      </c>
      <c r="AU307" s="409">
        <v>0</v>
      </c>
      <c r="AV307" s="409">
        <v>0</v>
      </c>
      <c r="AW307" s="409">
        <v>0</v>
      </c>
      <c r="AX307" s="409">
        <v>0</v>
      </c>
      <c r="AY307" s="409">
        <v>0</v>
      </c>
      <c r="AZ307" s="453">
        <f t="shared" si="104"/>
        <v>0</v>
      </c>
      <c r="BA307" s="452">
        <v>0</v>
      </c>
      <c r="BB307" s="452">
        <v>0</v>
      </c>
      <c r="BC307" s="452">
        <v>0</v>
      </c>
      <c r="BD307" s="452">
        <v>0</v>
      </c>
      <c r="BE307" s="452">
        <v>0</v>
      </c>
      <c r="BF307" s="452">
        <v>0</v>
      </c>
      <c r="BG307" s="452">
        <v>0</v>
      </c>
      <c r="BH307" s="409">
        <v>0</v>
      </c>
      <c r="BI307" s="409">
        <v>0</v>
      </c>
      <c r="BJ307" s="409">
        <v>0</v>
      </c>
      <c r="BK307" s="409">
        <v>0</v>
      </c>
      <c r="BL307" s="409">
        <v>0</v>
      </c>
      <c r="BM307" s="453">
        <f t="shared" si="105"/>
        <v>0</v>
      </c>
      <c r="BN307" s="452">
        <v>0</v>
      </c>
      <c r="BO307" s="452">
        <v>0</v>
      </c>
      <c r="BP307" s="452">
        <v>0</v>
      </c>
      <c r="BQ307" s="452">
        <v>0</v>
      </c>
      <c r="BR307" s="452">
        <v>0</v>
      </c>
      <c r="BS307" s="452">
        <v>0</v>
      </c>
      <c r="BT307" s="452">
        <v>0</v>
      </c>
      <c r="BU307" s="409">
        <v>0</v>
      </c>
      <c r="BV307" s="409">
        <v>0</v>
      </c>
      <c r="BW307" s="409">
        <v>0</v>
      </c>
      <c r="BX307" s="409">
        <v>0</v>
      </c>
      <c r="BY307" s="409">
        <v>0</v>
      </c>
      <c r="BZ307" s="453">
        <f t="shared" si="106"/>
        <v>0</v>
      </c>
      <c r="CA307" s="454">
        <f t="shared" si="107"/>
        <v>1400</v>
      </c>
      <c r="CB307" s="411"/>
      <c r="CC307" s="411"/>
      <c r="CD307" s="411"/>
      <c r="CE307" s="411"/>
      <c r="CF307" s="411"/>
      <c r="CG307" s="412"/>
      <c r="CH307" s="413"/>
      <c r="CI307" s="414" t="s">
        <v>1603</v>
      </c>
      <c r="CJ307" s="415">
        <v>0</v>
      </c>
      <c r="CK307" s="415">
        <v>0</v>
      </c>
      <c r="CL307" s="415">
        <v>0</v>
      </c>
      <c r="CM307" s="415">
        <v>0</v>
      </c>
      <c r="CN307" s="415">
        <v>0</v>
      </c>
      <c r="CO307" s="415">
        <v>0</v>
      </c>
      <c r="CP307" s="415">
        <v>0</v>
      </c>
      <c r="CQ307" s="415">
        <v>0</v>
      </c>
      <c r="CR307" s="415">
        <v>0</v>
      </c>
      <c r="CS307" s="415">
        <v>0</v>
      </c>
      <c r="CT307" s="415">
        <v>0</v>
      </c>
      <c r="CU307" s="415">
        <v>0</v>
      </c>
      <c r="CV307" s="410">
        <f t="shared" si="117"/>
        <v>0</v>
      </c>
      <c r="CW307" s="415">
        <v>0</v>
      </c>
      <c r="CX307" s="415">
        <v>0</v>
      </c>
      <c r="CY307" s="415">
        <v>0</v>
      </c>
      <c r="CZ307" s="415">
        <v>0</v>
      </c>
      <c r="DA307" s="415">
        <v>0</v>
      </c>
      <c r="DB307" s="415">
        <v>0</v>
      </c>
      <c r="DC307" s="415">
        <v>0</v>
      </c>
      <c r="DD307" s="415">
        <v>10</v>
      </c>
      <c r="DE307" s="415">
        <v>0</v>
      </c>
      <c r="DF307" s="415">
        <v>0</v>
      </c>
      <c r="DG307" s="415">
        <v>0</v>
      </c>
      <c r="DH307" s="415">
        <v>0</v>
      </c>
      <c r="DI307" s="410">
        <f t="shared" si="118"/>
        <v>10</v>
      </c>
      <c r="DJ307" s="415">
        <v>0</v>
      </c>
      <c r="DK307" s="415">
        <v>0</v>
      </c>
      <c r="DL307" s="415">
        <v>0</v>
      </c>
      <c r="DM307" s="415">
        <v>0</v>
      </c>
      <c r="DN307" s="415">
        <v>0</v>
      </c>
      <c r="DO307" s="415">
        <v>0</v>
      </c>
      <c r="DP307" s="415">
        <v>0</v>
      </c>
      <c r="DQ307" s="415">
        <v>0</v>
      </c>
      <c r="DR307" s="415">
        <v>0</v>
      </c>
      <c r="DS307" s="415">
        <v>0</v>
      </c>
      <c r="DT307" s="415">
        <v>0</v>
      </c>
      <c r="DU307" s="415">
        <v>0</v>
      </c>
      <c r="DV307" s="410">
        <f t="shared" si="119"/>
        <v>0</v>
      </c>
      <c r="DW307" s="415">
        <v>0</v>
      </c>
      <c r="DX307" s="415">
        <v>0</v>
      </c>
      <c r="DY307" s="415">
        <v>0</v>
      </c>
      <c r="DZ307" s="415">
        <v>0</v>
      </c>
      <c r="EA307" s="415">
        <v>0</v>
      </c>
      <c r="EB307" s="415">
        <v>0</v>
      </c>
      <c r="EC307" s="415">
        <v>0</v>
      </c>
      <c r="ED307" s="415">
        <v>0</v>
      </c>
      <c r="EE307" s="415">
        <v>0</v>
      </c>
      <c r="EF307" s="415">
        <v>0</v>
      </c>
      <c r="EG307" s="415">
        <v>0</v>
      </c>
      <c r="EH307" s="415">
        <v>0</v>
      </c>
      <c r="EI307" s="410">
        <f t="shared" si="120"/>
        <v>0</v>
      </c>
      <c r="EJ307" s="415">
        <v>0</v>
      </c>
      <c r="EK307" s="415">
        <v>0</v>
      </c>
      <c r="EL307" s="415">
        <v>0</v>
      </c>
      <c r="EM307" s="415">
        <v>0</v>
      </c>
      <c r="EN307" s="415">
        <v>0</v>
      </c>
      <c r="EO307" s="415">
        <v>0</v>
      </c>
      <c r="EP307" s="415">
        <v>0</v>
      </c>
      <c r="EQ307" s="415">
        <v>0</v>
      </c>
      <c r="ER307" s="415">
        <v>0</v>
      </c>
      <c r="ES307" s="415">
        <v>0</v>
      </c>
      <c r="ET307" s="415">
        <v>0</v>
      </c>
      <c r="EU307" s="415">
        <v>0</v>
      </c>
      <c r="EV307" s="410">
        <f t="shared" si="121"/>
        <v>0</v>
      </c>
      <c r="EW307" s="416">
        <f t="shared" si="122"/>
        <v>10</v>
      </c>
      <c r="EX307" s="417">
        <f>IFERROR(VLOOKUP(H307,CEI_012018!$A$1:$U$509,9,FALSE),0)</f>
        <v>0</v>
      </c>
      <c r="EY307" s="417">
        <f>IFERROR(VLOOKUP(H307,CEI_022018!$A$1:$U$509,9,FALSE),0)</f>
        <v>0</v>
      </c>
      <c r="EZ307" s="417">
        <f>IFERROR(VLOOKUP(H307,CEI_032018!$A$1:$U$509,9,FALSE),0)</f>
        <v>0</v>
      </c>
      <c r="FA307" s="417">
        <f>IFERROR(VLOOKUP(H307,CEI_042018!$A$1:$U$491,9,FALSE),0)</f>
        <v>0</v>
      </c>
      <c r="FB307" s="417">
        <f>IFERROR(VLOOKUP(H307,CEI_052018!$A$1:$U$489,9,FALSE),0)</f>
        <v>0</v>
      </c>
      <c r="FC307" s="417">
        <f>IFERROR(VLOOKUP(H307,CEI_062018!$A$1:$U$489,9,FALSE),0)</f>
        <v>0</v>
      </c>
      <c r="FD307" s="417">
        <f>IFERROR(VLOOKUP(H307,CEI_072018!$A$1:$U$489,9,FALSE),0)</f>
        <v>0</v>
      </c>
      <c r="FE307" s="417">
        <f>IFERROR(VLOOKUP(H307,CEI_082018!$A$1:$U$489,9,FALSE),0)</f>
        <v>0</v>
      </c>
      <c r="FF307" s="417">
        <f>IFERROR(VLOOKUP(H307,CEI_092018!$A$1:$U$489,9,FALSE),0)</f>
        <v>0</v>
      </c>
      <c r="FG307" s="417"/>
      <c r="FH307" s="417"/>
      <c r="FI307" s="417"/>
      <c r="FJ307" s="418">
        <f>IFERROR(VLOOKUP(H307,CEI_092018!$A$1:$U$489,12,FALSE),0)</f>
        <v>0</v>
      </c>
      <c r="FK307" s="418">
        <f t="shared" si="123"/>
        <v>0</v>
      </c>
      <c r="FL307" s="418">
        <f t="shared" si="124"/>
        <v>0</v>
      </c>
      <c r="FM307" s="417"/>
      <c r="FN307" s="417"/>
      <c r="FO307" s="417"/>
      <c r="FP307" s="417"/>
      <c r="FQ307" s="417"/>
      <c r="FR307" s="417"/>
      <c r="FS307" s="417"/>
      <c r="FT307" s="417"/>
      <c r="FU307" s="417"/>
      <c r="FV307" s="417"/>
      <c r="FW307" s="417"/>
      <c r="FX307" s="417"/>
      <c r="FY307" s="418"/>
      <c r="FZ307" s="418"/>
      <c r="GA307" s="418"/>
      <c r="GB307" s="417"/>
      <c r="GC307" s="417"/>
      <c r="GD307" s="417"/>
      <c r="GE307" s="417"/>
      <c r="GF307" s="417"/>
      <c r="GG307" s="417"/>
      <c r="GH307" s="417"/>
      <c r="GI307" s="417"/>
      <c r="GJ307" s="417"/>
      <c r="GK307" s="417"/>
      <c r="GL307" s="417"/>
      <c r="GM307" s="417"/>
      <c r="GN307" s="418"/>
      <c r="GO307" s="418"/>
      <c r="GP307" s="418"/>
      <c r="GQ307" s="417"/>
      <c r="GR307" s="417"/>
      <c r="GS307" s="417"/>
      <c r="GT307" s="417"/>
      <c r="GU307" s="417"/>
      <c r="GV307" s="417"/>
      <c r="GW307" s="417"/>
      <c r="GX307" s="417"/>
      <c r="GY307" s="417"/>
      <c r="GZ307" s="417"/>
      <c r="HA307" s="417"/>
      <c r="HB307" s="417"/>
      <c r="HC307" s="418"/>
      <c r="HD307" s="418"/>
      <c r="HE307" s="418"/>
      <c r="HF307" s="417"/>
      <c r="HG307" s="417"/>
      <c r="HH307" s="417"/>
      <c r="HI307" s="417"/>
      <c r="HJ307" s="417"/>
      <c r="HK307" s="417"/>
      <c r="HL307" s="417"/>
      <c r="HM307" s="417"/>
      <c r="HN307" s="417"/>
      <c r="HO307" s="417"/>
      <c r="HP307" s="417"/>
      <c r="HQ307" s="417"/>
      <c r="HR307" s="418"/>
      <c r="HS307" s="418"/>
      <c r="HT307" s="418"/>
    </row>
    <row r="308" spans="1:228" s="387" customFormat="1" ht="12.75" customHeight="1" x14ac:dyDescent="0.2">
      <c r="A308" s="406" t="s">
        <v>55</v>
      </c>
      <c r="B308" s="407" t="s">
        <v>42</v>
      </c>
      <c r="C308" s="406" t="s">
        <v>297</v>
      </c>
      <c r="D308" s="407" t="s">
        <v>1007</v>
      </c>
      <c r="E308" s="407" t="s">
        <v>297</v>
      </c>
      <c r="F308" s="407" t="s">
        <v>1007</v>
      </c>
      <c r="G308" s="406" t="s">
        <v>54</v>
      </c>
      <c r="H308" s="408" t="s">
        <v>1278</v>
      </c>
      <c r="I308" s="408" t="s">
        <v>1279</v>
      </c>
      <c r="J308" s="406" t="s">
        <v>946</v>
      </c>
      <c r="K308" s="406" t="s">
        <v>947</v>
      </c>
      <c r="L308" s="406" t="s">
        <v>948</v>
      </c>
      <c r="M308" s="406" t="s">
        <v>1783</v>
      </c>
      <c r="N308" s="452">
        <v>0</v>
      </c>
      <c r="O308" s="452">
        <v>0</v>
      </c>
      <c r="P308" s="452">
        <v>0</v>
      </c>
      <c r="Q308" s="452">
        <v>0</v>
      </c>
      <c r="R308" s="452">
        <v>0</v>
      </c>
      <c r="S308" s="452">
        <v>0</v>
      </c>
      <c r="T308" s="452">
        <v>0</v>
      </c>
      <c r="U308" s="409">
        <v>0</v>
      </c>
      <c r="V308" s="409">
        <v>0</v>
      </c>
      <c r="W308" s="409">
        <v>0</v>
      </c>
      <c r="X308" s="409">
        <v>0</v>
      </c>
      <c r="Y308" s="409">
        <v>0</v>
      </c>
      <c r="Z308" s="453">
        <f t="shared" si="108"/>
        <v>0</v>
      </c>
      <c r="AA308" s="452">
        <v>0</v>
      </c>
      <c r="AB308" s="452">
        <v>0</v>
      </c>
      <c r="AC308" s="452">
        <v>843</v>
      </c>
      <c r="AD308" s="452">
        <v>202</v>
      </c>
      <c r="AE308" s="452">
        <v>0</v>
      </c>
      <c r="AF308" s="452">
        <v>0</v>
      </c>
      <c r="AG308" s="452">
        <v>0</v>
      </c>
      <c r="AH308" s="409">
        <v>0</v>
      </c>
      <c r="AI308" s="409">
        <v>0</v>
      </c>
      <c r="AJ308" s="409">
        <v>0</v>
      </c>
      <c r="AK308" s="409">
        <v>0</v>
      </c>
      <c r="AL308" s="409">
        <v>0</v>
      </c>
      <c r="AM308" s="453">
        <f t="shared" si="103"/>
        <v>1045</v>
      </c>
      <c r="AN308" s="452">
        <v>0</v>
      </c>
      <c r="AO308" s="452">
        <v>0</v>
      </c>
      <c r="AP308" s="452">
        <v>710</v>
      </c>
      <c r="AQ308" s="452">
        <v>133</v>
      </c>
      <c r="AR308" s="452">
        <v>0</v>
      </c>
      <c r="AS308" s="452">
        <v>0</v>
      </c>
      <c r="AT308" s="452">
        <v>0</v>
      </c>
      <c r="AU308" s="409">
        <v>0</v>
      </c>
      <c r="AV308" s="409">
        <v>0</v>
      </c>
      <c r="AW308" s="409">
        <v>0</v>
      </c>
      <c r="AX308" s="409">
        <v>0</v>
      </c>
      <c r="AY308" s="409">
        <v>0</v>
      </c>
      <c r="AZ308" s="453">
        <f t="shared" si="104"/>
        <v>843</v>
      </c>
      <c r="BA308" s="452">
        <v>0</v>
      </c>
      <c r="BB308" s="452">
        <v>0</v>
      </c>
      <c r="BC308" s="452">
        <v>0</v>
      </c>
      <c r="BD308" s="452">
        <v>0</v>
      </c>
      <c r="BE308" s="452">
        <v>0</v>
      </c>
      <c r="BF308" s="452">
        <v>0</v>
      </c>
      <c r="BG308" s="452">
        <v>0</v>
      </c>
      <c r="BH308" s="409">
        <v>0</v>
      </c>
      <c r="BI308" s="409">
        <v>0</v>
      </c>
      <c r="BJ308" s="409">
        <v>0</v>
      </c>
      <c r="BK308" s="409">
        <v>0</v>
      </c>
      <c r="BL308" s="409">
        <v>0</v>
      </c>
      <c r="BM308" s="453">
        <f t="shared" si="105"/>
        <v>0</v>
      </c>
      <c r="BN308" s="452">
        <v>0</v>
      </c>
      <c r="BO308" s="452">
        <v>0</v>
      </c>
      <c r="BP308" s="452">
        <v>0</v>
      </c>
      <c r="BQ308" s="452">
        <v>0</v>
      </c>
      <c r="BR308" s="452">
        <v>1160</v>
      </c>
      <c r="BS308" s="452">
        <v>0</v>
      </c>
      <c r="BT308" s="452">
        <v>0</v>
      </c>
      <c r="BU308" s="409">
        <v>0</v>
      </c>
      <c r="BV308" s="409">
        <v>0</v>
      </c>
      <c r="BW308" s="409">
        <v>0</v>
      </c>
      <c r="BX308" s="409">
        <v>0</v>
      </c>
      <c r="BY308" s="409">
        <v>0</v>
      </c>
      <c r="BZ308" s="453">
        <f t="shared" si="106"/>
        <v>1160</v>
      </c>
      <c r="CA308" s="454">
        <f t="shared" si="107"/>
        <v>3048</v>
      </c>
      <c r="CB308" s="411"/>
      <c r="CC308" s="411"/>
      <c r="CD308" s="411"/>
      <c r="CE308" s="411"/>
      <c r="CF308" s="411"/>
      <c r="CG308" s="420">
        <f t="shared" ref="CG308:CG313" si="125">IFERROR((FE308/Z308%),0)</f>
        <v>0</v>
      </c>
      <c r="CH308" s="413"/>
      <c r="CI308" s="414" t="s">
        <v>1621</v>
      </c>
      <c r="CJ308" s="415">
        <v>0</v>
      </c>
      <c r="CK308" s="415">
        <v>0</v>
      </c>
      <c r="CL308" s="415">
        <v>0</v>
      </c>
      <c r="CM308" s="415">
        <v>0</v>
      </c>
      <c r="CN308" s="415">
        <v>0</v>
      </c>
      <c r="CO308" s="415">
        <v>0</v>
      </c>
      <c r="CP308" s="415">
        <v>0</v>
      </c>
      <c r="CQ308" s="415">
        <v>0</v>
      </c>
      <c r="CR308" s="415">
        <v>0</v>
      </c>
      <c r="CS308" s="415">
        <v>0</v>
      </c>
      <c r="CT308" s="415">
        <v>0</v>
      </c>
      <c r="CU308" s="415">
        <v>0</v>
      </c>
      <c r="CV308" s="410">
        <f t="shared" si="117"/>
        <v>0</v>
      </c>
      <c r="CW308" s="415">
        <v>0</v>
      </c>
      <c r="CX308" s="415">
        <v>0</v>
      </c>
      <c r="CY308" s="415">
        <v>1</v>
      </c>
      <c r="CZ308" s="415">
        <v>0</v>
      </c>
      <c r="DA308" s="415">
        <v>0</v>
      </c>
      <c r="DB308" s="415">
        <v>0</v>
      </c>
      <c r="DC308" s="415">
        <v>0</v>
      </c>
      <c r="DD308" s="415">
        <v>0</v>
      </c>
      <c r="DE308" s="415">
        <v>0</v>
      </c>
      <c r="DF308" s="415">
        <v>0</v>
      </c>
      <c r="DG308" s="415">
        <v>0</v>
      </c>
      <c r="DH308" s="415">
        <v>0</v>
      </c>
      <c r="DI308" s="410">
        <f t="shared" si="118"/>
        <v>1</v>
      </c>
      <c r="DJ308" s="415">
        <v>0</v>
      </c>
      <c r="DK308" s="415">
        <v>0</v>
      </c>
      <c r="DL308" s="415">
        <v>1</v>
      </c>
      <c r="DM308" s="415">
        <v>0</v>
      </c>
      <c r="DN308" s="415">
        <v>0</v>
      </c>
      <c r="DO308" s="415">
        <v>0</v>
      </c>
      <c r="DP308" s="415">
        <v>0</v>
      </c>
      <c r="DQ308" s="415">
        <v>0</v>
      </c>
      <c r="DR308" s="415">
        <v>0</v>
      </c>
      <c r="DS308" s="415">
        <v>0</v>
      </c>
      <c r="DT308" s="415">
        <v>0</v>
      </c>
      <c r="DU308" s="415">
        <v>0</v>
      </c>
      <c r="DV308" s="410">
        <f t="shared" si="119"/>
        <v>1</v>
      </c>
      <c r="DW308" s="415">
        <v>0</v>
      </c>
      <c r="DX308" s="415">
        <v>0</v>
      </c>
      <c r="DY308" s="415">
        <v>0</v>
      </c>
      <c r="DZ308" s="415">
        <v>0</v>
      </c>
      <c r="EA308" s="415">
        <v>0</v>
      </c>
      <c r="EB308" s="415">
        <v>0</v>
      </c>
      <c r="EC308" s="415">
        <v>0</v>
      </c>
      <c r="ED308" s="415">
        <v>0</v>
      </c>
      <c r="EE308" s="415">
        <v>0</v>
      </c>
      <c r="EF308" s="415">
        <v>0</v>
      </c>
      <c r="EG308" s="415">
        <v>0</v>
      </c>
      <c r="EH308" s="415">
        <v>0</v>
      </c>
      <c r="EI308" s="410">
        <f t="shared" si="120"/>
        <v>0</v>
      </c>
      <c r="EJ308" s="415">
        <v>0</v>
      </c>
      <c r="EK308" s="415">
        <v>0</v>
      </c>
      <c r="EL308" s="415">
        <v>0</v>
      </c>
      <c r="EM308" s="415">
        <v>0</v>
      </c>
      <c r="EN308" s="415">
        <v>1</v>
      </c>
      <c r="EO308" s="415">
        <v>0</v>
      </c>
      <c r="EP308" s="415">
        <v>0</v>
      </c>
      <c r="EQ308" s="415">
        <v>0</v>
      </c>
      <c r="ER308" s="415">
        <v>0</v>
      </c>
      <c r="ES308" s="415">
        <v>0</v>
      </c>
      <c r="ET308" s="415">
        <v>0</v>
      </c>
      <c r="EU308" s="415">
        <v>0</v>
      </c>
      <c r="EV308" s="410">
        <f t="shared" si="121"/>
        <v>1</v>
      </c>
      <c r="EW308" s="416">
        <f t="shared" si="122"/>
        <v>3</v>
      </c>
      <c r="EX308" s="417">
        <f>IFERROR(VLOOKUP(H308,CEI_012018!$A$1:$U$509,9,FALSE),0)</f>
        <v>0</v>
      </c>
      <c r="EY308" s="417">
        <f>IFERROR(VLOOKUP(H308,CEI_022018!$A$1:$U$509,9,FALSE),0)</f>
        <v>0</v>
      </c>
      <c r="EZ308" s="417">
        <f>IFERROR(VLOOKUP(H308,CEI_032018!$A$1:$U$509,9,FALSE),0)</f>
        <v>0</v>
      </c>
      <c r="FA308" s="417">
        <f>IFERROR(VLOOKUP(H308,CEI_042018!$A$1:$U$491,9,FALSE),0)</f>
        <v>0</v>
      </c>
      <c r="FB308" s="417">
        <f>IFERROR(VLOOKUP(H308,CEI_052018!$A$1:$U$489,9,FALSE),0)</f>
        <v>0</v>
      </c>
      <c r="FC308" s="417">
        <f>IFERROR(VLOOKUP(H308,CEI_062018!$A$1:$U$489,9,FALSE),0)</f>
        <v>0</v>
      </c>
      <c r="FD308" s="417">
        <f>IFERROR(VLOOKUP(H308,CEI_072018!$A$1:$U$489,9,FALSE),0)</f>
        <v>0</v>
      </c>
      <c r="FE308" s="417">
        <f>IFERROR(VLOOKUP(H308,CEI_082018!$A$1:$U$489,9,FALSE),0)</f>
        <v>0</v>
      </c>
      <c r="FF308" s="417">
        <f>IFERROR(VLOOKUP(H308,CEI_092018!$A$1:$U$489,9,FALSE),0)</f>
        <v>0</v>
      </c>
      <c r="FG308" s="417"/>
      <c r="FH308" s="417"/>
      <c r="FI308" s="417"/>
      <c r="FJ308" s="418">
        <f>IFERROR(VLOOKUP(H308,CEI_092018!$A$1:$U$489,12,FALSE),0)</f>
        <v>0</v>
      </c>
      <c r="FK308" s="418">
        <f t="shared" si="123"/>
        <v>0</v>
      </c>
      <c r="FL308" s="418">
        <f t="shared" si="124"/>
        <v>0</v>
      </c>
      <c r="FM308" s="417"/>
      <c r="FN308" s="417"/>
      <c r="FO308" s="417"/>
      <c r="FP308" s="417"/>
      <c r="FQ308" s="417"/>
      <c r="FR308" s="417"/>
      <c r="FS308" s="417"/>
      <c r="FT308" s="417"/>
      <c r="FU308" s="417"/>
      <c r="FV308" s="417"/>
      <c r="FW308" s="417"/>
      <c r="FX308" s="417"/>
      <c r="FY308" s="418"/>
      <c r="FZ308" s="418"/>
      <c r="GA308" s="418"/>
      <c r="GB308" s="417"/>
      <c r="GC308" s="417"/>
      <c r="GD308" s="417"/>
      <c r="GE308" s="417"/>
      <c r="GF308" s="417"/>
      <c r="GG308" s="417"/>
      <c r="GH308" s="417"/>
      <c r="GI308" s="417"/>
      <c r="GJ308" s="417"/>
      <c r="GK308" s="417"/>
      <c r="GL308" s="417"/>
      <c r="GM308" s="417"/>
      <c r="GN308" s="418"/>
      <c r="GO308" s="418"/>
      <c r="GP308" s="418"/>
      <c r="GQ308" s="417"/>
      <c r="GR308" s="417"/>
      <c r="GS308" s="417"/>
      <c r="GT308" s="417"/>
      <c r="GU308" s="417"/>
      <c r="GV308" s="417"/>
      <c r="GW308" s="417"/>
      <c r="GX308" s="417"/>
      <c r="GY308" s="417"/>
      <c r="GZ308" s="417"/>
      <c r="HA308" s="417"/>
      <c r="HB308" s="417"/>
      <c r="HC308" s="418"/>
      <c r="HD308" s="418"/>
      <c r="HE308" s="418"/>
      <c r="HF308" s="417"/>
      <c r="HG308" s="417"/>
      <c r="HH308" s="417"/>
      <c r="HI308" s="417"/>
      <c r="HJ308" s="417"/>
      <c r="HK308" s="417"/>
      <c r="HL308" s="417"/>
      <c r="HM308" s="417"/>
      <c r="HN308" s="417"/>
      <c r="HO308" s="417"/>
      <c r="HP308" s="417"/>
      <c r="HQ308" s="417"/>
      <c r="HR308" s="418"/>
      <c r="HS308" s="418"/>
      <c r="HT308" s="418"/>
    </row>
    <row r="309" spans="1:228" s="387" customFormat="1" ht="12.75" customHeight="1" x14ac:dyDescent="0.2">
      <c r="A309" s="406" t="s">
        <v>55</v>
      </c>
      <c r="B309" s="407" t="s">
        <v>42</v>
      </c>
      <c r="C309" s="406" t="s">
        <v>297</v>
      </c>
      <c r="D309" s="407" t="s">
        <v>1007</v>
      </c>
      <c r="E309" s="407" t="s">
        <v>297</v>
      </c>
      <c r="F309" s="407" t="s">
        <v>1007</v>
      </c>
      <c r="G309" s="406" t="s">
        <v>60</v>
      </c>
      <c r="H309" s="408" t="s">
        <v>1571</v>
      </c>
      <c r="I309" s="408" t="s">
        <v>1572</v>
      </c>
      <c r="J309" s="406" t="s">
        <v>1537</v>
      </c>
      <c r="K309" s="406" t="s">
        <v>1604</v>
      </c>
      <c r="L309" s="406" t="s">
        <v>1605</v>
      </c>
      <c r="M309" s="406" t="s">
        <v>1792</v>
      </c>
      <c r="N309" s="452">
        <v>0</v>
      </c>
      <c r="O309" s="452">
        <v>0</v>
      </c>
      <c r="P309" s="452">
        <v>0</v>
      </c>
      <c r="Q309" s="452">
        <v>0</v>
      </c>
      <c r="R309" s="452">
        <v>0</v>
      </c>
      <c r="S309" s="452">
        <v>0</v>
      </c>
      <c r="T309" s="452">
        <v>0</v>
      </c>
      <c r="U309" s="409">
        <v>0</v>
      </c>
      <c r="V309" s="409">
        <v>0</v>
      </c>
      <c r="W309" s="409">
        <v>0</v>
      </c>
      <c r="X309" s="409">
        <v>0</v>
      </c>
      <c r="Y309" s="409">
        <v>500</v>
      </c>
      <c r="Z309" s="453">
        <f t="shared" si="108"/>
        <v>500</v>
      </c>
      <c r="AA309" s="452">
        <v>0</v>
      </c>
      <c r="AB309" s="452">
        <v>0</v>
      </c>
      <c r="AC309" s="452">
        <v>0</v>
      </c>
      <c r="AD309" s="452">
        <v>0</v>
      </c>
      <c r="AE309" s="452">
        <v>0</v>
      </c>
      <c r="AF309" s="452">
        <v>0</v>
      </c>
      <c r="AG309" s="452">
        <v>0</v>
      </c>
      <c r="AH309" s="409">
        <v>0</v>
      </c>
      <c r="AI309" s="409">
        <v>0</v>
      </c>
      <c r="AJ309" s="409">
        <v>0</v>
      </c>
      <c r="AK309" s="409">
        <v>0</v>
      </c>
      <c r="AL309" s="409">
        <v>0</v>
      </c>
      <c r="AM309" s="453">
        <f t="shared" si="103"/>
        <v>0</v>
      </c>
      <c r="AN309" s="452">
        <v>0</v>
      </c>
      <c r="AO309" s="452">
        <v>0</v>
      </c>
      <c r="AP309" s="452">
        <v>0</v>
      </c>
      <c r="AQ309" s="452">
        <v>0</v>
      </c>
      <c r="AR309" s="452">
        <v>0</v>
      </c>
      <c r="AS309" s="452">
        <v>0</v>
      </c>
      <c r="AT309" s="452">
        <v>0</v>
      </c>
      <c r="AU309" s="409">
        <v>0</v>
      </c>
      <c r="AV309" s="409">
        <v>0</v>
      </c>
      <c r="AW309" s="409">
        <v>0</v>
      </c>
      <c r="AX309" s="409">
        <v>0</v>
      </c>
      <c r="AY309" s="409">
        <v>0</v>
      </c>
      <c r="AZ309" s="453">
        <f t="shared" si="104"/>
        <v>0</v>
      </c>
      <c r="BA309" s="452">
        <v>0</v>
      </c>
      <c r="BB309" s="452">
        <v>0</v>
      </c>
      <c r="BC309" s="452">
        <v>0</v>
      </c>
      <c r="BD309" s="452">
        <v>0</v>
      </c>
      <c r="BE309" s="452">
        <v>0</v>
      </c>
      <c r="BF309" s="452">
        <v>0</v>
      </c>
      <c r="BG309" s="452">
        <v>0</v>
      </c>
      <c r="BH309" s="409">
        <v>0</v>
      </c>
      <c r="BI309" s="409">
        <v>0</v>
      </c>
      <c r="BJ309" s="409">
        <v>0</v>
      </c>
      <c r="BK309" s="409">
        <v>0</v>
      </c>
      <c r="BL309" s="409">
        <v>0</v>
      </c>
      <c r="BM309" s="453">
        <f t="shared" si="105"/>
        <v>0</v>
      </c>
      <c r="BN309" s="452">
        <v>0</v>
      </c>
      <c r="BO309" s="452">
        <v>0</v>
      </c>
      <c r="BP309" s="452">
        <v>0</v>
      </c>
      <c r="BQ309" s="452">
        <v>0</v>
      </c>
      <c r="BR309" s="452">
        <v>0</v>
      </c>
      <c r="BS309" s="452">
        <v>0</v>
      </c>
      <c r="BT309" s="452">
        <v>0</v>
      </c>
      <c r="BU309" s="409">
        <v>0</v>
      </c>
      <c r="BV309" s="409">
        <v>0</v>
      </c>
      <c r="BW309" s="409">
        <v>0</v>
      </c>
      <c r="BX309" s="409">
        <v>0</v>
      </c>
      <c r="BY309" s="409">
        <v>0</v>
      </c>
      <c r="BZ309" s="453">
        <f t="shared" si="106"/>
        <v>0</v>
      </c>
      <c r="CA309" s="454">
        <f t="shared" si="107"/>
        <v>500</v>
      </c>
      <c r="CB309" s="419"/>
      <c r="CC309" s="419">
        <v>1</v>
      </c>
      <c r="CD309" s="419">
        <v>1</v>
      </c>
      <c r="CE309" s="419">
        <v>1</v>
      </c>
      <c r="CF309" s="419">
        <v>-1</v>
      </c>
      <c r="CG309" s="420">
        <f t="shared" si="125"/>
        <v>0</v>
      </c>
      <c r="CH309" s="421">
        <f>IFERROR((FK309/Z309%),0)</f>
        <v>87.999996948242185</v>
      </c>
      <c r="CI309" s="414" t="s">
        <v>1603</v>
      </c>
      <c r="CJ309" s="415">
        <v>0</v>
      </c>
      <c r="CK309" s="415">
        <v>0</v>
      </c>
      <c r="CL309" s="415">
        <v>0</v>
      </c>
      <c r="CM309" s="415">
        <v>0</v>
      </c>
      <c r="CN309" s="415">
        <v>0</v>
      </c>
      <c r="CO309" s="415">
        <v>0</v>
      </c>
      <c r="CP309" s="415">
        <v>0</v>
      </c>
      <c r="CQ309" s="415">
        <v>0</v>
      </c>
      <c r="CR309" s="415">
        <v>0</v>
      </c>
      <c r="CS309" s="415">
        <v>0</v>
      </c>
      <c r="CT309" s="415">
        <v>1</v>
      </c>
      <c r="CU309" s="415">
        <v>0</v>
      </c>
      <c r="CV309" s="410">
        <f t="shared" si="117"/>
        <v>1</v>
      </c>
      <c r="CW309" s="415">
        <v>0</v>
      </c>
      <c r="CX309" s="415">
        <v>0</v>
      </c>
      <c r="CY309" s="415">
        <v>0</v>
      </c>
      <c r="CZ309" s="415">
        <v>0</v>
      </c>
      <c r="DA309" s="415">
        <v>0</v>
      </c>
      <c r="DB309" s="415">
        <v>0</v>
      </c>
      <c r="DC309" s="415">
        <v>0</v>
      </c>
      <c r="DD309" s="415">
        <v>0</v>
      </c>
      <c r="DE309" s="415">
        <v>0</v>
      </c>
      <c r="DF309" s="415">
        <v>0</v>
      </c>
      <c r="DG309" s="415">
        <v>0</v>
      </c>
      <c r="DH309" s="415">
        <v>0</v>
      </c>
      <c r="DI309" s="410">
        <f t="shared" si="118"/>
        <v>0</v>
      </c>
      <c r="DJ309" s="415">
        <v>0</v>
      </c>
      <c r="DK309" s="415">
        <v>0</v>
      </c>
      <c r="DL309" s="415">
        <v>0</v>
      </c>
      <c r="DM309" s="415">
        <v>0</v>
      </c>
      <c r="DN309" s="415">
        <v>0</v>
      </c>
      <c r="DO309" s="415">
        <v>0</v>
      </c>
      <c r="DP309" s="415">
        <v>0</v>
      </c>
      <c r="DQ309" s="415">
        <v>0</v>
      </c>
      <c r="DR309" s="415">
        <v>0</v>
      </c>
      <c r="DS309" s="415">
        <v>0</v>
      </c>
      <c r="DT309" s="415">
        <v>0</v>
      </c>
      <c r="DU309" s="415">
        <v>0</v>
      </c>
      <c r="DV309" s="410">
        <f t="shared" si="119"/>
        <v>0</v>
      </c>
      <c r="DW309" s="415">
        <v>0</v>
      </c>
      <c r="DX309" s="415">
        <v>0</v>
      </c>
      <c r="DY309" s="415">
        <v>0</v>
      </c>
      <c r="DZ309" s="415">
        <v>0</v>
      </c>
      <c r="EA309" s="415">
        <v>0</v>
      </c>
      <c r="EB309" s="415">
        <v>0</v>
      </c>
      <c r="EC309" s="415">
        <v>0</v>
      </c>
      <c r="ED309" s="415">
        <v>0</v>
      </c>
      <c r="EE309" s="415">
        <v>0</v>
      </c>
      <c r="EF309" s="415">
        <v>0</v>
      </c>
      <c r="EG309" s="415">
        <v>0</v>
      </c>
      <c r="EH309" s="415">
        <v>0</v>
      </c>
      <c r="EI309" s="410">
        <f t="shared" si="120"/>
        <v>0</v>
      </c>
      <c r="EJ309" s="415">
        <v>0</v>
      </c>
      <c r="EK309" s="415">
        <v>0</v>
      </c>
      <c r="EL309" s="415">
        <v>0</v>
      </c>
      <c r="EM309" s="415">
        <v>0</v>
      </c>
      <c r="EN309" s="415">
        <v>0</v>
      </c>
      <c r="EO309" s="415">
        <v>0</v>
      </c>
      <c r="EP309" s="415">
        <v>0</v>
      </c>
      <c r="EQ309" s="415">
        <v>0</v>
      </c>
      <c r="ER309" s="415">
        <v>0</v>
      </c>
      <c r="ES309" s="415">
        <v>0</v>
      </c>
      <c r="ET309" s="415">
        <v>0</v>
      </c>
      <c r="EU309" s="415">
        <v>0</v>
      </c>
      <c r="EV309" s="410">
        <f t="shared" si="121"/>
        <v>0</v>
      </c>
      <c r="EW309" s="416">
        <f t="shared" si="122"/>
        <v>1</v>
      </c>
      <c r="EX309" s="417">
        <f>IFERROR(VLOOKUP(H309,CEI_012018!$A$1:$U$509,9,FALSE),0)</f>
        <v>0</v>
      </c>
      <c r="EY309" s="417">
        <f>IFERROR(VLOOKUP(H309,CEI_022018!$A$1:$U$509,9,FALSE),0)</f>
        <v>0</v>
      </c>
      <c r="EZ309" s="417">
        <f>IFERROR(VLOOKUP(H309,CEI_032018!$A$1:$U$509,9,FALSE),0)</f>
        <v>0</v>
      </c>
      <c r="FA309" s="417">
        <f>IFERROR(VLOOKUP(H309,CEI_042018!$A$1:$U$491,9,FALSE),0)</f>
        <v>0</v>
      </c>
      <c r="FB309" s="417">
        <f>IFERROR(VLOOKUP(H309,CEI_052018!$A$1:$U$489,9,FALSE),0)</f>
        <v>0</v>
      </c>
      <c r="FC309" s="417">
        <f>IFERROR(VLOOKUP(H309,CEI_062018!$A$1:$U$489,9,FALSE),0)</f>
        <v>0</v>
      </c>
      <c r="FD309" s="417">
        <f>IFERROR(VLOOKUP(H309,CEI_072018!$A$1:$U$489,9,FALSE),0)</f>
        <v>0</v>
      </c>
      <c r="FE309" s="417">
        <f>IFERROR(VLOOKUP(H309,CEI_082018!$A$1:$U$489,9,FALSE),0)</f>
        <v>0</v>
      </c>
      <c r="FF309" s="417">
        <f>IFERROR(VLOOKUP(H309,CEI_092018!$A$1:$U$489,9,FALSE),0)</f>
        <v>0</v>
      </c>
      <c r="FG309" s="417"/>
      <c r="FH309" s="417"/>
      <c r="FI309" s="417"/>
      <c r="FJ309" s="418">
        <f>IFERROR(VLOOKUP(H309,CEI_092018!$A$1:$U$489,12,FALSE),0)</f>
        <v>439.99998474121094</v>
      </c>
      <c r="FK309" s="418">
        <f t="shared" si="123"/>
        <v>439.99998474121094</v>
      </c>
      <c r="FL309" s="418">
        <f t="shared" si="124"/>
        <v>60.000015258789063</v>
      </c>
      <c r="FM309" s="417"/>
      <c r="FN309" s="417"/>
      <c r="FO309" s="417"/>
      <c r="FP309" s="417"/>
      <c r="FQ309" s="417"/>
      <c r="FR309" s="417"/>
      <c r="FS309" s="417"/>
      <c r="FT309" s="417"/>
      <c r="FU309" s="417"/>
      <c r="FV309" s="417"/>
      <c r="FW309" s="417"/>
      <c r="FX309" s="417"/>
      <c r="FY309" s="418"/>
      <c r="FZ309" s="418"/>
      <c r="GA309" s="418"/>
      <c r="GB309" s="417"/>
      <c r="GC309" s="417"/>
      <c r="GD309" s="417"/>
      <c r="GE309" s="417"/>
      <c r="GF309" s="417"/>
      <c r="GG309" s="417"/>
      <c r="GH309" s="417"/>
      <c r="GI309" s="417"/>
      <c r="GJ309" s="417"/>
      <c r="GK309" s="417"/>
      <c r="GL309" s="417"/>
      <c r="GM309" s="417"/>
      <c r="GN309" s="418"/>
      <c r="GO309" s="418"/>
      <c r="GP309" s="418"/>
      <c r="GQ309" s="417"/>
      <c r="GR309" s="417"/>
      <c r="GS309" s="417"/>
      <c r="GT309" s="417"/>
      <c r="GU309" s="417"/>
      <c r="GV309" s="417"/>
      <c r="GW309" s="417"/>
      <c r="GX309" s="417"/>
      <c r="GY309" s="417"/>
      <c r="GZ309" s="417"/>
      <c r="HA309" s="417"/>
      <c r="HB309" s="417"/>
      <c r="HC309" s="418"/>
      <c r="HD309" s="418"/>
      <c r="HE309" s="418"/>
      <c r="HF309" s="417"/>
      <c r="HG309" s="417"/>
      <c r="HH309" s="417"/>
      <c r="HI309" s="417"/>
      <c r="HJ309" s="417"/>
      <c r="HK309" s="417"/>
      <c r="HL309" s="417"/>
      <c r="HM309" s="417"/>
      <c r="HN309" s="417"/>
      <c r="HO309" s="417"/>
      <c r="HP309" s="417"/>
      <c r="HQ309" s="417"/>
      <c r="HR309" s="418"/>
      <c r="HS309" s="418"/>
      <c r="HT309" s="418"/>
    </row>
    <row r="310" spans="1:228" s="387" customFormat="1" ht="12.75" customHeight="1" x14ac:dyDescent="0.2">
      <c r="A310" s="406" t="s">
        <v>55</v>
      </c>
      <c r="B310" s="407" t="s">
        <v>42</v>
      </c>
      <c r="C310" s="406" t="s">
        <v>297</v>
      </c>
      <c r="D310" s="407" t="s">
        <v>1007</v>
      </c>
      <c r="E310" s="407" t="s">
        <v>297</v>
      </c>
      <c r="F310" s="407" t="s">
        <v>1007</v>
      </c>
      <c r="G310" s="406" t="s">
        <v>54</v>
      </c>
      <c r="H310" s="408" t="s">
        <v>1289</v>
      </c>
      <c r="I310" s="408" t="s">
        <v>1291</v>
      </c>
      <c r="J310" s="406" t="s">
        <v>949</v>
      </c>
      <c r="K310" s="406" t="s">
        <v>950</v>
      </c>
      <c r="L310" s="406" t="s">
        <v>951</v>
      </c>
      <c r="M310" s="406" t="s">
        <v>1783</v>
      </c>
      <c r="N310" s="452">
        <v>0</v>
      </c>
      <c r="O310" s="452">
        <v>0</v>
      </c>
      <c r="P310" s="452">
        <v>0</v>
      </c>
      <c r="Q310" s="452">
        <v>0</v>
      </c>
      <c r="R310" s="452">
        <v>0</v>
      </c>
      <c r="S310" s="452">
        <v>0</v>
      </c>
      <c r="T310" s="452">
        <v>0</v>
      </c>
      <c r="U310" s="409">
        <v>0</v>
      </c>
      <c r="V310" s="409">
        <v>0</v>
      </c>
      <c r="W310" s="409">
        <v>0</v>
      </c>
      <c r="X310" s="409">
        <v>0</v>
      </c>
      <c r="Y310" s="409">
        <v>0</v>
      </c>
      <c r="Z310" s="453">
        <f t="shared" si="108"/>
        <v>0</v>
      </c>
      <c r="AA310" s="452">
        <v>0</v>
      </c>
      <c r="AB310" s="452">
        <v>0</v>
      </c>
      <c r="AC310" s="452">
        <v>221</v>
      </c>
      <c r="AD310" s="452">
        <v>58</v>
      </c>
      <c r="AE310" s="452">
        <v>0</v>
      </c>
      <c r="AF310" s="452">
        <v>0</v>
      </c>
      <c r="AG310" s="452">
        <v>0</v>
      </c>
      <c r="AH310" s="409">
        <v>0</v>
      </c>
      <c r="AI310" s="409">
        <v>0</v>
      </c>
      <c r="AJ310" s="409">
        <v>0</v>
      </c>
      <c r="AK310" s="409">
        <v>0</v>
      </c>
      <c r="AL310" s="409">
        <v>0</v>
      </c>
      <c r="AM310" s="453">
        <f t="shared" si="103"/>
        <v>279</v>
      </c>
      <c r="AN310" s="452">
        <v>0</v>
      </c>
      <c r="AO310" s="452">
        <v>0</v>
      </c>
      <c r="AP310" s="452">
        <v>193</v>
      </c>
      <c r="AQ310" s="452">
        <v>36</v>
      </c>
      <c r="AR310" s="452">
        <v>0</v>
      </c>
      <c r="AS310" s="452">
        <v>0</v>
      </c>
      <c r="AT310" s="452">
        <v>0</v>
      </c>
      <c r="AU310" s="409">
        <v>0</v>
      </c>
      <c r="AV310" s="409">
        <v>0</v>
      </c>
      <c r="AW310" s="409">
        <v>0</v>
      </c>
      <c r="AX310" s="409">
        <v>0</v>
      </c>
      <c r="AY310" s="409">
        <v>0</v>
      </c>
      <c r="AZ310" s="453">
        <f t="shared" si="104"/>
        <v>229</v>
      </c>
      <c r="BA310" s="452">
        <v>0</v>
      </c>
      <c r="BB310" s="452">
        <v>0</v>
      </c>
      <c r="BC310" s="452">
        <v>0</v>
      </c>
      <c r="BD310" s="452">
        <v>0</v>
      </c>
      <c r="BE310" s="452">
        <v>0</v>
      </c>
      <c r="BF310" s="452">
        <v>0</v>
      </c>
      <c r="BG310" s="452">
        <v>0</v>
      </c>
      <c r="BH310" s="409">
        <v>0</v>
      </c>
      <c r="BI310" s="409">
        <v>0</v>
      </c>
      <c r="BJ310" s="409">
        <v>0</v>
      </c>
      <c r="BK310" s="409">
        <v>0</v>
      </c>
      <c r="BL310" s="409">
        <v>0</v>
      </c>
      <c r="BM310" s="453">
        <f t="shared" si="105"/>
        <v>0</v>
      </c>
      <c r="BN310" s="452">
        <v>0</v>
      </c>
      <c r="BO310" s="452">
        <v>0</v>
      </c>
      <c r="BP310" s="452">
        <v>0</v>
      </c>
      <c r="BQ310" s="452">
        <v>0</v>
      </c>
      <c r="BR310" s="452">
        <v>0</v>
      </c>
      <c r="BS310" s="452">
        <v>0</v>
      </c>
      <c r="BT310" s="452">
        <v>0</v>
      </c>
      <c r="BU310" s="409">
        <v>0</v>
      </c>
      <c r="BV310" s="409">
        <v>0</v>
      </c>
      <c r="BW310" s="409">
        <v>0</v>
      </c>
      <c r="BX310" s="409">
        <v>0</v>
      </c>
      <c r="BY310" s="409">
        <v>0</v>
      </c>
      <c r="BZ310" s="453">
        <f t="shared" si="106"/>
        <v>0</v>
      </c>
      <c r="CA310" s="454">
        <f t="shared" si="107"/>
        <v>508</v>
      </c>
      <c r="CB310" s="411"/>
      <c r="CC310" s="411"/>
      <c r="CD310" s="411"/>
      <c r="CE310" s="411"/>
      <c r="CF310" s="411"/>
      <c r="CG310" s="420">
        <f t="shared" si="125"/>
        <v>0</v>
      </c>
      <c r="CH310" s="413"/>
      <c r="CI310" s="414" t="s">
        <v>1624</v>
      </c>
      <c r="CJ310" s="415">
        <v>0</v>
      </c>
      <c r="CK310" s="415">
        <v>0</v>
      </c>
      <c r="CL310" s="415">
        <v>0</v>
      </c>
      <c r="CM310" s="415">
        <v>0</v>
      </c>
      <c r="CN310" s="415">
        <v>0</v>
      </c>
      <c r="CO310" s="415">
        <v>0</v>
      </c>
      <c r="CP310" s="415">
        <v>0</v>
      </c>
      <c r="CQ310" s="415">
        <v>0</v>
      </c>
      <c r="CR310" s="415">
        <v>0</v>
      </c>
      <c r="CS310" s="415">
        <v>0</v>
      </c>
      <c r="CT310" s="415">
        <v>0</v>
      </c>
      <c r="CU310" s="415">
        <v>0</v>
      </c>
      <c r="CV310" s="410">
        <f t="shared" si="117"/>
        <v>0</v>
      </c>
      <c r="CW310" s="415">
        <v>0</v>
      </c>
      <c r="CX310" s="415">
        <v>0</v>
      </c>
      <c r="CY310" s="415">
        <v>1</v>
      </c>
      <c r="CZ310" s="415">
        <v>0</v>
      </c>
      <c r="DA310" s="415">
        <v>0</v>
      </c>
      <c r="DB310" s="415">
        <v>0</v>
      </c>
      <c r="DC310" s="415">
        <v>0</v>
      </c>
      <c r="DD310" s="415">
        <v>0</v>
      </c>
      <c r="DE310" s="415">
        <v>0</v>
      </c>
      <c r="DF310" s="415">
        <v>0</v>
      </c>
      <c r="DG310" s="415">
        <v>0</v>
      </c>
      <c r="DH310" s="415">
        <v>0</v>
      </c>
      <c r="DI310" s="410">
        <f t="shared" si="118"/>
        <v>1</v>
      </c>
      <c r="DJ310" s="415">
        <v>0</v>
      </c>
      <c r="DK310" s="415">
        <v>0</v>
      </c>
      <c r="DL310" s="415">
        <v>1</v>
      </c>
      <c r="DM310" s="415">
        <v>0</v>
      </c>
      <c r="DN310" s="415">
        <v>0</v>
      </c>
      <c r="DO310" s="415">
        <v>0</v>
      </c>
      <c r="DP310" s="415">
        <v>0</v>
      </c>
      <c r="DQ310" s="415">
        <v>0</v>
      </c>
      <c r="DR310" s="415">
        <v>0</v>
      </c>
      <c r="DS310" s="415">
        <v>0</v>
      </c>
      <c r="DT310" s="415">
        <v>0</v>
      </c>
      <c r="DU310" s="415">
        <v>0</v>
      </c>
      <c r="DV310" s="410">
        <f t="shared" si="119"/>
        <v>1</v>
      </c>
      <c r="DW310" s="415">
        <v>0</v>
      </c>
      <c r="DX310" s="415">
        <v>0</v>
      </c>
      <c r="DY310" s="415">
        <v>0</v>
      </c>
      <c r="DZ310" s="415">
        <v>0</v>
      </c>
      <c r="EA310" s="415">
        <v>0</v>
      </c>
      <c r="EB310" s="415">
        <v>0</v>
      </c>
      <c r="EC310" s="415">
        <v>0</v>
      </c>
      <c r="ED310" s="415">
        <v>0</v>
      </c>
      <c r="EE310" s="415">
        <v>0</v>
      </c>
      <c r="EF310" s="415">
        <v>0</v>
      </c>
      <c r="EG310" s="415">
        <v>0</v>
      </c>
      <c r="EH310" s="415">
        <v>0</v>
      </c>
      <c r="EI310" s="410">
        <f t="shared" si="120"/>
        <v>0</v>
      </c>
      <c r="EJ310" s="415">
        <v>0</v>
      </c>
      <c r="EK310" s="415">
        <v>0</v>
      </c>
      <c r="EL310" s="415">
        <v>0</v>
      </c>
      <c r="EM310" s="415">
        <v>0</v>
      </c>
      <c r="EN310" s="415">
        <v>0</v>
      </c>
      <c r="EO310" s="415">
        <v>0</v>
      </c>
      <c r="EP310" s="415">
        <v>0</v>
      </c>
      <c r="EQ310" s="415">
        <v>0</v>
      </c>
      <c r="ER310" s="415">
        <v>0</v>
      </c>
      <c r="ES310" s="415">
        <v>0</v>
      </c>
      <c r="ET310" s="415">
        <v>0</v>
      </c>
      <c r="EU310" s="415">
        <v>0</v>
      </c>
      <c r="EV310" s="410">
        <f t="shared" si="121"/>
        <v>0</v>
      </c>
      <c r="EW310" s="416">
        <f t="shared" si="122"/>
        <v>2</v>
      </c>
      <c r="EX310" s="417">
        <f>IFERROR(VLOOKUP(H310,CEI_012018!$A$1:$U$509,9,FALSE),0)</f>
        <v>0</v>
      </c>
      <c r="EY310" s="417">
        <f>IFERROR(VLOOKUP(H310,CEI_022018!$A$1:$U$509,9,FALSE),0)</f>
        <v>0</v>
      </c>
      <c r="EZ310" s="417">
        <f>IFERROR(VLOOKUP(H310,CEI_032018!$A$1:$U$509,9,FALSE),0)</f>
        <v>0</v>
      </c>
      <c r="FA310" s="417">
        <f>IFERROR(VLOOKUP(H310,CEI_042018!$A$1:$U$491,9,FALSE),0)</f>
        <v>0</v>
      </c>
      <c r="FB310" s="417">
        <f>IFERROR(VLOOKUP(H310,CEI_052018!$A$1:$U$489,9,FALSE),0)</f>
        <v>0</v>
      </c>
      <c r="FC310" s="417">
        <f>IFERROR(VLOOKUP(H310,CEI_062018!$A$1:$U$489,9,FALSE),0)</f>
        <v>0</v>
      </c>
      <c r="FD310" s="417">
        <f>IFERROR(VLOOKUP(H310,CEI_072018!$A$1:$U$489,9,FALSE),0)</f>
        <v>0</v>
      </c>
      <c r="FE310" s="417">
        <f>IFERROR(VLOOKUP(H310,CEI_082018!$A$1:$U$489,9,FALSE),0)</f>
        <v>0</v>
      </c>
      <c r="FF310" s="417">
        <f>IFERROR(VLOOKUP(H310,CEI_092018!$A$1:$U$489,9,FALSE),0)</f>
        <v>0</v>
      </c>
      <c r="FG310" s="417"/>
      <c r="FH310" s="417"/>
      <c r="FI310" s="417"/>
      <c r="FJ310" s="418">
        <f>IFERROR(VLOOKUP(H310,CEI_092018!$A$1:$U$489,12,FALSE),0)</f>
        <v>0</v>
      </c>
      <c r="FK310" s="418">
        <f t="shared" si="123"/>
        <v>0</v>
      </c>
      <c r="FL310" s="418">
        <f t="shared" si="124"/>
        <v>0</v>
      </c>
      <c r="FM310" s="417"/>
      <c r="FN310" s="417"/>
      <c r="FO310" s="417"/>
      <c r="FP310" s="417"/>
      <c r="FQ310" s="417"/>
      <c r="FR310" s="417"/>
      <c r="FS310" s="417"/>
      <c r="FT310" s="417"/>
      <c r="FU310" s="417"/>
      <c r="FV310" s="417"/>
      <c r="FW310" s="417"/>
      <c r="FX310" s="417"/>
      <c r="FY310" s="418"/>
      <c r="FZ310" s="418"/>
      <c r="GA310" s="418"/>
      <c r="GB310" s="417"/>
      <c r="GC310" s="417"/>
      <c r="GD310" s="417"/>
      <c r="GE310" s="417"/>
      <c r="GF310" s="417"/>
      <c r="GG310" s="417"/>
      <c r="GH310" s="417"/>
      <c r="GI310" s="417"/>
      <c r="GJ310" s="417"/>
      <c r="GK310" s="417"/>
      <c r="GL310" s="417"/>
      <c r="GM310" s="417"/>
      <c r="GN310" s="418"/>
      <c r="GO310" s="418"/>
      <c r="GP310" s="418"/>
      <c r="GQ310" s="417"/>
      <c r="GR310" s="417"/>
      <c r="GS310" s="417"/>
      <c r="GT310" s="417"/>
      <c r="GU310" s="417"/>
      <c r="GV310" s="417"/>
      <c r="GW310" s="417"/>
      <c r="GX310" s="417"/>
      <c r="GY310" s="417"/>
      <c r="GZ310" s="417"/>
      <c r="HA310" s="417"/>
      <c r="HB310" s="417"/>
      <c r="HC310" s="418"/>
      <c r="HD310" s="418"/>
      <c r="HE310" s="418"/>
      <c r="HF310" s="417"/>
      <c r="HG310" s="417"/>
      <c r="HH310" s="417"/>
      <c r="HI310" s="417"/>
      <c r="HJ310" s="417"/>
      <c r="HK310" s="417"/>
      <c r="HL310" s="417"/>
      <c r="HM310" s="417"/>
      <c r="HN310" s="417"/>
      <c r="HO310" s="417"/>
      <c r="HP310" s="417"/>
      <c r="HQ310" s="417"/>
      <c r="HR310" s="418"/>
      <c r="HS310" s="418"/>
      <c r="HT310" s="418"/>
    </row>
    <row r="311" spans="1:228" s="387" customFormat="1" ht="12.75" customHeight="1" x14ac:dyDescent="0.2">
      <c r="A311" s="406" t="s">
        <v>55</v>
      </c>
      <c r="B311" s="407" t="s">
        <v>42</v>
      </c>
      <c r="C311" s="406" t="s">
        <v>297</v>
      </c>
      <c r="D311" s="407" t="s">
        <v>1007</v>
      </c>
      <c r="E311" s="407" t="s">
        <v>297</v>
      </c>
      <c r="F311" s="407" t="s">
        <v>1007</v>
      </c>
      <c r="G311" s="406" t="s">
        <v>54</v>
      </c>
      <c r="H311" s="408" t="s">
        <v>1282</v>
      </c>
      <c r="I311" s="408" t="s">
        <v>1284</v>
      </c>
      <c r="J311" s="406" t="s">
        <v>772</v>
      </c>
      <c r="K311" s="406" t="s">
        <v>773</v>
      </c>
      <c r="L311" s="406" t="s">
        <v>774</v>
      </c>
      <c r="M311" s="406" t="s">
        <v>1783</v>
      </c>
      <c r="N311" s="452">
        <v>0</v>
      </c>
      <c r="O311" s="452">
        <v>0</v>
      </c>
      <c r="P311" s="452">
        <v>0</v>
      </c>
      <c r="Q311" s="452">
        <v>0</v>
      </c>
      <c r="R311" s="452">
        <v>0</v>
      </c>
      <c r="S311" s="452">
        <v>0</v>
      </c>
      <c r="T311" s="452">
        <v>0</v>
      </c>
      <c r="U311" s="409">
        <v>0</v>
      </c>
      <c r="V311" s="409">
        <v>0</v>
      </c>
      <c r="W311" s="409">
        <v>0</v>
      </c>
      <c r="X311" s="409">
        <v>0</v>
      </c>
      <c r="Y311" s="409">
        <v>0</v>
      </c>
      <c r="Z311" s="453">
        <f t="shared" si="108"/>
        <v>0</v>
      </c>
      <c r="AA311" s="452">
        <v>0</v>
      </c>
      <c r="AB311" s="452">
        <v>0</v>
      </c>
      <c r="AC311" s="452">
        <v>671</v>
      </c>
      <c r="AD311" s="452">
        <v>161</v>
      </c>
      <c r="AE311" s="452">
        <v>0</v>
      </c>
      <c r="AF311" s="452">
        <v>0</v>
      </c>
      <c r="AG311" s="452">
        <v>0</v>
      </c>
      <c r="AH311" s="409">
        <v>0</v>
      </c>
      <c r="AI311" s="409">
        <v>0</v>
      </c>
      <c r="AJ311" s="409">
        <v>0</v>
      </c>
      <c r="AK311" s="409">
        <v>0</v>
      </c>
      <c r="AL311" s="409">
        <v>0</v>
      </c>
      <c r="AM311" s="453">
        <f t="shared" si="103"/>
        <v>832</v>
      </c>
      <c r="AN311" s="452">
        <v>0</v>
      </c>
      <c r="AO311" s="452">
        <v>0</v>
      </c>
      <c r="AP311" s="452">
        <v>0</v>
      </c>
      <c r="AQ311" s="452">
        <v>0</v>
      </c>
      <c r="AR311" s="452">
        <v>0</v>
      </c>
      <c r="AS311" s="452">
        <v>0</v>
      </c>
      <c r="AT311" s="452">
        <v>0</v>
      </c>
      <c r="AU311" s="409">
        <v>0</v>
      </c>
      <c r="AV311" s="409">
        <v>0</v>
      </c>
      <c r="AW311" s="409">
        <v>0</v>
      </c>
      <c r="AX311" s="409">
        <v>0</v>
      </c>
      <c r="AY311" s="409">
        <v>0</v>
      </c>
      <c r="AZ311" s="453">
        <f t="shared" si="104"/>
        <v>0</v>
      </c>
      <c r="BA311" s="452">
        <v>0</v>
      </c>
      <c r="BB311" s="452">
        <v>0</v>
      </c>
      <c r="BC311" s="452">
        <v>0</v>
      </c>
      <c r="BD311" s="452">
        <v>0</v>
      </c>
      <c r="BE311" s="452">
        <v>0</v>
      </c>
      <c r="BF311" s="452">
        <v>0</v>
      </c>
      <c r="BG311" s="452">
        <v>0</v>
      </c>
      <c r="BH311" s="409">
        <v>0</v>
      </c>
      <c r="BI311" s="409">
        <v>0</v>
      </c>
      <c r="BJ311" s="409">
        <v>0</v>
      </c>
      <c r="BK311" s="409">
        <v>0</v>
      </c>
      <c r="BL311" s="409">
        <v>0</v>
      </c>
      <c r="BM311" s="453">
        <f t="shared" si="105"/>
        <v>0</v>
      </c>
      <c r="BN311" s="452">
        <v>0</v>
      </c>
      <c r="BO311" s="452">
        <v>0</v>
      </c>
      <c r="BP311" s="452">
        <v>0</v>
      </c>
      <c r="BQ311" s="452">
        <v>0</v>
      </c>
      <c r="BR311" s="452">
        <v>878.8</v>
      </c>
      <c r="BS311" s="452">
        <v>0</v>
      </c>
      <c r="BT311" s="452">
        <v>0</v>
      </c>
      <c r="BU311" s="409">
        <v>0</v>
      </c>
      <c r="BV311" s="409">
        <v>0</v>
      </c>
      <c r="BW311" s="409">
        <v>0</v>
      </c>
      <c r="BX311" s="409">
        <v>0</v>
      </c>
      <c r="BY311" s="409">
        <v>0</v>
      </c>
      <c r="BZ311" s="453">
        <f t="shared" si="106"/>
        <v>878.8</v>
      </c>
      <c r="CA311" s="454">
        <f t="shared" si="107"/>
        <v>1710.8</v>
      </c>
      <c r="CB311" s="411"/>
      <c r="CC311" s="411"/>
      <c r="CD311" s="411"/>
      <c r="CE311" s="411"/>
      <c r="CF311" s="411"/>
      <c r="CG311" s="420">
        <f t="shared" si="125"/>
        <v>0</v>
      </c>
      <c r="CH311" s="413"/>
      <c r="CI311" s="414" t="s">
        <v>1621</v>
      </c>
      <c r="CJ311" s="415">
        <v>0</v>
      </c>
      <c r="CK311" s="415">
        <v>0</v>
      </c>
      <c r="CL311" s="415">
        <v>0</v>
      </c>
      <c r="CM311" s="415">
        <v>0</v>
      </c>
      <c r="CN311" s="415">
        <v>0</v>
      </c>
      <c r="CO311" s="415">
        <v>0</v>
      </c>
      <c r="CP311" s="415">
        <v>0</v>
      </c>
      <c r="CQ311" s="415">
        <v>0</v>
      </c>
      <c r="CR311" s="415">
        <v>0</v>
      </c>
      <c r="CS311" s="415">
        <v>0</v>
      </c>
      <c r="CT311" s="415">
        <v>0</v>
      </c>
      <c r="CU311" s="415">
        <v>0</v>
      </c>
      <c r="CV311" s="410">
        <f t="shared" si="117"/>
        <v>0</v>
      </c>
      <c r="CW311" s="415">
        <v>0</v>
      </c>
      <c r="CX311" s="415">
        <v>0</v>
      </c>
      <c r="CY311" s="415">
        <v>1</v>
      </c>
      <c r="CZ311" s="415">
        <v>0</v>
      </c>
      <c r="DA311" s="415">
        <v>0</v>
      </c>
      <c r="DB311" s="415">
        <v>0</v>
      </c>
      <c r="DC311" s="415">
        <v>0</v>
      </c>
      <c r="DD311" s="415">
        <v>0</v>
      </c>
      <c r="DE311" s="415">
        <v>0</v>
      </c>
      <c r="DF311" s="415">
        <v>0</v>
      </c>
      <c r="DG311" s="415">
        <v>0</v>
      </c>
      <c r="DH311" s="415">
        <v>0</v>
      </c>
      <c r="DI311" s="410">
        <f t="shared" si="118"/>
        <v>1</v>
      </c>
      <c r="DJ311" s="415">
        <v>0</v>
      </c>
      <c r="DK311" s="415">
        <v>0</v>
      </c>
      <c r="DL311" s="415">
        <v>0</v>
      </c>
      <c r="DM311" s="415">
        <v>0</v>
      </c>
      <c r="DN311" s="415">
        <v>0</v>
      </c>
      <c r="DO311" s="415">
        <v>0</v>
      </c>
      <c r="DP311" s="415">
        <v>0</v>
      </c>
      <c r="DQ311" s="415">
        <v>0</v>
      </c>
      <c r="DR311" s="415">
        <v>0</v>
      </c>
      <c r="DS311" s="415">
        <v>0</v>
      </c>
      <c r="DT311" s="415">
        <v>0</v>
      </c>
      <c r="DU311" s="415">
        <v>0</v>
      </c>
      <c r="DV311" s="410">
        <f t="shared" si="119"/>
        <v>0</v>
      </c>
      <c r="DW311" s="415">
        <v>0</v>
      </c>
      <c r="DX311" s="415">
        <v>0</v>
      </c>
      <c r="DY311" s="415">
        <v>0</v>
      </c>
      <c r="DZ311" s="415">
        <v>0</v>
      </c>
      <c r="EA311" s="415">
        <v>0</v>
      </c>
      <c r="EB311" s="415">
        <v>0</v>
      </c>
      <c r="EC311" s="415">
        <v>0</v>
      </c>
      <c r="ED311" s="415">
        <v>0</v>
      </c>
      <c r="EE311" s="415">
        <v>0</v>
      </c>
      <c r="EF311" s="415">
        <v>0</v>
      </c>
      <c r="EG311" s="415">
        <v>0</v>
      </c>
      <c r="EH311" s="415">
        <v>0</v>
      </c>
      <c r="EI311" s="410">
        <f t="shared" si="120"/>
        <v>0</v>
      </c>
      <c r="EJ311" s="415">
        <v>0</v>
      </c>
      <c r="EK311" s="415">
        <v>0</v>
      </c>
      <c r="EL311" s="415">
        <v>0</v>
      </c>
      <c r="EM311" s="415">
        <v>0</v>
      </c>
      <c r="EN311" s="415">
        <v>1</v>
      </c>
      <c r="EO311" s="415">
        <v>0</v>
      </c>
      <c r="EP311" s="415">
        <v>0</v>
      </c>
      <c r="EQ311" s="415">
        <v>0</v>
      </c>
      <c r="ER311" s="415">
        <v>0</v>
      </c>
      <c r="ES311" s="415">
        <v>0</v>
      </c>
      <c r="ET311" s="415">
        <v>0</v>
      </c>
      <c r="EU311" s="415">
        <v>0</v>
      </c>
      <c r="EV311" s="410">
        <f t="shared" si="121"/>
        <v>1</v>
      </c>
      <c r="EW311" s="416">
        <f t="shared" si="122"/>
        <v>2</v>
      </c>
      <c r="EX311" s="417">
        <f>IFERROR(VLOOKUP(H311,CEI_012018!$A$1:$U$509,9,FALSE),0)</f>
        <v>0</v>
      </c>
      <c r="EY311" s="417">
        <f>IFERROR(VLOOKUP(H311,CEI_022018!$A$1:$U$509,9,FALSE),0)</f>
        <v>0</v>
      </c>
      <c r="EZ311" s="417">
        <f>IFERROR(VLOOKUP(H311,CEI_032018!$A$1:$U$509,9,FALSE),0)</f>
        <v>0</v>
      </c>
      <c r="FA311" s="417">
        <f>IFERROR(VLOOKUP(H311,CEI_042018!$A$1:$U$491,9,FALSE),0)</f>
        <v>0</v>
      </c>
      <c r="FB311" s="417">
        <f>IFERROR(VLOOKUP(H311,CEI_052018!$A$1:$U$489,9,FALSE),0)</f>
        <v>0</v>
      </c>
      <c r="FC311" s="417">
        <f>IFERROR(VLOOKUP(H311,CEI_062018!$A$1:$U$489,9,FALSE),0)</f>
        <v>0</v>
      </c>
      <c r="FD311" s="417">
        <f>IFERROR(VLOOKUP(H311,CEI_072018!$A$1:$U$489,9,FALSE),0)</f>
        <v>0</v>
      </c>
      <c r="FE311" s="417">
        <f>IFERROR(VLOOKUP(H311,CEI_082018!$A$1:$U$489,9,FALSE),0)</f>
        <v>0</v>
      </c>
      <c r="FF311" s="417">
        <f>IFERROR(VLOOKUP(H311,CEI_092018!$A$1:$U$489,9,FALSE),0)</f>
        <v>0</v>
      </c>
      <c r="FG311" s="417"/>
      <c r="FH311" s="417"/>
      <c r="FI311" s="417"/>
      <c r="FJ311" s="418">
        <f>IFERROR(VLOOKUP(H311,CEI_092018!$A$1:$U$489,12,FALSE),0)</f>
        <v>0</v>
      </c>
      <c r="FK311" s="418">
        <f t="shared" si="123"/>
        <v>0</v>
      </c>
      <c r="FL311" s="418">
        <f t="shared" si="124"/>
        <v>0</v>
      </c>
      <c r="FM311" s="417"/>
      <c r="FN311" s="417"/>
      <c r="FO311" s="417"/>
      <c r="FP311" s="417"/>
      <c r="FQ311" s="417"/>
      <c r="FR311" s="417"/>
      <c r="FS311" s="417"/>
      <c r="FT311" s="417"/>
      <c r="FU311" s="417"/>
      <c r="FV311" s="417"/>
      <c r="FW311" s="417"/>
      <c r="FX311" s="417"/>
      <c r="FY311" s="418"/>
      <c r="FZ311" s="418"/>
      <c r="GA311" s="418"/>
      <c r="GB311" s="417"/>
      <c r="GC311" s="417"/>
      <c r="GD311" s="417"/>
      <c r="GE311" s="417"/>
      <c r="GF311" s="417"/>
      <c r="GG311" s="417"/>
      <c r="GH311" s="417"/>
      <c r="GI311" s="417"/>
      <c r="GJ311" s="417"/>
      <c r="GK311" s="417"/>
      <c r="GL311" s="417"/>
      <c r="GM311" s="417"/>
      <c r="GN311" s="418"/>
      <c r="GO311" s="418"/>
      <c r="GP311" s="418"/>
      <c r="GQ311" s="417"/>
      <c r="GR311" s="417"/>
      <c r="GS311" s="417"/>
      <c r="GT311" s="417"/>
      <c r="GU311" s="417"/>
      <c r="GV311" s="417"/>
      <c r="GW311" s="417"/>
      <c r="GX311" s="417"/>
      <c r="GY311" s="417"/>
      <c r="GZ311" s="417"/>
      <c r="HA311" s="417"/>
      <c r="HB311" s="417"/>
      <c r="HC311" s="418"/>
      <c r="HD311" s="418"/>
      <c r="HE311" s="418"/>
      <c r="HF311" s="417"/>
      <c r="HG311" s="417"/>
      <c r="HH311" s="417"/>
      <c r="HI311" s="417"/>
      <c r="HJ311" s="417"/>
      <c r="HK311" s="417"/>
      <c r="HL311" s="417"/>
      <c r="HM311" s="417"/>
      <c r="HN311" s="417"/>
      <c r="HO311" s="417"/>
      <c r="HP311" s="417"/>
      <c r="HQ311" s="417"/>
      <c r="HR311" s="418"/>
      <c r="HS311" s="418"/>
      <c r="HT311" s="418"/>
    </row>
    <row r="312" spans="1:228" s="387" customFormat="1" ht="12.75" customHeight="1" x14ac:dyDescent="0.2">
      <c r="A312" s="406" t="s">
        <v>55</v>
      </c>
      <c r="B312" s="407" t="s">
        <v>42</v>
      </c>
      <c r="C312" s="406" t="s">
        <v>297</v>
      </c>
      <c r="D312" s="407" t="s">
        <v>1007</v>
      </c>
      <c r="E312" s="407" t="s">
        <v>297</v>
      </c>
      <c r="F312" s="407" t="s">
        <v>1007</v>
      </c>
      <c r="G312" s="406" t="s">
        <v>54</v>
      </c>
      <c r="H312" s="408" t="s">
        <v>1316</v>
      </c>
      <c r="I312" s="408" t="s">
        <v>1318</v>
      </c>
      <c r="J312" s="406" t="s">
        <v>943</v>
      </c>
      <c r="K312" s="406" t="s">
        <v>770</v>
      </c>
      <c r="L312" s="406" t="s">
        <v>771</v>
      </c>
      <c r="M312" s="406" t="s">
        <v>1783</v>
      </c>
      <c r="N312" s="452">
        <v>0</v>
      </c>
      <c r="O312" s="452">
        <v>0</v>
      </c>
      <c r="P312" s="452">
        <v>0</v>
      </c>
      <c r="Q312" s="452">
        <v>0</v>
      </c>
      <c r="R312" s="452">
        <v>28.273269653320313</v>
      </c>
      <c r="S312" s="452">
        <v>114.40226745605469</v>
      </c>
      <c r="T312" s="452">
        <v>124.59091949462891</v>
      </c>
      <c r="U312" s="409">
        <v>0</v>
      </c>
      <c r="V312" s="409">
        <v>0</v>
      </c>
      <c r="W312" s="409">
        <v>0</v>
      </c>
      <c r="X312" s="409">
        <v>2955.7335399999997</v>
      </c>
      <c r="Y312" s="409">
        <v>0</v>
      </c>
      <c r="Z312" s="453">
        <f t="shared" si="108"/>
        <v>3222.9999966040036</v>
      </c>
      <c r="AA312" s="452">
        <v>0</v>
      </c>
      <c r="AB312" s="452">
        <v>0</v>
      </c>
      <c r="AC312" s="452">
        <v>0</v>
      </c>
      <c r="AD312" s="452">
        <v>0</v>
      </c>
      <c r="AE312" s="452">
        <v>0</v>
      </c>
      <c r="AF312" s="452">
        <v>0</v>
      </c>
      <c r="AG312" s="452">
        <v>0</v>
      </c>
      <c r="AH312" s="409">
        <v>0</v>
      </c>
      <c r="AI312" s="409">
        <v>0</v>
      </c>
      <c r="AJ312" s="409">
        <v>0</v>
      </c>
      <c r="AK312" s="409">
        <v>0</v>
      </c>
      <c r="AL312" s="409">
        <v>0</v>
      </c>
      <c r="AM312" s="453">
        <f t="shared" si="103"/>
        <v>0</v>
      </c>
      <c r="AN312" s="452">
        <v>0</v>
      </c>
      <c r="AO312" s="452">
        <v>0</v>
      </c>
      <c r="AP312" s="452">
        <v>1541</v>
      </c>
      <c r="AQ312" s="452">
        <v>368</v>
      </c>
      <c r="AR312" s="452">
        <v>0</v>
      </c>
      <c r="AS312" s="452">
        <v>0</v>
      </c>
      <c r="AT312" s="452">
        <v>0</v>
      </c>
      <c r="AU312" s="409">
        <v>0</v>
      </c>
      <c r="AV312" s="409">
        <v>0</v>
      </c>
      <c r="AW312" s="409">
        <v>0</v>
      </c>
      <c r="AX312" s="409">
        <v>0</v>
      </c>
      <c r="AY312" s="409">
        <v>0</v>
      </c>
      <c r="AZ312" s="453">
        <f t="shared" si="104"/>
        <v>1909</v>
      </c>
      <c r="BA312" s="452">
        <v>0</v>
      </c>
      <c r="BB312" s="452">
        <v>0</v>
      </c>
      <c r="BC312" s="452">
        <v>0</v>
      </c>
      <c r="BD312" s="452">
        <v>0</v>
      </c>
      <c r="BE312" s="452">
        <v>0</v>
      </c>
      <c r="BF312" s="452">
        <v>0</v>
      </c>
      <c r="BG312" s="452">
        <v>0</v>
      </c>
      <c r="BH312" s="409">
        <v>0</v>
      </c>
      <c r="BI312" s="409">
        <v>0</v>
      </c>
      <c r="BJ312" s="409">
        <v>0</v>
      </c>
      <c r="BK312" s="409">
        <v>0</v>
      </c>
      <c r="BL312" s="409">
        <v>0</v>
      </c>
      <c r="BM312" s="453">
        <f t="shared" si="105"/>
        <v>0</v>
      </c>
      <c r="BN312" s="452">
        <v>0</v>
      </c>
      <c r="BO312" s="452">
        <v>0</v>
      </c>
      <c r="BP312" s="452">
        <v>0</v>
      </c>
      <c r="BQ312" s="452">
        <v>0</v>
      </c>
      <c r="BR312" s="452">
        <v>0</v>
      </c>
      <c r="BS312" s="452">
        <v>0</v>
      </c>
      <c r="BT312" s="452">
        <v>0</v>
      </c>
      <c r="BU312" s="409">
        <v>0</v>
      </c>
      <c r="BV312" s="409">
        <v>0</v>
      </c>
      <c r="BW312" s="409">
        <v>0</v>
      </c>
      <c r="BX312" s="409">
        <v>0</v>
      </c>
      <c r="BY312" s="409">
        <v>0</v>
      </c>
      <c r="BZ312" s="453">
        <f t="shared" si="106"/>
        <v>0</v>
      </c>
      <c r="CA312" s="454">
        <f t="shared" si="107"/>
        <v>5131.9999966040032</v>
      </c>
      <c r="CB312" s="419"/>
      <c r="CC312" s="419">
        <v>1</v>
      </c>
      <c r="CD312" s="419">
        <v>1</v>
      </c>
      <c r="CE312" s="419">
        <v>1</v>
      </c>
      <c r="CF312" s="419">
        <v>1</v>
      </c>
      <c r="CG312" s="420">
        <f t="shared" si="125"/>
        <v>8.29247461637034</v>
      </c>
      <c r="CH312" s="421">
        <f>IFERROR((FK312/Z312%),0)</f>
        <v>89.826838279967305</v>
      </c>
      <c r="CI312" s="414" t="s">
        <v>1621</v>
      </c>
      <c r="CJ312" s="415">
        <v>0</v>
      </c>
      <c r="CK312" s="415">
        <v>0</v>
      </c>
      <c r="CL312" s="415">
        <v>0</v>
      </c>
      <c r="CM312" s="415">
        <v>0</v>
      </c>
      <c r="CN312" s="415">
        <v>0</v>
      </c>
      <c r="CO312" s="415">
        <v>0</v>
      </c>
      <c r="CP312" s="415">
        <v>0</v>
      </c>
      <c r="CQ312" s="415">
        <v>1</v>
      </c>
      <c r="CR312" s="415">
        <v>0</v>
      </c>
      <c r="CS312" s="415">
        <v>0</v>
      </c>
      <c r="CT312" s="415">
        <v>0</v>
      </c>
      <c r="CU312" s="415">
        <v>0</v>
      </c>
      <c r="CV312" s="410">
        <f t="shared" si="117"/>
        <v>1</v>
      </c>
      <c r="CW312" s="415">
        <v>0</v>
      </c>
      <c r="CX312" s="415">
        <v>0</v>
      </c>
      <c r="CY312" s="415">
        <v>0</v>
      </c>
      <c r="CZ312" s="415">
        <v>0</v>
      </c>
      <c r="DA312" s="415">
        <v>0</v>
      </c>
      <c r="DB312" s="415">
        <v>0</v>
      </c>
      <c r="DC312" s="415">
        <v>0</v>
      </c>
      <c r="DD312" s="415">
        <v>0</v>
      </c>
      <c r="DE312" s="415">
        <v>0</v>
      </c>
      <c r="DF312" s="415">
        <v>0</v>
      </c>
      <c r="DG312" s="415">
        <v>0</v>
      </c>
      <c r="DH312" s="415">
        <v>0</v>
      </c>
      <c r="DI312" s="410">
        <f t="shared" si="118"/>
        <v>0</v>
      </c>
      <c r="DJ312" s="415">
        <v>0</v>
      </c>
      <c r="DK312" s="415">
        <v>0</v>
      </c>
      <c r="DL312" s="415">
        <v>1</v>
      </c>
      <c r="DM312" s="415">
        <v>0</v>
      </c>
      <c r="DN312" s="415">
        <v>0</v>
      </c>
      <c r="DO312" s="415">
        <v>0</v>
      </c>
      <c r="DP312" s="415">
        <v>0</v>
      </c>
      <c r="DQ312" s="415">
        <v>0</v>
      </c>
      <c r="DR312" s="415">
        <v>0</v>
      </c>
      <c r="DS312" s="415">
        <v>0</v>
      </c>
      <c r="DT312" s="415">
        <v>0</v>
      </c>
      <c r="DU312" s="415">
        <v>0</v>
      </c>
      <c r="DV312" s="410">
        <f t="shared" si="119"/>
        <v>1</v>
      </c>
      <c r="DW312" s="415">
        <v>0</v>
      </c>
      <c r="DX312" s="415">
        <v>0</v>
      </c>
      <c r="DY312" s="415">
        <v>0</v>
      </c>
      <c r="DZ312" s="415">
        <v>0</v>
      </c>
      <c r="EA312" s="415">
        <v>0</v>
      </c>
      <c r="EB312" s="415">
        <v>0</v>
      </c>
      <c r="EC312" s="415">
        <v>0</v>
      </c>
      <c r="ED312" s="415">
        <v>0</v>
      </c>
      <c r="EE312" s="415">
        <v>0</v>
      </c>
      <c r="EF312" s="415">
        <v>0</v>
      </c>
      <c r="EG312" s="415">
        <v>0</v>
      </c>
      <c r="EH312" s="415">
        <v>0</v>
      </c>
      <c r="EI312" s="410">
        <f t="shared" si="120"/>
        <v>0</v>
      </c>
      <c r="EJ312" s="415">
        <v>0</v>
      </c>
      <c r="EK312" s="415">
        <v>0</v>
      </c>
      <c r="EL312" s="415">
        <v>0</v>
      </c>
      <c r="EM312" s="415">
        <v>0</v>
      </c>
      <c r="EN312" s="415">
        <v>0</v>
      </c>
      <c r="EO312" s="415">
        <v>0</v>
      </c>
      <c r="EP312" s="415">
        <v>0</v>
      </c>
      <c r="EQ312" s="415">
        <v>0</v>
      </c>
      <c r="ER312" s="415">
        <v>0</v>
      </c>
      <c r="ES312" s="415">
        <v>0</v>
      </c>
      <c r="ET312" s="415">
        <v>0</v>
      </c>
      <c r="EU312" s="415">
        <v>0</v>
      </c>
      <c r="EV312" s="410">
        <f t="shared" si="121"/>
        <v>0</v>
      </c>
      <c r="EW312" s="416">
        <f t="shared" si="122"/>
        <v>2</v>
      </c>
      <c r="EX312" s="417">
        <f>IFERROR(VLOOKUP(H312,CEI_012018!$A$1:$U$509,9,FALSE),0)</f>
        <v>0</v>
      </c>
      <c r="EY312" s="417">
        <f>IFERROR(VLOOKUP(H312,CEI_022018!$A$1:$U$509,9,FALSE),0)</f>
        <v>0</v>
      </c>
      <c r="EZ312" s="417">
        <f>IFERROR(VLOOKUP(H312,CEI_032018!$A$1:$U$509,9,FALSE),0)</f>
        <v>0</v>
      </c>
      <c r="FA312" s="417">
        <f>IFERROR(VLOOKUP(H312,CEI_042018!$A$1:$U$491,9,FALSE),0)</f>
        <v>0</v>
      </c>
      <c r="FB312" s="417">
        <f>IFERROR(VLOOKUP(H312,CEI_052018!$A$1:$U$489,9,FALSE),0)</f>
        <v>28.273269653320313</v>
      </c>
      <c r="FC312" s="417">
        <f>IFERROR(VLOOKUP(H312,CEI_062018!$A$1:$U$489,9,FALSE),0)</f>
        <v>142.675537109375</v>
      </c>
      <c r="FD312" s="417">
        <f>IFERROR(VLOOKUP(H312,CEI_072018!$A$1:$U$489,9,FALSE),0)</f>
        <v>267.26645660400391</v>
      </c>
      <c r="FE312" s="417">
        <f>IFERROR(VLOOKUP(H312,CEI_082018!$A$1:$U$489,9,FALSE),0)</f>
        <v>267.26645660400391</v>
      </c>
      <c r="FF312" s="417">
        <f>IFERROR(VLOOKUP(H312,CEI_092018!$A$1:$U$489,9,FALSE),0)</f>
        <v>267.26645660400391</v>
      </c>
      <c r="FG312" s="417"/>
      <c r="FH312" s="417"/>
      <c r="FI312" s="417"/>
      <c r="FJ312" s="418">
        <f>IFERROR(VLOOKUP(H312,CEI_092018!$A$1:$U$489,12,FALSE),0)</f>
        <v>2627.8525381088257</v>
      </c>
      <c r="FK312" s="418">
        <f t="shared" si="123"/>
        <v>2895.1189947128296</v>
      </c>
      <c r="FL312" s="418">
        <f t="shared" si="124"/>
        <v>327.88100189117404</v>
      </c>
      <c r="FM312" s="417"/>
      <c r="FN312" s="417"/>
      <c r="FO312" s="417"/>
      <c r="FP312" s="417"/>
      <c r="FQ312" s="417"/>
      <c r="FR312" s="417"/>
      <c r="FS312" s="417"/>
      <c r="FT312" s="417"/>
      <c r="FU312" s="417"/>
      <c r="FV312" s="417"/>
      <c r="FW312" s="417"/>
      <c r="FX312" s="417"/>
      <c r="FY312" s="418"/>
      <c r="FZ312" s="418"/>
      <c r="GA312" s="418"/>
      <c r="GB312" s="417"/>
      <c r="GC312" s="417"/>
      <c r="GD312" s="417"/>
      <c r="GE312" s="417"/>
      <c r="GF312" s="417"/>
      <c r="GG312" s="417"/>
      <c r="GH312" s="417"/>
      <c r="GI312" s="417"/>
      <c r="GJ312" s="417"/>
      <c r="GK312" s="417"/>
      <c r="GL312" s="417"/>
      <c r="GM312" s="417"/>
      <c r="GN312" s="418"/>
      <c r="GO312" s="418"/>
      <c r="GP312" s="418"/>
      <c r="GQ312" s="417"/>
      <c r="GR312" s="417"/>
      <c r="GS312" s="417"/>
      <c r="GT312" s="417"/>
      <c r="GU312" s="417"/>
      <c r="GV312" s="417"/>
      <c r="GW312" s="417"/>
      <c r="GX312" s="417"/>
      <c r="GY312" s="417"/>
      <c r="GZ312" s="417"/>
      <c r="HA312" s="417"/>
      <c r="HB312" s="417"/>
      <c r="HC312" s="418"/>
      <c r="HD312" s="418"/>
      <c r="HE312" s="418"/>
      <c r="HF312" s="417"/>
      <c r="HG312" s="417"/>
      <c r="HH312" s="417"/>
      <c r="HI312" s="417"/>
      <c r="HJ312" s="417"/>
      <c r="HK312" s="417"/>
      <c r="HL312" s="417"/>
      <c r="HM312" s="417"/>
      <c r="HN312" s="417"/>
      <c r="HO312" s="417"/>
      <c r="HP312" s="417"/>
      <c r="HQ312" s="417"/>
      <c r="HR312" s="418"/>
      <c r="HS312" s="418"/>
      <c r="HT312" s="418"/>
    </row>
    <row r="313" spans="1:228" s="387" customFormat="1" ht="12.75" customHeight="1" x14ac:dyDescent="0.2">
      <c r="A313" s="406" t="s">
        <v>55</v>
      </c>
      <c r="B313" s="407" t="s">
        <v>42</v>
      </c>
      <c r="C313" s="406" t="s">
        <v>297</v>
      </c>
      <c r="D313" s="407" t="s">
        <v>1007</v>
      </c>
      <c r="E313" s="407" t="s">
        <v>297</v>
      </c>
      <c r="F313" s="407" t="s">
        <v>1007</v>
      </c>
      <c r="G313" s="406" t="s">
        <v>54</v>
      </c>
      <c r="H313" s="408" t="s">
        <v>520</v>
      </c>
      <c r="I313" s="408" t="s">
        <v>57</v>
      </c>
      <c r="J313" s="406" t="s">
        <v>1701</v>
      </c>
      <c r="K313" s="406" t="s">
        <v>765</v>
      </c>
      <c r="L313" s="406" t="s">
        <v>766</v>
      </c>
      <c r="M313" s="406" t="s">
        <v>1783</v>
      </c>
      <c r="N313" s="452">
        <v>0</v>
      </c>
      <c r="O313" s="452">
        <v>0</v>
      </c>
      <c r="P313" s="452">
        <v>0</v>
      </c>
      <c r="Q313" s="452">
        <v>0</v>
      </c>
      <c r="R313" s="452">
        <v>0</v>
      </c>
      <c r="S313" s="452">
        <v>0</v>
      </c>
      <c r="T313" s="452">
        <v>0</v>
      </c>
      <c r="U313" s="409">
        <v>0</v>
      </c>
      <c r="V313" s="409">
        <v>0</v>
      </c>
      <c r="W313" s="409">
        <v>0</v>
      </c>
      <c r="X313" s="409">
        <v>0</v>
      </c>
      <c r="Y313" s="409">
        <v>2400</v>
      </c>
      <c r="Z313" s="453">
        <f t="shared" si="108"/>
        <v>2400</v>
      </c>
      <c r="AA313" s="452">
        <v>0</v>
      </c>
      <c r="AB313" s="452">
        <v>0</v>
      </c>
      <c r="AC313" s="452">
        <v>0</v>
      </c>
      <c r="AD313" s="452">
        <v>0</v>
      </c>
      <c r="AE313" s="452">
        <v>0</v>
      </c>
      <c r="AF313" s="452">
        <v>0</v>
      </c>
      <c r="AG313" s="452">
        <v>0</v>
      </c>
      <c r="AH313" s="409">
        <v>0</v>
      </c>
      <c r="AI313" s="409">
        <v>0</v>
      </c>
      <c r="AJ313" s="409">
        <v>0</v>
      </c>
      <c r="AK313" s="409">
        <v>0</v>
      </c>
      <c r="AL313" s="409">
        <v>0</v>
      </c>
      <c r="AM313" s="453">
        <f t="shared" si="103"/>
        <v>0</v>
      </c>
      <c r="AN313" s="452">
        <v>0</v>
      </c>
      <c r="AO313" s="452">
        <v>0</v>
      </c>
      <c r="AP313" s="452">
        <v>0</v>
      </c>
      <c r="AQ313" s="452">
        <v>0</v>
      </c>
      <c r="AR313" s="452">
        <v>0</v>
      </c>
      <c r="AS313" s="452">
        <v>0</v>
      </c>
      <c r="AT313" s="452">
        <v>0</v>
      </c>
      <c r="AU313" s="409">
        <v>0</v>
      </c>
      <c r="AV313" s="409">
        <v>0</v>
      </c>
      <c r="AW313" s="409">
        <v>0</v>
      </c>
      <c r="AX313" s="409">
        <v>0</v>
      </c>
      <c r="AY313" s="409">
        <v>0</v>
      </c>
      <c r="AZ313" s="453">
        <f t="shared" si="104"/>
        <v>0</v>
      </c>
      <c r="BA313" s="452">
        <v>0</v>
      </c>
      <c r="BB313" s="452">
        <v>0</v>
      </c>
      <c r="BC313" s="452">
        <v>0</v>
      </c>
      <c r="BD313" s="452">
        <v>0</v>
      </c>
      <c r="BE313" s="452">
        <v>0</v>
      </c>
      <c r="BF313" s="452">
        <v>0</v>
      </c>
      <c r="BG313" s="452">
        <v>0</v>
      </c>
      <c r="BH313" s="409">
        <v>0</v>
      </c>
      <c r="BI313" s="409">
        <v>0</v>
      </c>
      <c r="BJ313" s="409">
        <v>0</v>
      </c>
      <c r="BK313" s="409">
        <v>0</v>
      </c>
      <c r="BL313" s="409">
        <v>0</v>
      </c>
      <c r="BM313" s="453">
        <f t="shared" si="105"/>
        <v>0</v>
      </c>
      <c r="BN313" s="452">
        <v>0</v>
      </c>
      <c r="BO313" s="452">
        <v>0</v>
      </c>
      <c r="BP313" s="452">
        <v>0</v>
      </c>
      <c r="BQ313" s="452">
        <v>0</v>
      </c>
      <c r="BR313" s="452">
        <v>0</v>
      </c>
      <c r="BS313" s="452">
        <v>0</v>
      </c>
      <c r="BT313" s="452">
        <v>0</v>
      </c>
      <c r="BU313" s="409">
        <v>0</v>
      </c>
      <c r="BV313" s="409">
        <v>0</v>
      </c>
      <c r="BW313" s="409">
        <v>0</v>
      </c>
      <c r="BX313" s="409">
        <v>0</v>
      </c>
      <c r="BY313" s="409">
        <v>0</v>
      </c>
      <c r="BZ313" s="453">
        <f t="shared" si="106"/>
        <v>0</v>
      </c>
      <c r="CA313" s="454">
        <f t="shared" si="107"/>
        <v>2400</v>
      </c>
      <c r="CB313" s="427"/>
      <c r="CC313" s="427">
        <v>-1</v>
      </c>
      <c r="CD313" s="427">
        <v>-1</v>
      </c>
      <c r="CE313" s="427">
        <v>-1</v>
      </c>
      <c r="CF313" s="427">
        <v>-1</v>
      </c>
      <c r="CG313" s="420">
        <f t="shared" si="125"/>
        <v>0</v>
      </c>
      <c r="CH313" s="421">
        <f>IFERROR((FK313/Z313%),0)</f>
        <v>0</v>
      </c>
      <c r="CI313" s="414" t="s">
        <v>1621</v>
      </c>
      <c r="CJ313" s="415">
        <v>0</v>
      </c>
      <c r="CK313" s="415">
        <v>0</v>
      </c>
      <c r="CL313" s="415">
        <v>0</v>
      </c>
      <c r="CM313" s="415">
        <v>0</v>
      </c>
      <c r="CN313" s="415">
        <v>0</v>
      </c>
      <c r="CO313" s="415">
        <v>0</v>
      </c>
      <c r="CP313" s="415">
        <v>0</v>
      </c>
      <c r="CQ313" s="415">
        <v>0</v>
      </c>
      <c r="CR313" s="415">
        <v>0</v>
      </c>
      <c r="CS313" s="415">
        <v>0</v>
      </c>
      <c r="CT313" s="415">
        <v>0</v>
      </c>
      <c r="CU313" s="415">
        <v>0</v>
      </c>
      <c r="CV313" s="410">
        <f t="shared" si="117"/>
        <v>0</v>
      </c>
      <c r="CW313" s="415">
        <v>0</v>
      </c>
      <c r="CX313" s="415">
        <v>0</v>
      </c>
      <c r="CY313" s="415">
        <v>0</v>
      </c>
      <c r="CZ313" s="415">
        <v>0</v>
      </c>
      <c r="DA313" s="415">
        <v>0</v>
      </c>
      <c r="DB313" s="415">
        <v>1</v>
      </c>
      <c r="DC313" s="415">
        <v>0</v>
      </c>
      <c r="DD313" s="415">
        <v>0</v>
      </c>
      <c r="DE313" s="415">
        <v>0</v>
      </c>
      <c r="DF313" s="415">
        <v>0</v>
      </c>
      <c r="DG313" s="415">
        <v>0</v>
      </c>
      <c r="DH313" s="415">
        <v>0</v>
      </c>
      <c r="DI313" s="410">
        <f t="shared" si="118"/>
        <v>1</v>
      </c>
      <c r="DJ313" s="415">
        <v>0</v>
      </c>
      <c r="DK313" s="415">
        <v>0</v>
      </c>
      <c r="DL313" s="415">
        <v>0</v>
      </c>
      <c r="DM313" s="415">
        <v>0</v>
      </c>
      <c r="DN313" s="415">
        <v>0</v>
      </c>
      <c r="DO313" s="415">
        <v>0</v>
      </c>
      <c r="DP313" s="415">
        <v>0</v>
      </c>
      <c r="DQ313" s="415">
        <v>0</v>
      </c>
      <c r="DR313" s="415">
        <v>0</v>
      </c>
      <c r="DS313" s="415">
        <v>0</v>
      </c>
      <c r="DT313" s="415">
        <v>0</v>
      </c>
      <c r="DU313" s="415">
        <v>0</v>
      </c>
      <c r="DV313" s="410">
        <f t="shared" si="119"/>
        <v>0</v>
      </c>
      <c r="DW313" s="415">
        <v>0</v>
      </c>
      <c r="DX313" s="415">
        <v>0</v>
      </c>
      <c r="DY313" s="415">
        <v>0</v>
      </c>
      <c r="DZ313" s="415">
        <v>0</v>
      </c>
      <c r="EA313" s="415">
        <v>0</v>
      </c>
      <c r="EB313" s="415">
        <v>0</v>
      </c>
      <c r="EC313" s="415">
        <v>0</v>
      </c>
      <c r="ED313" s="415">
        <v>0</v>
      </c>
      <c r="EE313" s="415">
        <v>0</v>
      </c>
      <c r="EF313" s="415">
        <v>0</v>
      </c>
      <c r="EG313" s="415">
        <v>0</v>
      </c>
      <c r="EH313" s="415">
        <v>0</v>
      </c>
      <c r="EI313" s="410">
        <f t="shared" si="120"/>
        <v>0</v>
      </c>
      <c r="EJ313" s="415">
        <v>0</v>
      </c>
      <c r="EK313" s="415">
        <v>0</v>
      </c>
      <c r="EL313" s="415">
        <v>0</v>
      </c>
      <c r="EM313" s="415">
        <v>0</v>
      </c>
      <c r="EN313" s="415">
        <v>1</v>
      </c>
      <c r="EO313" s="415">
        <v>0</v>
      </c>
      <c r="EP313" s="415">
        <v>0</v>
      </c>
      <c r="EQ313" s="415">
        <v>0</v>
      </c>
      <c r="ER313" s="415">
        <v>0</v>
      </c>
      <c r="ES313" s="415">
        <v>0</v>
      </c>
      <c r="ET313" s="415">
        <v>0</v>
      </c>
      <c r="EU313" s="415">
        <v>0</v>
      </c>
      <c r="EV313" s="410">
        <f t="shared" si="121"/>
        <v>1</v>
      </c>
      <c r="EW313" s="416">
        <f t="shared" si="122"/>
        <v>2</v>
      </c>
      <c r="EX313" s="417">
        <f>IFERROR(VLOOKUP(H313,CEI_012018!$A$1:$U$509,9,FALSE),0)</f>
        <v>0</v>
      </c>
      <c r="EY313" s="417">
        <f>IFERROR(VLOOKUP(H313,CEI_022018!$A$1:$U$509,9,FALSE),0)</f>
        <v>0</v>
      </c>
      <c r="EZ313" s="417">
        <f>IFERROR(VLOOKUP(H313,CEI_032018!$A$1:$U$509,9,FALSE),0)</f>
        <v>0</v>
      </c>
      <c r="FA313" s="417">
        <f>IFERROR(VLOOKUP(H313,CEI_042018!$A$1:$U$491,9,FALSE),0)</f>
        <v>0</v>
      </c>
      <c r="FB313" s="417">
        <f>IFERROR(VLOOKUP(H313,CEI_052018!$A$1:$U$489,9,FALSE),0)</f>
        <v>0</v>
      </c>
      <c r="FC313" s="417">
        <f>IFERROR(VLOOKUP(H313,CEI_062018!$A$1:$U$489,9,FALSE),0)</f>
        <v>0</v>
      </c>
      <c r="FD313" s="417">
        <f>IFERROR(VLOOKUP(H313,CEI_072018!$A$1:$U$489,9,FALSE),0)</f>
        <v>0</v>
      </c>
      <c r="FE313" s="417">
        <f>IFERROR(VLOOKUP(H313,CEI_082018!$A$1:$U$489,9,FALSE),0)</f>
        <v>0</v>
      </c>
      <c r="FF313" s="417">
        <f>IFERROR(VLOOKUP(H313,CEI_092018!$A$1:$U$489,9,FALSE),0)</f>
        <v>0</v>
      </c>
      <c r="FG313" s="417"/>
      <c r="FH313" s="417"/>
      <c r="FI313" s="417"/>
      <c r="FJ313" s="418">
        <f>IFERROR(VLOOKUP(H313,CEI_092018!$A$1:$U$489,12,FALSE),0)</f>
        <v>0</v>
      </c>
      <c r="FK313" s="418">
        <f t="shared" si="123"/>
        <v>0</v>
      </c>
      <c r="FL313" s="418">
        <f t="shared" si="124"/>
        <v>2400</v>
      </c>
      <c r="FM313" s="417"/>
      <c r="FN313" s="417"/>
      <c r="FO313" s="417"/>
      <c r="FP313" s="417"/>
      <c r="FQ313" s="417"/>
      <c r="FR313" s="417"/>
      <c r="FS313" s="417"/>
      <c r="FT313" s="417"/>
      <c r="FU313" s="417"/>
      <c r="FV313" s="417"/>
      <c r="FW313" s="417"/>
      <c r="FX313" s="417"/>
      <c r="FY313" s="418"/>
      <c r="FZ313" s="418"/>
      <c r="GA313" s="418"/>
      <c r="GB313" s="417"/>
      <c r="GC313" s="417"/>
      <c r="GD313" s="417"/>
      <c r="GE313" s="417"/>
      <c r="GF313" s="417"/>
      <c r="GG313" s="417"/>
      <c r="GH313" s="417"/>
      <c r="GI313" s="417"/>
      <c r="GJ313" s="417"/>
      <c r="GK313" s="417"/>
      <c r="GL313" s="417"/>
      <c r="GM313" s="417"/>
      <c r="GN313" s="418"/>
      <c r="GO313" s="418"/>
      <c r="GP313" s="418"/>
      <c r="GQ313" s="417"/>
      <c r="GR313" s="417"/>
      <c r="GS313" s="417"/>
      <c r="GT313" s="417"/>
      <c r="GU313" s="417"/>
      <c r="GV313" s="417"/>
      <c r="GW313" s="417"/>
      <c r="GX313" s="417"/>
      <c r="GY313" s="417"/>
      <c r="GZ313" s="417"/>
      <c r="HA313" s="417"/>
      <c r="HB313" s="417"/>
      <c r="HC313" s="418"/>
      <c r="HD313" s="418"/>
      <c r="HE313" s="418"/>
      <c r="HF313" s="417"/>
      <c r="HG313" s="417"/>
      <c r="HH313" s="417"/>
      <c r="HI313" s="417"/>
      <c r="HJ313" s="417"/>
      <c r="HK313" s="417"/>
      <c r="HL313" s="417"/>
      <c r="HM313" s="417"/>
      <c r="HN313" s="417"/>
      <c r="HO313" s="417"/>
      <c r="HP313" s="417"/>
      <c r="HQ313" s="417"/>
      <c r="HR313" s="418"/>
      <c r="HS313" s="418"/>
      <c r="HT313" s="418"/>
    </row>
    <row r="314" spans="1:228" s="387" customFormat="1" ht="12.75" customHeight="1" x14ac:dyDescent="0.2">
      <c r="A314" s="406" t="s">
        <v>55</v>
      </c>
      <c r="B314" s="407" t="s">
        <v>42</v>
      </c>
      <c r="C314" s="406" t="s">
        <v>297</v>
      </c>
      <c r="D314" s="407" t="s">
        <v>1007</v>
      </c>
      <c r="E314" s="444" t="s">
        <v>1586</v>
      </c>
      <c r="F314" s="444" t="s">
        <v>466</v>
      </c>
      <c r="G314" s="406" t="s">
        <v>54</v>
      </c>
      <c r="H314" s="408" t="s">
        <v>520</v>
      </c>
      <c r="I314" s="408" t="s">
        <v>57</v>
      </c>
      <c r="J314" s="443" t="s">
        <v>1969</v>
      </c>
      <c r="K314" s="406"/>
      <c r="L314" s="406"/>
      <c r="M314" s="406"/>
      <c r="N314" s="452">
        <v>0</v>
      </c>
      <c r="O314" s="452">
        <v>0</v>
      </c>
      <c r="P314" s="452">
        <v>0</v>
      </c>
      <c r="Q314" s="452">
        <v>0</v>
      </c>
      <c r="R314" s="452">
        <v>0</v>
      </c>
      <c r="S314" s="452">
        <v>0</v>
      </c>
      <c r="T314" s="452">
        <v>0</v>
      </c>
      <c r="U314" s="409">
        <v>0</v>
      </c>
      <c r="V314" s="409">
        <v>0</v>
      </c>
      <c r="W314" s="409">
        <v>0</v>
      </c>
      <c r="X314" s="409">
        <v>0</v>
      </c>
      <c r="Y314" s="409">
        <v>0</v>
      </c>
      <c r="Z314" s="453">
        <f t="shared" si="108"/>
        <v>0</v>
      </c>
      <c r="AA314" s="452">
        <v>220</v>
      </c>
      <c r="AB314" s="452">
        <v>220</v>
      </c>
      <c r="AC314" s="452">
        <v>0</v>
      </c>
      <c r="AD314" s="452">
        <v>0</v>
      </c>
      <c r="AE314" s="452">
        <v>0</v>
      </c>
      <c r="AF314" s="452">
        <v>0</v>
      </c>
      <c r="AG314" s="452">
        <v>0</v>
      </c>
      <c r="AH314" s="409">
        <v>0</v>
      </c>
      <c r="AI314" s="409">
        <v>0</v>
      </c>
      <c r="AJ314" s="409">
        <v>0</v>
      </c>
      <c r="AK314" s="409">
        <v>0</v>
      </c>
      <c r="AL314" s="409">
        <v>0</v>
      </c>
      <c r="AM314" s="453">
        <f t="shared" si="103"/>
        <v>440</v>
      </c>
      <c r="AN314" s="452"/>
      <c r="AO314" s="452"/>
      <c r="AP314" s="452"/>
      <c r="AQ314" s="452"/>
      <c r="AR314" s="452"/>
      <c r="AS314" s="452"/>
      <c r="AT314" s="452"/>
      <c r="AU314" s="409"/>
      <c r="AV314" s="409"/>
      <c r="AW314" s="409"/>
      <c r="AX314" s="409"/>
      <c r="AY314" s="409"/>
      <c r="AZ314" s="453">
        <f t="shared" si="104"/>
        <v>0</v>
      </c>
      <c r="BA314" s="452"/>
      <c r="BB314" s="452"/>
      <c r="BC314" s="452"/>
      <c r="BD314" s="452"/>
      <c r="BE314" s="452"/>
      <c r="BF314" s="452"/>
      <c r="BG314" s="452"/>
      <c r="BH314" s="409"/>
      <c r="BI314" s="409"/>
      <c r="BJ314" s="409"/>
      <c r="BK314" s="409"/>
      <c r="BL314" s="409"/>
      <c r="BM314" s="453">
        <f t="shared" si="105"/>
        <v>0</v>
      </c>
      <c r="BN314" s="452"/>
      <c r="BO314" s="452"/>
      <c r="BP314" s="452"/>
      <c r="BQ314" s="452"/>
      <c r="BR314" s="452"/>
      <c r="BS314" s="452"/>
      <c r="BT314" s="452"/>
      <c r="BU314" s="409"/>
      <c r="BV314" s="409"/>
      <c r="BW314" s="409"/>
      <c r="BX314" s="409"/>
      <c r="BY314" s="409"/>
      <c r="BZ314" s="453">
        <f t="shared" si="106"/>
        <v>0</v>
      </c>
      <c r="CA314" s="454">
        <f t="shared" si="107"/>
        <v>440</v>
      </c>
      <c r="CB314" s="411"/>
      <c r="CC314" s="411"/>
      <c r="CD314" s="411"/>
      <c r="CE314" s="411"/>
      <c r="CF314" s="411"/>
      <c r="CG314" s="412"/>
      <c r="CH314" s="413"/>
      <c r="CI314" s="414"/>
      <c r="CJ314" s="415"/>
      <c r="CK314" s="415"/>
      <c r="CL314" s="415"/>
      <c r="CM314" s="415"/>
      <c r="CN314" s="415"/>
      <c r="CO314" s="415"/>
      <c r="CP314" s="415"/>
      <c r="CQ314" s="415"/>
      <c r="CR314" s="415"/>
      <c r="CS314" s="415"/>
      <c r="CT314" s="415"/>
      <c r="CU314" s="415"/>
      <c r="CV314" s="410">
        <f t="shared" si="117"/>
        <v>0</v>
      </c>
      <c r="CW314" s="415"/>
      <c r="CX314" s="415"/>
      <c r="CY314" s="415"/>
      <c r="CZ314" s="415"/>
      <c r="DA314" s="415"/>
      <c r="DB314" s="415"/>
      <c r="DC314" s="415"/>
      <c r="DD314" s="415"/>
      <c r="DE314" s="415"/>
      <c r="DF314" s="415"/>
      <c r="DG314" s="415"/>
      <c r="DH314" s="415"/>
      <c r="DI314" s="410">
        <f t="shared" si="118"/>
        <v>0</v>
      </c>
      <c r="DJ314" s="415"/>
      <c r="DK314" s="415"/>
      <c r="DL314" s="415"/>
      <c r="DM314" s="415"/>
      <c r="DN314" s="415"/>
      <c r="DO314" s="415"/>
      <c r="DP314" s="415"/>
      <c r="DQ314" s="415"/>
      <c r="DR314" s="415"/>
      <c r="DS314" s="415"/>
      <c r="DT314" s="415"/>
      <c r="DU314" s="415"/>
      <c r="DV314" s="410">
        <f t="shared" si="119"/>
        <v>0</v>
      </c>
      <c r="DW314" s="415"/>
      <c r="DX314" s="415"/>
      <c r="DY314" s="415"/>
      <c r="DZ314" s="415"/>
      <c r="EA314" s="415"/>
      <c r="EB314" s="415"/>
      <c r="EC314" s="415"/>
      <c r="ED314" s="415"/>
      <c r="EE314" s="415"/>
      <c r="EF314" s="415"/>
      <c r="EG314" s="415"/>
      <c r="EH314" s="415"/>
      <c r="EI314" s="410">
        <f t="shared" si="120"/>
        <v>0</v>
      </c>
      <c r="EJ314" s="415"/>
      <c r="EK314" s="415"/>
      <c r="EL314" s="415"/>
      <c r="EM314" s="415"/>
      <c r="EN314" s="415"/>
      <c r="EO314" s="415"/>
      <c r="EP314" s="415"/>
      <c r="EQ314" s="415"/>
      <c r="ER314" s="415"/>
      <c r="ES314" s="415"/>
      <c r="ET314" s="415"/>
      <c r="EU314" s="415"/>
      <c r="EV314" s="410">
        <f t="shared" si="121"/>
        <v>0</v>
      </c>
      <c r="EW314" s="416">
        <f t="shared" si="122"/>
        <v>0</v>
      </c>
      <c r="EX314" s="417">
        <f>IFERROR(VLOOKUP(H314,CEI_012018!$A$1:$U$509,9,FALSE),0)</f>
        <v>0</v>
      </c>
      <c r="EY314" s="417">
        <f>IFERROR(VLOOKUP(H314,CEI_022018!$A$1:$U$509,9,FALSE),0)</f>
        <v>0</v>
      </c>
      <c r="EZ314" s="417">
        <f>IFERROR(VLOOKUP(H314,CEI_032018!$A$1:$U$509,9,FALSE),0)</f>
        <v>0</v>
      </c>
      <c r="FA314" s="417">
        <f>IFERROR(VLOOKUP(H314,CEI_042018!$A$1:$U$491,9,FALSE),0)</f>
        <v>0</v>
      </c>
      <c r="FB314" s="417">
        <f>IFERROR(VLOOKUP(H314,CEI_052018!$A$1:$U$489,9,FALSE),0)</f>
        <v>0</v>
      </c>
      <c r="FC314" s="417">
        <f>IFERROR(VLOOKUP(H314,CEI_062018!$A$1:$U$489,9,FALSE),0)</f>
        <v>0</v>
      </c>
      <c r="FD314" s="417">
        <f>IFERROR(VLOOKUP(H314,CEI_072018!$A$1:$U$489,9,FALSE),0)</f>
        <v>0</v>
      </c>
      <c r="FE314" s="417">
        <f>IFERROR(VLOOKUP(H314,CEI_082018!$A$1:$U$489,9,FALSE),0)</f>
        <v>0</v>
      </c>
      <c r="FF314" s="417">
        <f>IFERROR(VLOOKUP(H314,CEI_092018!$A$1:$U$489,9,FALSE),0)</f>
        <v>0</v>
      </c>
      <c r="FG314" s="417"/>
      <c r="FH314" s="417"/>
      <c r="FI314" s="417"/>
      <c r="FJ314" s="418">
        <f>IFERROR(VLOOKUP(H314,CEI_092018!$A$1:$U$489,12,FALSE),0)</f>
        <v>0</v>
      </c>
      <c r="FK314" s="418">
        <f t="shared" si="123"/>
        <v>0</v>
      </c>
      <c r="FL314" s="418">
        <f t="shared" si="124"/>
        <v>0</v>
      </c>
      <c r="FM314" s="417"/>
      <c r="FN314" s="417"/>
      <c r="FO314" s="417"/>
      <c r="FP314" s="417"/>
      <c r="FQ314" s="417"/>
      <c r="FR314" s="417"/>
      <c r="FS314" s="417"/>
      <c r="FT314" s="417"/>
      <c r="FU314" s="417"/>
      <c r="FV314" s="417"/>
      <c r="FW314" s="417"/>
      <c r="FX314" s="417"/>
      <c r="FY314" s="418"/>
      <c r="FZ314" s="418"/>
      <c r="GA314" s="418"/>
      <c r="GB314" s="417"/>
      <c r="GC314" s="417"/>
      <c r="GD314" s="417"/>
      <c r="GE314" s="417"/>
      <c r="GF314" s="417"/>
      <c r="GG314" s="417"/>
      <c r="GH314" s="417"/>
      <c r="GI314" s="417"/>
      <c r="GJ314" s="417"/>
      <c r="GK314" s="417"/>
      <c r="GL314" s="417"/>
      <c r="GM314" s="417"/>
      <c r="GN314" s="418"/>
      <c r="GO314" s="418"/>
      <c r="GP314" s="418"/>
      <c r="GQ314" s="417"/>
      <c r="GR314" s="417"/>
      <c r="GS314" s="417"/>
      <c r="GT314" s="417"/>
      <c r="GU314" s="417"/>
      <c r="GV314" s="417"/>
      <c r="GW314" s="417"/>
      <c r="GX314" s="417"/>
      <c r="GY314" s="417"/>
      <c r="GZ314" s="417"/>
      <c r="HA314" s="417"/>
      <c r="HB314" s="417"/>
      <c r="HC314" s="418"/>
      <c r="HD314" s="418"/>
      <c r="HE314" s="418"/>
      <c r="HF314" s="417"/>
      <c r="HG314" s="417"/>
      <c r="HH314" s="417"/>
      <c r="HI314" s="417"/>
      <c r="HJ314" s="417"/>
      <c r="HK314" s="417"/>
      <c r="HL314" s="417"/>
      <c r="HM314" s="417"/>
      <c r="HN314" s="417"/>
      <c r="HO314" s="417"/>
      <c r="HP314" s="417"/>
      <c r="HQ314" s="417"/>
      <c r="HR314" s="418"/>
      <c r="HS314" s="418"/>
      <c r="HT314" s="418"/>
    </row>
    <row r="315" spans="1:228" s="387" customFormat="1" ht="12.75" customHeight="1" x14ac:dyDescent="0.2">
      <c r="A315" s="406" t="s">
        <v>55</v>
      </c>
      <c r="B315" s="407" t="s">
        <v>42</v>
      </c>
      <c r="C315" s="406" t="s">
        <v>297</v>
      </c>
      <c r="D315" s="407" t="s">
        <v>1007</v>
      </c>
      <c r="E315" s="407" t="s">
        <v>297</v>
      </c>
      <c r="F315" s="407" t="s">
        <v>1007</v>
      </c>
      <c r="G315" s="406" t="s">
        <v>54</v>
      </c>
      <c r="H315" s="408" t="s">
        <v>520</v>
      </c>
      <c r="I315" s="408" t="s">
        <v>57</v>
      </c>
      <c r="J315" s="406" t="s">
        <v>1516</v>
      </c>
      <c r="K315" s="406"/>
      <c r="L315" s="406"/>
      <c r="M315" s="406" t="s">
        <v>1779</v>
      </c>
      <c r="N315" s="452">
        <v>0</v>
      </c>
      <c r="O315" s="452">
        <v>0</v>
      </c>
      <c r="P315" s="452">
        <v>0</v>
      </c>
      <c r="Q315" s="452">
        <v>0</v>
      </c>
      <c r="R315" s="452">
        <v>0</v>
      </c>
      <c r="S315" s="452">
        <v>0</v>
      </c>
      <c r="T315" s="452">
        <v>0</v>
      </c>
      <c r="U315" s="409">
        <v>0</v>
      </c>
      <c r="V315" s="409">
        <v>0</v>
      </c>
      <c r="W315" s="409">
        <v>0</v>
      </c>
      <c r="X315" s="409">
        <v>0</v>
      </c>
      <c r="Y315" s="409">
        <v>0</v>
      </c>
      <c r="Z315" s="453">
        <f t="shared" si="108"/>
        <v>0</v>
      </c>
      <c r="AA315" s="452">
        <v>0</v>
      </c>
      <c r="AB315" s="452">
        <v>0</v>
      </c>
      <c r="AC315" s="452">
        <v>0</v>
      </c>
      <c r="AD315" s="452">
        <v>0</v>
      </c>
      <c r="AE315" s="452">
        <v>0</v>
      </c>
      <c r="AF315" s="452">
        <v>0</v>
      </c>
      <c r="AG315" s="452">
        <v>0</v>
      </c>
      <c r="AH315" s="409">
        <v>523</v>
      </c>
      <c r="AI315" s="409">
        <v>0</v>
      </c>
      <c r="AJ315" s="409">
        <v>0</v>
      </c>
      <c r="AK315" s="409">
        <v>0</v>
      </c>
      <c r="AL315" s="409">
        <v>0</v>
      </c>
      <c r="AM315" s="453">
        <f t="shared" si="103"/>
        <v>523</v>
      </c>
      <c r="AN315" s="452">
        <v>0</v>
      </c>
      <c r="AO315" s="452">
        <v>0</v>
      </c>
      <c r="AP315" s="452">
        <v>0</v>
      </c>
      <c r="AQ315" s="452">
        <v>0</v>
      </c>
      <c r="AR315" s="452">
        <v>0</v>
      </c>
      <c r="AS315" s="452">
        <v>0</v>
      </c>
      <c r="AT315" s="452">
        <v>0</v>
      </c>
      <c r="AU315" s="409">
        <v>0</v>
      </c>
      <c r="AV315" s="409">
        <v>0</v>
      </c>
      <c r="AW315" s="409">
        <v>0</v>
      </c>
      <c r="AX315" s="409">
        <v>0</v>
      </c>
      <c r="AY315" s="409">
        <v>0</v>
      </c>
      <c r="AZ315" s="453">
        <f t="shared" si="104"/>
        <v>0</v>
      </c>
      <c r="BA315" s="452">
        <v>0</v>
      </c>
      <c r="BB315" s="452">
        <v>0</v>
      </c>
      <c r="BC315" s="452">
        <v>0</v>
      </c>
      <c r="BD315" s="452">
        <v>0</v>
      </c>
      <c r="BE315" s="452">
        <v>0</v>
      </c>
      <c r="BF315" s="452">
        <v>0</v>
      </c>
      <c r="BG315" s="452">
        <v>0</v>
      </c>
      <c r="BH315" s="409">
        <v>0</v>
      </c>
      <c r="BI315" s="409">
        <v>0</v>
      </c>
      <c r="BJ315" s="409">
        <v>0</v>
      </c>
      <c r="BK315" s="409">
        <v>0</v>
      </c>
      <c r="BL315" s="409">
        <v>0</v>
      </c>
      <c r="BM315" s="453">
        <f t="shared" si="105"/>
        <v>0</v>
      </c>
      <c r="BN315" s="452"/>
      <c r="BO315" s="452"/>
      <c r="BP315" s="452"/>
      <c r="BQ315" s="452"/>
      <c r="BR315" s="452"/>
      <c r="BS315" s="452"/>
      <c r="BT315" s="452"/>
      <c r="BU315" s="409"/>
      <c r="BV315" s="409"/>
      <c r="BW315" s="409"/>
      <c r="BX315" s="409"/>
      <c r="BY315" s="409"/>
      <c r="BZ315" s="453">
        <f t="shared" si="106"/>
        <v>0</v>
      </c>
      <c r="CA315" s="454">
        <f t="shared" si="107"/>
        <v>523</v>
      </c>
      <c r="CB315" s="411"/>
      <c r="CC315" s="411"/>
      <c r="CD315" s="411"/>
      <c r="CE315" s="411"/>
      <c r="CF315" s="411"/>
      <c r="CG315" s="412"/>
      <c r="CH315" s="413"/>
      <c r="CI315" s="414" t="s">
        <v>1624</v>
      </c>
      <c r="CJ315" s="415">
        <v>0</v>
      </c>
      <c r="CK315" s="415">
        <v>0</v>
      </c>
      <c r="CL315" s="415">
        <v>0</v>
      </c>
      <c r="CM315" s="415">
        <v>0</v>
      </c>
      <c r="CN315" s="415">
        <v>0</v>
      </c>
      <c r="CO315" s="415">
        <v>0</v>
      </c>
      <c r="CP315" s="415">
        <v>0</v>
      </c>
      <c r="CQ315" s="415">
        <v>0</v>
      </c>
      <c r="CR315" s="415">
        <v>0</v>
      </c>
      <c r="CS315" s="415">
        <v>0</v>
      </c>
      <c r="CT315" s="415">
        <v>0</v>
      </c>
      <c r="CU315" s="415">
        <v>0</v>
      </c>
      <c r="CV315" s="410">
        <f t="shared" si="117"/>
        <v>0</v>
      </c>
      <c r="CW315" s="415">
        <v>0</v>
      </c>
      <c r="CX315" s="415">
        <v>0</v>
      </c>
      <c r="CY315" s="415">
        <v>0</v>
      </c>
      <c r="CZ315" s="415">
        <v>0</v>
      </c>
      <c r="DA315" s="415">
        <v>0</v>
      </c>
      <c r="DB315" s="415">
        <v>0</v>
      </c>
      <c r="DC315" s="415">
        <v>0</v>
      </c>
      <c r="DD315" s="415">
        <v>1</v>
      </c>
      <c r="DE315" s="415">
        <v>0</v>
      </c>
      <c r="DF315" s="415">
        <v>0</v>
      </c>
      <c r="DG315" s="415">
        <v>0</v>
      </c>
      <c r="DH315" s="415">
        <v>0</v>
      </c>
      <c r="DI315" s="410">
        <f t="shared" si="118"/>
        <v>1</v>
      </c>
      <c r="DJ315" s="415">
        <v>0</v>
      </c>
      <c r="DK315" s="415">
        <v>0</v>
      </c>
      <c r="DL315" s="415">
        <v>0</v>
      </c>
      <c r="DM315" s="415">
        <v>0</v>
      </c>
      <c r="DN315" s="415">
        <v>0</v>
      </c>
      <c r="DO315" s="415">
        <v>0</v>
      </c>
      <c r="DP315" s="415">
        <v>0</v>
      </c>
      <c r="DQ315" s="415">
        <v>0</v>
      </c>
      <c r="DR315" s="415">
        <v>0</v>
      </c>
      <c r="DS315" s="415">
        <v>0</v>
      </c>
      <c r="DT315" s="415">
        <v>0</v>
      </c>
      <c r="DU315" s="415">
        <v>0</v>
      </c>
      <c r="DV315" s="410">
        <f t="shared" si="119"/>
        <v>0</v>
      </c>
      <c r="DW315" s="415">
        <v>0</v>
      </c>
      <c r="DX315" s="415">
        <v>0</v>
      </c>
      <c r="DY315" s="415">
        <v>0</v>
      </c>
      <c r="DZ315" s="415">
        <v>0</v>
      </c>
      <c r="EA315" s="415">
        <v>0</v>
      </c>
      <c r="EB315" s="415">
        <v>0</v>
      </c>
      <c r="EC315" s="415">
        <v>0</v>
      </c>
      <c r="ED315" s="415">
        <v>0</v>
      </c>
      <c r="EE315" s="415">
        <v>0</v>
      </c>
      <c r="EF315" s="415">
        <v>0</v>
      </c>
      <c r="EG315" s="415">
        <v>0</v>
      </c>
      <c r="EH315" s="415">
        <v>0</v>
      </c>
      <c r="EI315" s="410">
        <f t="shared" si="120"/>
        <v>0</v>
      </c>
      <c r="EJ315" s="415">
        <v>0</v>
      </c>
      <c r="EK315" s="415">
        <v>0</v>
      </c>
      <c r="EL315" s="415">
        <v>0</v>
      </c>
      <c r="EM315" s="415">
        <v>0</v>
      </c>
      <c r="EN315" s="415">
        <v>0</v>
      </c>
      <c r="EO315" s="415">
        <v>0</v>
      </c>
      <c r="EP315" s="415">
        <v>0</v>
      </c>
      <c r="EQ315" s="415">
        <v>0</v>
      </c>
      <c r="ER315" s="415">
        <v>0</v>
      </c>
      <c r="ES315" s="415">
        <v>0</v>
      </c>
      <c r="ET315" s="415">
        <v>0</v>
      </c>
      <c r="EU315" s="415">
        <v>0</v>
      </c>
      <c r="EV315" s="410">
        <f t="shared" si="121"/>
        <v>0</v>
      </c>
      <c r="EW315" s="416">
        <f t="shared" si="122"/>
        <v>1</v>
      </c>
      <c r="EX315" s="417">
        <f>IFERROR(VLOOKUP(H315,CEI_012018!$A$1:$U$509,9,FALSE),0)</f>
        <v>0</v>
      </c>
      <c r="EY315" s="417">
        <f>IFERROR(VLOOKUP(H315,CEI_022018!$A$1:$U$509,9,FALSE),0)</f>
        <v>0</v>
      </c>
      <c r="EZ315" s="417">
        <f>IFERROR(VLOOKUP(H315,CEI_032018!$A$1:$U$509,9,FALSE),0)</f>
        <v>0</v>
      </c>
      <c r="FA315" s="417">
        <f>IFERROR(VLOOKUP(H315,CEI_042018!$A$1:$U$491,9,FALSE),0)</f>
        <v>0</v>
      </c>
      <c r="FB315" s="417">
        <f>IFERROR(VLOOKUP(H315,CEI_052018!$A$1:$U$489,9,FALSE),0)</f>
        <v>0</v>
      </c>
      <c r="FC315" s="417">
        <f>IFERROR(VLOOKUP(H315,CEI_062018!$A$1:$U$489,9,FALSE),0)</f>
        <v>0</v>
      </c>
      <c r="FD315" s="417">
        <f>IFERROR(VLOOKUP(H315,CEI_072018!$A$1:$U$489,9,FALSE),0)</f>
        <v>0</v>
      </c>
      <c r="FE315" s="417">
        <f>IFERROR(VLOOKUP(H315,CEI_082018!$A$1:$U$489,9,FALSE),0)</f>
        <v>0</v>
      </c>
      <c r="FF315" s="417">
        <f>IFERROR(VLOOKUP(H315,CEI_092018!$A$1:$U$489,9,FALSE),0)</f>
        <v>0</v>
      </c>
      <c r="FG315" s="417"/>
      <c r="FH315" s="417"/>
      <c r="FI315" s="417"/>
      <c r="FJ315" s="418">
        <f>IFERROR(VLOOKUP(H315,CEI_092018!$A$1:$U$489,12,FALSE),0)</f>
        <v>0</v>
      </c>
      <c r="FK315" s="418">
        <f t="shared" si="123"/>
        <v>0</v>
      </c>
      <c r="FL315" s="418">
        <f t="shared" si="124"/>
        <v>0</v>
      </c>
      <c r="FM315" s="417"/>
      <c r="FN315" s="417"/>
      <c r="FO315" s="417"/>
      <c r="FP315" s="417"/>
      <c r="FQ315" s="417"/>
      <c r="FR315" s="417"/>
      <c r="FS315" s="417"/>
      <c r="FT315" s="417"/>
      <c r="FU315" s="417"/>
      <c r="FV315" s="417"/>
      <c r="FW315" s="417"/>
      <c r="FX315" s="417"/>
      <c r="FY315" s="418"/>
      <c r="FZ315" s="418"/>
      <c r="GA315" s="418"/>
      <c r="GB315" s="417"/>
      <c r="GC315" s="417"/>
      <c r="GD315" s="417"/>
      <c r="GE315" s="417"/>
      <c r="GF315" s="417"/>
      <c r="GG315" s="417"/>
      <c r="GH315" s="417"/>
      <c r="GI315" s="417"/>
      <c r="GJ315" s="417"/>
      <c r="GK315" s="417"/>
      <c r="GL315" s="417"/>
      <c r="GM315" s="417"/>
      <c r="GN315" s="418"/>
      <c r="GO315" s="418"/>
      <c r="GP315" s="418"/>
      <c r="GQ315" s="417"/>
      <c r="GR315" s="417"/>
      <c r="GS315" s="417"/>
      <c r="GT315" s="417"/>
      <c r="GU315" s="417"/>
      <c r="GV315" s="417"/>
      <c r="GW315" s="417"/>
      <c r="GX315" s="417"/>
      <c r="GY315" s="417"/>
      <c r="GZ315" s="417"/>
      <c r="HA315" s="417"/>
      <c r="HB315" s="417"/>
      <c r="HC315" s="418"/>
      <c r="HD315" s="418"/>
      <c r="HE315" s="418"/>
      <c r="HF315" s="417"/>
      <c r="HG315" s="417"/>
      <c r="HH315" s="417"/>
      <c r="HI315" s="417"/>
      <c r="HJ315" s="417"/>
      <c r="HK315" s="417"/>
      <c r="HL315" s="417"/>
      <c r="HM315" s="417"/>
      <c r="HN315" s="417"/>
      <c r="HO315" s="417"/>
      <c r="HP315" s="417"/>
      <c r="HQ315" s="417"/>
      <c r="HR315" s="418"/>
      <c r="HS315" s="418"/>
      <c r="HT315" s="418"/>
    </row>
    <row r="316" spans="1:228" s="296" customFormat="1" x14ac:dyDescent="0.25">
      <c r="A316" s="397"/>
      <c r="B316" s="397"/>
      <c r="C316" s="397"/>
      <c r="D316" s="397"/>
      <c r="E316" s="397"/>
      <c r="F316" s="397"/>
      <c r="G316" s="397"/>
      <c r="H316" s="397"/>
      <c r="I316" s="397"/>
      <c r="J316" s="398"/>
      <c r="K316" s="398"/>
      <c r="L316" s="398"/>
      <c r="M316" s="398"/>
      <c r="N316" s="455">
        <f t="shared" ref="N316:T316" si="126">SUBTOTAL(9,N2:N315)</f>
        <v>-241.37960529327393</v>
      </c>
      <c r="O316" s="455">
        <f t="shared" si="126"/>
        <v>1270.9514389038086</v>
      </c>
      <c r="P316" s="455">
        <f t="shared" si="126"/>
        <v>3461.1459035873413</v>
      </c>
      <c r="Q316" s="455">
        <f t="shared" si="126"/>
        <v>2635.4361370801926</v>
      </c>
      <c r="R316" s="455">
        <f t="shared" si="126"/>
        <v>2106.5474015474319</v>
      </c>
      <c r="S316" s="455">
        <f t="shared" si="126"/>
        <v>1568.4393085241318</v>
      </c>
      <c r="T316" s="455">
        <f t="shared" si="126"/>
        <v>2637.0610785484314</v>
      </c>
      <c r="U316" s="455">
        <f t="shared" ref="U316:AZ316" si="127">SUBTOTAL(9,U2:U315)</f>
        <v>1656.4039854556322</v>
      </c>
      <c r="V316" s="455">
        <f t="shared" si="127"/>
        <v>3817.781299829941</v>
      </c>
      <c r="W316" s="455">
        <f t="shared" si="127"/>
        <v>4332.2218600350952</v>
      </c>
      <c r="X316" s="455">
        <f t="shared" si="127"/>
        <v>11485.164282585449</v>
      </c>
      <c r="Y316" s="455">
        <f t="shared" si="127"/>
        <v>42207.570118891519</v>
      </c>
      <c r="Z316" s="455">
        <f t="shared" si="127"/>
        <v>76937.343209695697</v>
      </c>
      <c r="AA316" s="455">
        <f t="shared" si="127"/>
        <v>4827.4619400000001</v>
      </c>
      <c r="AB316" s="455">
        <f t="shared" si="127"/>
        <v>4373.3770199999999</v>
      </c>
      <c r="AC316" s="455">
        <f t="shared" si="127"/>
        <v>8761.878441428571</v>
      </c>
      <c r="AD316" s="455">
        <f t="shared" si="127"/>
        <v>21621.283700000004</v>
      </c>
      <c r="AE316" s="455">
        <f t="shared" si="127"/>
        <v>4365.6624375000001</v>
      </c>
      <c r="AF316" s="455">
        <f t="shared" si="127"/>
        <v>6853.2280475000007</v>
      </c>
      <c r="AG316" s="455">
        <f t="shared" si="127"/>
        <v>12640.897598390116</v>
      </c>
      <c r="AH316" s="455">
        <f t="shared" si="127"/>
        <v>6974.6917570578016</v>
      </c>
      <c r="AI316" s="455">
        <f t="shared" si="127"/>
        <v>7757.3870474999994</v>
      </c>
      <c r="AJ316" s="455">
        <f t="shared" si="127"/>
        <v>3997.3350225193403</v>
      </c>
      <c r="AK316" s="455">
        <f t="shared" si="127"/>
        <v>3899.5220475000001</v>
      </c>
      <c r="AL316" s="455">
        <f t="shared" si="127"/>
        <v>7771.1017875238413</v>
      </c>
      <c r="AM316" s="455">
        <f t="shared" si="127"/>
        <v>93843.826846919677</v>
      </c>
      <c r="AN316" s="455">
        <f t="shared" si="127"/>
        <v>6183.5153474999997</v>
      </c>
      <c r="AO316" s="455">
        <f t="shared" si="127"/>
        <v>7602.525347499999</v>
      </c>
      <c r="AP316" s="455">
        <f t="shared" si="127"/>
        <v>8779.395517500001</v>
      </c>
      <c r="AQ316" s="455">
        <f t="shared" si="127"/>
        <v>3691.4098475000001</v>
      </c>
      <c r="AR316" s="455">
        <f t="shared" si="127"/>
        <v>3775.0598474999997</v>
      </c>
      <c r="AS316" s="455">
        <f t="shared" si="127"/>
        <v>3475.4548475000001</v>
      </c>
      <c r="AT316" s="455">
        <f t="shared" si="127"/>
        <v>6748.2341874761569</v>
      </c>
      <c r="AU316" s="455">
        <f t="shared" si="127"/>
        <v>4537.6813475000008</v>
      </c>
      <c r="AV316" s="455">
        <f t="shared" si="127"/>
        <v>7317.5923475</v>
      </c>
      <c r="AW316" s="455">
        <f t="shared" si="127"/>
        <v>6638.3723474999997</v>
      </c>
      <c r="AX316" s="455">
        <f t="shared" si="127"/>
        <v>7737.1498416610002</v>
      </c>
      <c r="AY316" s="455">
        <f t="shared" si="127"/>
        <v>5046.8002299583468</v>
      </c>
      <c r="AZ316" s="455">
        <f t="shared" si="127"/>
        <v>71533.191056595504</v>
      </c>
      <c r="BA316" s="455">
        <f t="shared" ref="BA316:CA316" si="128">SUBTOTAL(9,BA2:BA315)</f>
        <v>2256.056</v>
      </c>
      <c r="BB316" s="455">
        <f t="shared" si="128"/>
        <v>2741.0659999999998</v>
      </c>
      <c r="BC316" s="455">
        <f t="shared" si="128"/>
        <v>4348.1959999999999</v>
      </c>
      <c r="BD316" s="455">
        <f t="shared" si="128"/>
        <v>1556.038</v>
      </c>
      <c r="BE316" s="455">
        <f t="shared" si="128"/>
        <v>7331.5380000000005</v>
      </c>
      <c r="BF316" s="455">
        <f t="shared" si="128"/>
        <v>9996.1303481794766</v>
      </c>
      <c r="BG316" s="455">
        <f t="shared" si="128"/>
        <v>2679.5</v>
      </c>
      <c r="BH316" s="455">
        <f t="shared" si="128"/>
        <v>7645.5</v>
      </c>
      <c r="BI316" s="455">
        <f t="shared" si="128"/>
        <v>4641.5</v>
      </c>
      <c r="BJ316" s="455">
        <f t="shared" si="128"/>
        <v>6617.5</v>
      </c>
      <c r="BK316" s="455">
        <f t="shared" si="128"/>
        <v>6538.7690000000002</v>
      </c>
      <c r="BL316" s="455">
        <f t="shared" si="128"/>
        <v>4712.5</v>
      </c>
      <c r="BM316" s="455">
        <f t="shared" si="128"/>
        <v>61064.293348179475</v>
      </c>
      <c r="BN316" s="455">
        <f t="shared" si="128"/>
        <v>1217.5</v>
      </c>
      <c r="BO316" s="455">
        <f t="shared" si="128"/>
        <v>2097.5</v>
      </c>
      <c r="BP316" s="455">
        <f t="shared" si="128"/>
        <v>1554.5</v>
      </c>
      <c r="BQ316" s="455">
        <f t="shared" si="128"/>
        <v>1472.5</v>
      </c>
      <c r="BR316" s="455">
        <f t="shared" si="128"/>
        <v>3375.3</v>
      </c>
      <c r="BS316" s="455">
        <f t="shared" si="128"/>
        <v>2828.5</v>
      </c>
      <c r="BT316" s="455">
        <f t="shared" si="128"/>
        <v>1935.5</v>
      </c>
      <c r="BU316" s="455">
        <f t="shared" si="128"/>
        <v>10108.54031913777</v>
      </c>
      <c r="BV316" s="455">
        <f t="shared" si="128"/>
        <v>11975.124356804889</v>
      </c>
      <c r="BW316" s="455">
        <f t="shared" si="128"/>
        <v>3557.5</v>
      </c>
      <c r="BX316" s="455">
        <f t="shared" si="128"/>
        <v>5170.2280000000001</v>
      </c>
      <c r="BY316" s="455">
        <f t="shared" si="128"/>
        <v>8054.2895126580579</v>
      </c>
      <c r="BZ316" s="455">
        <f t="shared" si="128"/>
        <v>53346.982188600734</v>
      </c>
      <c r="CA316" s="459">
        <f t="shared" si="128"/>
        <v>356725.63664999098</v>
      </c>
      <c r="CB316" s="397"/>
      <c r="CC316" s="397"/>
      <c r="CD316" s="397"/>
      <c r="CE316" s="397"/>
      <c r="CF316" s="397"/>
      <c r="CG316" s="397"/>
      <c r="CH316" s="397"/>
      <c r="CI316" s="397">
        <f t="shared" ref="CI316:DM316" si="129">SUBTOTAL(9,CI2:CI315)</f>
        <v>0</v>
      </c>
      <c r="CJ316" s="397">
        <f t="shared" si="129"/>
        <v>46.005306451612903</v>
      </c>
      <c r="CK316" s="397">
        <f t="shared" si="129"/>
        <v>1446.8445416467357</v>
      </c>
      <c r="CL316" s="397">
        <f t="shared" si="129"/>
        <v>1677.6066738048121</v>
      </c>
      <c r="CM316" s="397">
        <f t="shared" si="129"/>
        <v>1673.6289064679445</v>
      </c>
      <c r="CN316" s="397">
        <f t="shared" si="129"/>
        <v>1398.9779497059553</v>
      </c>
      <c r="CO316" s="397">
        <f t="shared" si="129"/>
        <v>1544.7380699432492</v>
      </c>
      <c r="CP316" s="397">
        <f t="shared" si="129"/>
        <v>1506.8183088687886</v>
      </c>
      <c r="CQ316" s="397">
        <f t="shared" si="129"/>
        <v>2722.7200944323622</v>
      </c>
      <c r="CR316" s="397">
        <f t="shared" si="129"/>
        <v>8573.3094479310221</v>
      </c>
      <c r="CS316" s="397">
        <f t="shared" si="129"/>
        <v>8426.8365505895545</v>
      </c>
      <c r="CT316" s="397">
        <f t="shared" si="129"/>
        <v>8577.0706383920478</v>
      </c>
      <c r="CU316" s="397">
        <f t="shared" si="129"/>
        <v>10698.507598459148</v>
      </c>
      <c r="CV316" s="397">
        <f t="shared" si="129"/>
        <v>48293.06408669323</v>
      </c>
      <c r="CW316" s="397">
        <f t="shared" si="129"/>
        <v>8892.1266077462515</v>
      </c>
      <c r="CX316" s="397">
        <f t="shared" si="129"/>
        <v>1649.8322484425369</v>
      </c>
      <c r="CY316" s="397">
        <f t="shared" si="129"/>
        <v>2277.0913532410555</v>
      </c>
      <c r="CZ316" s="397">
        <f t="shared" si="129"/>
        <v>8155.4519677818871</v>
      </c>
      <c r="DA316" s="397">
        <f t="shared" si="129"/>
        <v>1800.655292467763</v>
      </c>
      <c r="DB316" s="397">
        <f t="shared" si="129"/>
        <v>2276.6156753901305</v>
      </c>
      <c r="DC316" s="397">
        <f t="shared" si="129"/>
        <v>8271.9120989783041</v>
      </c>
      <c r="DD316" s="397">
        <f t="shared" si="129"/>
        <v>8341.7532911840663</v>
      </c>
      <c r="DE316" s="397">
        <f t="shared" si="129"/>
        <v>8633.08092676052</v>
      </c>
      <c r="DF316" s="397">
        <f t="shared" si="129"/>
        <v>7817.1924608227046</v>
      </c>
      <c r="DG316" s="397">
        <f t="shared" si="129"/>
        <v>8094.530743153714</v>
      </c>
      <c r="DH316" s="397">
        <f t="shared" si="129"/>
        <v>11287.853504148132</v>
      </c>
      <c r="DI316" s="397">
        <f t="shared" si="129"/>
        <v>77535.09617011706</v>
      </c>
      <c r="DJ316" s="397">
        <f t="shared" si="129"/>
        <v>956.4423440295767</v>
      </c>
      <c r="DK316" s="397">
        <f t="shared" si="129"/>
        <v>1483.7773898730059</v>
      </c>
      <c r="DL316" s="397">
        <f t="shared" si="129"/>
        <v>1478.4157435193774</v>
      </c>
      <c r="DM316" s="397">
        <f t="shared" si="129"/>
        <v>1919.5804581129009</v>
      </c>
      <c r="DN316" s="397">
        <f t="shared" ref="DN316:ES316" si="130">SUBTOTAL(9,DN2:DN315)</f>
        <v>1589.0524211353836</v>
      </c>
      <c r="DO316" s="397">
        <f t="shared" si="130"/>
        <v>1885.1422878934027</v>
      </c>
      <c r="DP316" s="397">
        <f t="shared" si="130"/>
        <v>7853.4024029990069</v>
      </c>
      <c r="DQ316" s="397">
        <f t="shared" si="130"/>
        <v>8145.4210657043168</v>
      </c>
      <c r="DR316" s="397">
        <f t="shared" si="130"/>
        <v>8011.4943485579333</v>
      </c>
      <c r="DS316" s="397">
        <f t="shared" si="130"/>
        <v>7810.8269089078403</v>
      </c>
      <c r="DT316" s="397">
        <f t="shared" si="130"/>
        <v>8657.5830191811056</v>
      </c>
      <c r="DU316" s="397">
        <f t="shared" si="130"/>
        <v>9241.0596324642484</v>
      </c>
      <c r="DV316" s="397">
        <f t="shared" si="130"/>
        <v>59032.198022378092</v>
      </c>
      <c r="DW316" s="397">
        <f t="shared" si="130"/>
        <v>1255.5865569440691</v>
      </c>
      <c r="DX316" s="397">
        <f t="shared" si="130"/>
        <v>1252.5853678443641</v>
      </c>
      <c r="DY316" s="397">
        <f t="shared" si="130"/>
        <v>2097.2857681868172</v>
      </c>
      <c r="DZ316" s="397">
        <f t="shared" si="130"/>
        <v>1334.5965622693159</v>
      </c>
      <c r="EA316" s="397">
        <f t="shared" si="130"/>
        <v>1532.7971959878082</v>
      </c>
      <c r="EB316" s="397">
        <f t="shared" si="130"/>
        <v>1984.5770195074253</v>
      </c>
      <c r="EC316" s="397">
        <f t="shared" si="130"/>
        <v>8053.7623489742618</v>
      </c>
      <c r="ED316" s="397">
        <f t="shared" si="130"/>
        <v>8040.5411593115678</v>
      </c>
      <c r="EE316" s="397">
        <f t="shared" si="130"/>
        <v>7863.5779701569572</v>
      </c>
      <c r="EF316" s="397">
        <f t="shared" si="130"/>
        <v>7986.2017689786953</v>
      </c>
      <c r="EG316" s="397">
        <f t="shared" si="130"/>
        <v>7894.3130940210094</v>
      </c>
      <c r="EH316" s="397">
        <f t="shared" si="130"/>
        <v>8541.2825309332238</v>
      </c>
      <c r="EI316" s="397">
        <f t="shared" si="130"/>
        <v>57837.107343115516</v>
      </c>
      <c r="EJ316" s="397">
        <f t="shared" si="130"/>
        <v>826.25933041981591</v>
      </c>
      <c r="EK316" s="397">
        <f t="shared" si="130"/>
        <v>970.1143929773956</v>
      </c>
      <c r="EL316" s="397">
        <f t="shared" si="130"/>
        <v>1445.3039635579512</v>
      </c>
      <c r="EM316" s="397">
        <f t="shared" si="130"/>
        <v>1641.0118738336866</v>
      </c>
      <c r="EN316" s="397">
        <f t="shared" si="130"/>
        <v>1297.1383887605848</v>
      </c>
      <c r="EO316" s="397">
        <f t="shared" si="130"/>
        <v>1788.479675841694</v>
      </c>
      <c r="EP316" s="397">
        <f t="shared" si="130"/>
        <v>7412.4082006190301</v>
      </c>
      <c r="EQ316" s="397">
        <f t="shared" si="130"/>
        <v>8865.0107156389986</v>
      </c>
      <c r="ER316" s="397">
        <f t="shared" si="130"/>
        <v>7718.289891653335</v>
      </c>
      <c r="ES316" s="397">
        <f t="shared" si="130"/>
        <v>7681.1653916533351</v>
      </c>
      <c r="ET316" s="397">
        <f t="shared" ref="ET316:HE316" si="131">SUBTOTAL(9,ET2:ET315)</f>
        <v>8098.7182430355842</v>
      </c>
      <c r="EU316" s="397">
        <f t="shared" si="131"/>
        <v>8845.1234137470765</v>
      </c>
      <c r="EV316" s="397">
        <f t="shared" si="131"/>
        <v>56589.023481738499</v>
      </c>
      <c r="EW316" s="397">
        <f t="shared" si="131"/>
        <v>299286.48910404235</v>
      </c>
      <c r="EX316" s="397">
        <f t="shared" si="131"/>
        <v>-241.37960529327393</v>
      </c>
      <c r="EY316" s="397">
        <f t="shared" si="131"/>
        <v>1029.5718336105347</v>
      </c>
      <c r="EZ316" s="397">
        <f t="shared" si="131"/>
        <v>4490.717737197876</v>
      </c>
      <c r="FA316" s="397">
        <f t="shared" si="131"/>
        <v>7126.1538742780685</v>
      </c>
      <c r="FB316" s="397">
        <f t="shared" si="131"/>
        <v>9232.7012758255005</v>
      </c>
      <c r="FC316" s="397">
        <f t="shared" si="131"/>
        <v>10801.140584349632</v>
      </c>
      <c r="FD316" s="397">
        <f t="shared" si="131"/>
        <v>13438.201662898064</v>
      </c>
      <c r="FE316" s="397">
        <f t="shared" si="131"/>
        <v>15094.605648353696</v>
      </c>
      <c r="FF316" s="397">
        <f t="shared" si="131"/>
        <v>17875.075205996633</v>
      </c>
      <c r="FG316" s="397">
        <f t="shared" si="131"/>
        <v>0</v>
      </c>
      <c r="FH316" s="397">
        <f t="shared" si="131"/>
        <v>0</v>
      </c>
      <c r="FI316" s="397">
        <f t="shared" si="131"/>
        <v>0</v>
      </c>
      <c r="FJ316" s="397">
        <f t="shared" si="131"/>
        <v>28339.658150185136</v>
      </c>
      <c r="FK316" s="397">
        <f t="shared" si="131"/>
        <v>46214.733356181765</v>
      </c>
      <c r="FL316" s="397">
        <f t="shared" si="131"/>
        <v>30722.609853513928</v>
      </c>
      <c r="FM316" s="397">
        <f t="shared" si="131"/>
        <v>0</v>
      </c>
      <c r="FN316" s="397">
        <f t="shared" si="131"/>
        <v>0</v>
      </c>
      <c r="FO316" s="397">
        <f t="shared" si="131"/>
        <v>0</v>
      </c>
      <c r="FP316" s="397">
        <f t="shared" si="131"/>
        <v>0</v>
      </c>
      <c r="FQ316" s="397">
        <f t="shared" si="131"/>
        <v>0</v>
      </c>
      <c r="FR316" s="397">
        <f t="shared" si="131"/>
        <v>0</v>
      </c>
      <c r="FS316" s="397">
        <f t="shared" si="131"/>
        <v>0</v>
      </c>
      <c r="FT316" s="397">
        <f t="shared" si="131"/>
        <v>0</v>
      </c>
      <c r="FU316" s="397">
        <f t="shared" si="131"/>
        <v>0</v>
      </c>
      <c r="FV316" s="397">
        <f t="shared" si="131"/>
        <v>0</v>
      </c>
      <c r="FW316" s="397">
        <f t="shared" si="131"/>
        <v>0</v>
      </c>
      <c r="FX316" s="397">
        <f t="shared" si="131"/>
        <v>0</v>
      </c>
      <c r="FY316" s="397">
        <f t="shared" si="131"/>
        <v>0</v>
      </c>
      <c r="FZ316" s="397">
        <f t="shared" si="131"/>
        <v>0</v>
      </c>
      <c r="GA316" s="397">
        <f t="shared" si="131"/>
        <v>0</v>
      </c>
      <c r="GB316" s="397">
        <f t="shared" si="131"/>
        <v>0</v>
      </c>
      <c r="GC316" s="397">
        <f t="shared" si="131"/>
        <v>0</v>
      </c>
      <c r="GD316" s="397">
        <f t="shared" si="131"/>
        <v>0</v>
      </c>
      <c r="GE316" s="397">
        <f t="shared" si="131"/>
        <v>0</v>
      </c>
      <c r="GF316" s="397">
        <f t="shared" si="131"/>
        <v>0</v>
      </c>
      <c r="GG316" s="397">
        <f t="shared" si="131"/>
        <v>0</v>
      </c>
      <c r="GH316" s="397">
        <f t="shared" si="131"/>
        <v>0</v>
      </c>
      <c r="GI316" s="397">
        <f t="shared" si="131"/>
        <v>0</v>
      </c>
      <c r="GJ316" s="397">
        <f t="shared" si="131"/>
        <v>0</v>
      </c>
      <c r="GK316" s="397">
        <f t="shared" si="131"/>
        <v>0</v>
      </c>
      <c r="GL316" s="397">
        <f t="shared" si="131"/>
        <v>0</v>
      </c>
      <c r="GM316" s="397">
        <f t="shared" si="131"/>
        <v>0</v>
      </c>
      <c r="GN316" s="397">
        <f t="shared" si="131"/>
        <v>0</v>
      </c>
      <c r="GO316" s="397">
        <f t="shared" si="131"/>
        <v>0</v>
      </c>
      <c r="GP316" s="397">
        <f t="shared" si="131"/>
        <v>0</v>
      </c>
      <c r="GQ316" s="397">
        <f t="shared" si="131"/>
        <v>0</v>
      </c>
      <c r="GR316" s="397">
        <f t="shared" si="131"/>
        <v>0</v>
      </c>
      <c r="GS316" s="397">
        <f t="shared" si="131"/>
        <v>0</v>
      </c>
      <c r="GT316" s="397">
        <f t="shared" si="131"/>
        <v>0</v>
      </c>
      <c r="GU316" s="397">
        <f t="shared" si="131"/>
        <v>0</v>
      </c>
      <c r="GV316" s="397">
        <f t="shared" si="131"/>
        <v>0</v>
      </c>
      <c r="GW316" s="397">
        <f t="shared" si="131"/>
        <v>0</v>
      </c>
      <c r="GX316" s="397">
        <f t="shared" si="131"/>
        <v>0</v>
      </c>
      <c r="GY316" s="397">
        <f t="shared" si="131"/>
        <v>0</v>
      </c>
      <c r="GZ316" s="397">
        <f t="shared" si="131"/>
        <v>0</v>
      </c>
      <c r="HA316" s="397">
        <f t="shared" si="131"/>
        <v>0</v>
      </c>
      <c r="HB316" s="397">
        <f t="shared" si="131"/>
        <v>0</v>
      </c>
      <c r="HC316" s="397">
        <f t="shared" si="131"/>
        <v>0</v>
      </c>
      <c r="HD316" s="397">
        <f t="shared" si="131"/>
        <v>0</v>
      </c>
      <c r="HE316" s="397">
        <f t="shared" si="131"/>
        <v>0</v>
      </c>
      <c r="HF316" s="397">
        <f t="shared" ref="HF316:HT316" si="132">SUBTOTAL(9,HF2:HF315)</f>
        <v>0</v>
      </c>
      <c r="HG316" s="397">
        <f t="shared" si="132"/>
        <v>0</v>
      </c>
      <c r="HH316" s="397">
        <f t="shared" si="132"/>
        <v>0</v>
      </c>
      <c r="HI316" s="397">
        <f t="shared" si="132"/>
        <v>0</v>
      </c>
      <c r="HJ316" s="397">
        <f t="shared" si="132"/>
        <v>0</v>
      </c>
      <c r="HK316" s="397">
        <f t="shared" si="132"/>
        <v>0</v>
      </c>
      <c r="HL316" s="397">
        <f t="shared" si="132"/>
        <v>0</v>
      </c>
      <c r="HM316" s="397">
        <f t="shared" si="132"/>
        <v>0</v>
      </c>
      <c r="HN316" s="397">
        <f t="shared" si="132"/>
        <v>0</v>
      </c>
      <c r="HO316" s="397">
        <f t="shared" si="132"/>
        <v>0</v>
      </c>
      <c r="HP316" s="397">
        <f t="shared" si="132"/>
        <v>0</v>
      </c>
      <c r="HQ316" s="397">
        <f t="shared" si="132"/>
        <v>0</v>
      </c>
      <c r="HR316" s="397">
        <f t="shared" si="132"/>
        <v>0</v>
      </c>
      <c r="HS316" s="397">
        <f t="shared" si="132"/>
        <v>0</v>
      </c>
      <c r="HT316" s="397">
        <f t="shared" si="132"/>
        <v>0</v>
      </c>
    </row>
    <row r="317" spans="1:228" x14ac:dyDescent="0.25">
      <c r="N317" s="456"/>
      <c r="O317" s="456"/>
      <c r="P317" s="456"/>
      <c r="Q317" s="456"/>
      <c r="R317" s="456"/>
      <c r="S317" s="456"/>
      <c r="T317" s="456"/>
      <c r="U317" s="73"/>
      <c r="V317" s="73"/>
      <c r="W317" s="73"/>
      <c r="X317" s="73"/>
      <c r="Y317" s="73"/>
      <c r="Z317" s="457"/>
      <c r="AA317" s="456"/>
      <c r="AB317" s="456"/>
      <c r="AC317" s="456"/>
      <c r="AD317" s="456"/>
      <c r="AE317" s="456"/>
      <c r="AF317" s="456"/>
      <c r="AG317" s="456"/>
      <c r="AH317" s="73"/>
      <c r="AI317" s="73"/>
      <c r="AJ317" s="73"/>
      <c r="AK317" s="73"/>
      <c r="AL317" s="73"/>
      <c r="AM317" s="457"/>
      <c r="AN317" s="456"/>
      <c r="AO317" s="456"/>
      <c r="AP317" s="456"/>
      <c r="AQ317" s="456"/>
      <c r="AR317" s="456"/>
      <c r="AS317" s="456"/>
      <c r="AT317" s="456"/>
      <c r="AU317" s="73"/>
      <c r="AV317" s="73"/>
      <c r="AW317" s="73"/>
      <c r="AX317" s="73"/>
      <c r="AY317" s="73"/>
      <c r="AZ317" s="457"/>
      <c r="BA317" s="456"/>
      <c r="BB317" s="456"/>
      <c r="BC317" s="456"/>
      <c r="BD317" s="456"/>
      <c r="BE317" s="456"/>
      <c r="BF317" s="456"/>
      <c r="BG317" s="456"/>
      <c r="BH317" s="73"/>
      <c r="BI317" s="73"/>
      <c r="BJ317" s="73"/>
      <c r="BK317" s="73"/>
      <c r="BL317" s="73"/>
      <c r="BM317" s="457"/>
      <c r="BN317" s="456"/>
      <c r="BO317" s="456"/>
      <c r="BP317" s="456"/>
      <c r="BQ317" s="456"/>
      <c r="BR317" s="456"/>
      <c r="BS317" s="456"/>
      <c r="BT317" s="456"/>
      <c r="BU317" s="73"/>
      <c r="BV317" s="73"/>
      <c r="BW317" s="73"/>
      <c r="BX317" s="73"/>
      <c r="BY317" s="73"/>
      <c r="BZ317" s="457"/>
      <c r="CA317" s="460"/>
      <c r="CG317"/>
      <c r="CH317"/>
    </row>
    <row r="318" spans="1:228" x14ac:dyDescent="0.25">
      <c r="N318" s="456"/>
      <c r="O318" s="456"/>
      <c r="P318" s="456"/>
      <c r="Q318" s="456"/>
      <c r="R318" s="456"/>
      <c r="S318" s="456"/>
      <c r="T318" s="456"/>
      <c r="U318" s="73"/>
      <c r="V318" s="73"/>
      <c r="W318" s="73"/>
      <c r="X318" s="73"/>
      <c r="Y318" s="73"/>
      <c r="Z318" s="458"/>
      <c r="AA318" s="456"/>
      <c r="AB318" s="456"/>
      <c r="AC318" s="456"/>
      <c r="AD318" s="456"/>
      <c r="AE318" s="456"/>
      <c r="AF318" s="456"/>
      <c r="AG318" s="456">
        <f>2015-45</f>
        <v>1970</v>
      </c>
      <c r="AH318" s="73"/>
      <c r="AI318" s="73"/>
      <c r="AJ318" s="73"/>
      <c r="AK318" s="73"/>
      <c r="AL318" s="73"/>
      <c r="AM318" s="458"/>
      <c r="AN318" s="456"/>
      <c r="AO318" s="456"/>
      <c r="AP318" s="456"/>
      <c r="AQ318" s="456"/>
      <c r="AR318" s="456"/>
      <c r="AS318" s="456"/>
      <c r="AT318" s="456"/>
      <c r="AU318" s="73"/>
      <c r="AV318" s="73"/>
      <c r="AW318" s="73"/>
      <c r="AX318" s="73"/>
      <c r="AY318" s="73"/>
      <c r="AZ318" s="458"/>
      <c r="BA318" s="456"/>
      <c r="BB318" s="456"/>
      <c r="BC318" s="456"/>
      <c r="BD318" s="456"/>
      <c r="BE318" s="456"/>
      <c r="BF318" s="456"/>
      <c r="BG318" s="456"/>
      <c r="BH318" s="73"/>
      <c r="BI318" s="73"/>
      <c r="BJ318" s="73"/>
      <c r="BK318" s="73"/>
      <c r="BL318" s="73"/>
      <c r="BM318" s="458"/>
      <c r="BN318" s="456"/>
      <c r="BO318" s="456"/>
      <c r="BP318" s="456"/>
      <c r="BQ318" s="456"/>
      <c r="BR318" s="456"/>
      <c r="BS318" s="456"/>
      <c r="BT318" s="456"/>
      <c r="BU318" s="73"/>
      <c r="BV318" s="73"/>
      <c r="BW318" s="73"/>
      <c r="BX318" s="73"/>
      <c r="BY318" s="73"/>
      <c r="BZ318" s="458"/>
      <c r="CA318" s="461">
        <v>356725.63664999104</v>
      </c>
      <c r="FE318" s="161"/>
      <c r="FT318" s="161"/>
      <c r="GI318" s="161"/>
      <c r="GX318" s="161"/>
      <c r="HM318" s="161"/>
    </row>
    <row r="319" spans="1:228" x14ac:dyDescent="0.25">
      <c r="BK319" s="1">
        <v>3.3572299583465792</v>
      </c>
      <c r="EX319" s="304"/>
      <c r="EY319" s="304">
        <f>EY316-EX316</f>
        <v>1270.9514389038086</v>
      </c>
      <c r="EZ319" s="348">
        <f t="shared" ref="EZ319:FE319" si="133">EZ316-EY316</f>
        <v>3461.1459035873413</v>
      </c>
      <c r="FA319" s="348">
        <f t="shared" si="133"/>
        <v>2635.4361370801926</v>
      </c>
      <c r="FB319" s="348">
        <f t="shared" si="133"/>
        <v>2106.5474015474319</v>
      </c>
      <c r="FC319" s="348">
        <f t="shared" si="133"/>
        <v>1568.4393085241318</v>
      </c>
      <c r="FD319" s="348">
        <f t="shared" si="133"/>
        <v>2637.0610785484314</v>
      </c>
      <c r="FE319" s="348">
        <f t="shared" si="133"/>
        <v>1656.4039854556322</v>
      </c>
      <c r="FL319" s="1">
        <f>6333-6185</f>
        <v>148</v>
      </c>
      <c r="FM319" s="304"/>
      <c r="FN319" s="304"/>
      <c r="FO319" s="348"/>
      <c r="FP319" s="348"/>
      <c r="FQ319" s="348"/>
      <c r="FR319" s="348"/>
      <c r="FS319" s="348"/>
      <c r="FT319" s="348"/>
      <c r="GB319" s="304"/>
      <c r="GC319" s="304"/>
      <c r="GD319" s="348"/>
      <c r="GE319" s="348"/>
      <c r="GF319" s="348"/>
      <c r="GG319" s="348"/>
      <c r="GH319" s="348"/>
      <c r="GI319" s="348"/>
      <c r="GQ319" s="304"/>
      <c r="GR319" s="304"/>
      <c r="GS319" s="348"/>
      <c r="GT319" s="348"/>
      <c r="GU319" s="348"/>
      <c r="GV319" s="348"/>
      <c r="GW319" s="348"/>
      <c r="GX319" s="348"/>
      <c r="HF319" s="304"/>
      <c r="HG319" s="304"/>
      <c r="HH319" s="348"/>
      <c r="HI319" s="348"/>
      <c r="HJ319" s="348"/>
      <c r="HK319" s="348"/>
      <c r="HL319" s="348"/>
      <c r="HM319" s="348"/>
    </row>
    <row r="320" spans="1:228" x14ac:dyDescent="0.25">
      <c r="V320" s="73"/>
      <c r="W320" s="73"/>
      <c r="Y320" s="73"/>
      <c r="Z320" s="303"/>
      <c r="AI320" s="73"/>
      <c r="AJ320" s="73"/>
      <c r="AL320" s="73"/>
      <c r="AM320" s="303"/>
      <c r="AV320" s="73"/>
      <c r="AW320" s="73"/>
      <c r="AY320" s="73"/>
      <c r="AZ320" s="303"/>
      <c r="BI320" s="73"/>
      <c r="BJ320" s="73"/>
      <c r="BL320" s="73"/>
      <c r="BM320" s="303"/>
      <c r="BV320" s="73"/>
      <c r="BW320" s="73"/>
      <c r="BY320" s="73"/>
      <c r="BZ320" s="303"/>
      <c r="CB320" s="90"/>
      <c r="CC320" s="90"/>
      <c r="EX320" s="338"/>
      <c r="EY320" s="338"/>
      <c r="EZ320" s="338"/>
      <c r="FA320" s="338"/>
      <c r="FB320" s="338"/>
      <c r="FC320" s="338"/>
      <c r="FD320" s="338"/>
      <c r="FE320" s="338"/>
      <c r="FM320" s="338"/>
      <c r="FN320" s="338"/>
      <c r="FO320" s="338"/>
      <c r="FP320" s="338"/>
      <c r="FQ320" s="338"/>
      <c r="FR320" s="338"/>
      <c r="FS320" s="338"/>
      <c r="FT320" s="338"/>
      <c r="GB320" s="338"/>
      <c r="GC320" s="338"/>
      <c r="GD320" s="338"/>
      <c r="GE320" s="338"/>
      <c r="GF320" s="338"/>
      <c r="GG320" s="338"/>
      <c r="GH320" s="338"/>
      <c r="GI320" s="338"/>
      <c r="GQ320" s="338"/>
      <c r="GR320" s="338"/>
      <c r="GS320" s="338"/>
      <c r="GT320" s="338"/>
      <c r="GU320" s="338"/>
      <c r="GV320" s="338"/>
      <c r="GW320" s="338"/>
      <c r="GX320" s="338"/>
      <c r="HF320" s="338"/>
      <c r="HG320" s="338"/>
      <c r="HH320" s="338"/>
      <c r="HI320" s="338"/>
      <c r="HJ320" s="338"/>
      <c r="HK320" s="338"/>
      <c r="HL320" s="338"/>
      <c r="HM320" s="338"/>
    </row>
    <row r="321" spans="24:221" x14ac:dyDescent="0.25">
      <c r="EX321" s="338"/>
      <c r="EY321" s="338"/>
      <c r="EZ321" s="338"/>
      <c r="FA321" s="338"/>
      <c r="FB321" s="338"/>
      <c r="FC321" s="338"/>
      <c r="FD321" s="338"/>
      <c r="FE321" s="338"/>
      <c r="FM321" s="338"/>
      <c r="FN321" s="338"/>
      <c r="FO321" s="338"/>
      <c r="FP321" s="338"/>
      <c r="FQ321" s="338"/>
      <c r="FR321" s="338"/>
      <c r="FS321" s="338"/>
      <c r="FT321" s="338"/>
      <c r="GB321" s="338"/>
      <c r="GC321" s="338"/>
      <c r="GD321" s="338"/>
      <c r="GE321" s="338"/>
      <c r="GF321" s="338"/>
      <c r="GG321" s="338"/>
      <c r="GH321" s="338"/>
      <c r="GI321" s="338"/>
      <c r="GQ321" s="338"/>
      <c r="GR321" s="338"/>
      <c r="GS321" s="338"/>
      <c r="GT321" s="338"/>
      <c r="GU321" s="338"/>
      <c r="GV321" s="338"/>
      <c r="GW321" s="338"/>
      <c r="GX321" s="338"/>
      <c r="HF321" s="338"/>
      <c r="HG321" s="338"/>
      <c r="HH321" s="338"/>
      <c r="HI321" s="338"/>
      <c r="HJ321" s="338"/>
      <c r="HK321" s="338"/>
      <c r="HL321" s="338"/>
      <c r="HM321" s="338"/>
    </row>
    <row r="322" spans="24:221" x14ac:dyDescent="0.25">
      <c r="Z322" s="303"/>
      <c r="AM322" s="303"/>
      <c r="AZ322" s="303"/>
      <c r="BM322" s="303"/>
      <c r="BZ322" s="303"/>
    </row>
    <row r="323" spans="24:221" x14ac:dyDescent="0.25">
      <c r="Y323" s="337"/>
      <c r="AL323" s="337"/>
      <c r="AY323" s="337"/>
      <c r="BL323" s="337"/>
      <c r="BY323" s="337"/>
      <c r="FD323" s="161"/>
      <c r="FS323" s="161"/>
      <c r="GH323" s="161"/>
      <c r="GW323" s="161"/>
      <c r="HL323" s="161"/>
    </row>
    <row r="324" spans="24:221" x14ac:dyDescent="0.25">
      <c r="Z324" s="343"/>
      <c r="AM324" s="343"/>
      <c r="AZ324" s="343"/>
      <c r="BM324" s="343"/>
      <c r="BZ324" s="343"/>
      <c r="CA324" s="342"/>
    </row>
    <row r="327" spans="24:221" x14ac:dyDescent="0.25">
      <c r="Z327" s="290"/>
      <c r="AM327" s="290"/>
      <c r="AZ327" s="290"/>
      <c r="BM327" s="290"/>
      <c r="BZ327" s="290"/>
    </row>
    <row r="330" spans="24:221" x14ac:dyDescent="0.25">
      <c r="CI330" s="1">
        <f>'[1]Ferramentas Equipam (T)'!$G$22/'[1]Ferramentas Equipam (T)'!$E$22</f>
        <v>9.2884594755684793E-2</v>
      </c>
    </row>
    <row r="332" spans="24:221" x14ac:dyDescent="0.25">
      <c r="X332" s="339">
        <f>Y10/3</f>
        <v>115.66666666666667</v>
      </c>
      <c r="AK332" s="339"/>
      <c r="AX332" s="339"/>
      <c r="BK332" s="339"/>
      <c r="BX332" s="339"/>
    </row>
  </sheetData>
  <sortState ref="A7:FD319">
    <sortCondition ref="A7:A319" customList="Geração,Transmissão,Distribuição,Holding"/>
    <sortCondition ref="B7:B319"/>
    <sortCondition ref="J7:J319"/>
  </sortState>
  <dataConsolidate/>
  <conditionalFormatting sqref="CH80:CH81 CH78 CG83:CH116 CG226:CH245 CG248:CH315 CG3:CH77 CG118:CH223">
    <cfRule type="dataBar" priority="45">
      <dataBar>
        <cfvo type="num" val="0"/>
        <cfvo type="num" val="100"/>
        <color rgb="FF0000FF"/>
      </dataBar>
      <extLst>
        <ext xmlns:x14="http://schemas.microsoft.com/office/spreadsheetml/2009/9/main" uri="{B025F937-C7B1-47D3-B67F-A62EFF666E3E}">
          <x14:id>{0B1B327A-732D-4403-9AE3-D498B64C26FB}</x14:id>
        </ext>
      </extLst>
    </cfRule>
  </conditionalFormatting>
  <conditionalFormatting sqref="CC132">
    <cfRule type="iconSet" priority="30">
      <iconSet iconSet="3Symbols" showValue="0">
        <cfvo type="percent" val="0"/>
        <cfvo type="num" val="0"/>
        <cfvo type="num" val="1"/>
      </iconSet>
    </cfRule>
  </conditionalFormatting>
  <conditionalFormatting sqref="CC5:CF5">
    <cfRule type="iconSet" priority="27">
      <iconSet iconSet="3Symbols" showValue="0">
        <cfvo type="percent" val="0"/>
        <cfvo type="num" val="0"/>
        <cfvo type="num" val="1"/>
      </iconSet>
    </cfRule>
  </conditionalFormatting>
  <conditionalFormatting sqref="CG2:CH2">
    <cfRule type="dataBar" priority="22">
      <dataBar>
        <cfvo type="num" val="0"/>
        <cfvo type="num" val="100"/>
        <color rgb="FF0000FF"/>
      </dataBar>
      <extLst>
        <ext xmlns:x14="http://schemas.microsoft.com/office/spreadsheetml/2009/9/main" uri="{B025F937-C7B1-47D3-B67F-A62EFF666E3E}">
          <x14:id>{72C3A3D5-CC6F-4724-AF5A-FC68B703F59A}</x14:id>
        </ext>
      </extLst>
    </cfRule>
  </conditionalFormatting>
  <conditionalFormatting sqref="CC2:CF2">
    <cfRule type="iconSet" priority="23">
      <iconSet iconSet="3Symbols" showValue="0">
        <cfvo type="percent" val="0"/>
        <cfvo type="num" val="0"/>
        <cfvo type="num" val="1"/>
      </iconSet>
    </cfRule>
  </conditionalFormatting>
  <conditionalFormatting sqref="CH79">
    <cfRule type="dataBar" priority="20">
      <dataBar>
        <cfvo type="num" val="0"/>
        <cfvo type="num" val="100"/>
        <color rgb="FF0000FF"/>
      </dataBar>
      <extLst>
        <ext xmlns:x14="http://schemas.microsoft.com/office/spreadsheetml/2009/9/main" uri="{B025F937-C7B1-47D3-B67F-A62EFF666E3E}">
          <x14:id>{28DA98FC-1866-4E55-AB9A-6A6D782E76C7}</x14:id>
        </ext>
      </extLst>
    </cfRule>
  </conditionalFormatting>
  <conditionalFormatting sqref="CC79:CF79">
    <cfRule type="iconSet" priority="21">
      <iconSet iconSet="3Symbols" showValue="0">
        <cfvo type="percent" val="0"/>
        <cfvo type="num" val="0"/>
        <cfvo type="num" val="1"/>
      </iconSet>
    </cfRule>
  </conditionalFormatting>
  <conditionalFormatting sqref="CG82:CH82">
    <cfRule type="dataBar" priority="18">
      <dataBar>
        <cfvo type="num" val="0"/>
        <cfvo type="num" val="100"/>
        <color rgb="FF0000FF"/>
      </dataBar>
      <extLst>
        <ext xmlns:x14="http://schemas.microsoft.com/office/spreadsheetml/2009/9/main" uri="{B025F937-C7B1-47D3-B67F-A62EFF666E3E}">
          <x14:id>{BE85F429-5AEF-4B04-A15E-0E18A18C4B2A}</x14:id>
        </ext>
      </extLst>
    </cfRule>
  </conditionalFormatting>
  <conditionalFormatting sqref="CC82:CF82">
    <cfRule type="iconSet" priority="19">
      <iconSet iconSet="3Symbols" showValue="0">
        <cfvo type="percent" val="0"/>
        <cfvo type="num" val="0"/>
        <cfvo type="num" val="1"/>
      </iconSet>
    </cfRule>
  </conditionalFormatting>
  <conditionalFormatting sqref="CG78:CG81">
    <cfRule type="dataBar" priority="17">
      <dataBar>
        <cfvo type="num" val="0"/>
        <cfvo type="num" val="100"/>
        <color rgb="FF0000FF"/>
      </dataBar>
      <extLst>
        <ext xmlns:x14="http://schemas.microsoft.com/office/spreadsheetml/2009/9/main" uri="{B025F937-C7B1-47D3-B67F-A62EFF666E3E}">
          <x14:id>{1CE02FF0-A976-43B3-9624-1657D56600BA}</x14:id>
        </ext>
      </extLst>
    </cfRule>
  </conditionalFormatting>
  <conditionalFormatting sqref="CG117:CH117">
    <cfRule type="dataBar" priority="15">
      <dataBar>
        <cfvo type="num" val="0"/>
        <cfvo type="num" val="100"/>
        <color rgb="FF0000FF"/>
      </dataBar>
      <extLst>
        <ext xmlns:x14="http://schemas.microsoft.com/office/spreadsheetml/2009/9/main" uri="{B025F937-C7B1-47D3-B67F-A62EFF666E3E}">
          <x14:id>{B227F5A8-6976-49E5-9EE9-97E26CE4D334}</x14:id>
        </ext>
      </extLst>
    </cfRule>
  </conditionalFormatting>
  <conditionalFormatting sqref="CC117:CF117">
    <cfRule type="iconSet" priority="16">
      <iconSet iconSet="3Symbols" showValue="0">
        <cfvo type="percent" val="0"/>
        <cfvo type="num" val="0"/>
        <cfvo type="num" val="1"/>
      </iconSet>
    </cfRule>
  </conditionalFormatting>
  <conditionalFormatting sqref="CC134:CF134">
    <cfRule type="iconSet" priority="93">
      <iconSet iconSet="3Symbols" showValue="0">
        <cfvo type="percent" val="0"/>
        <cfvo type="num" val="0"/>
        <cfvo type="num" val="1"/>
      </iconSet>
    </cfRule>
  </conditionalFormatting>
  <conditionalFormatting sqref="CC135:CF223 CC133:CF133 CC3:CF4 CD132:CF132 CC6:CF78 CC80:CF81 CC83:CF116 CC118:CF131 CC248:CF315 CC226:CF245">
    <cfRule type="iconSet" priority="96">
      <iconSet iconSet="3Symbols" showValue="0">
        <cfvo type="percent" val="0"/>
        <cfvo type="num" val="0"/>
        <cfvo type="num" val="1"/>
      </iconSet>
    </cfRule>
  </conditionalFormatting>
  <conditionalFormatting sqref="CG246:CH247">
    <cfRule type="dataBar" priority="13">
      <dataBar>
        <cfvo type="num" val="0"/>
        <cfvo type="num" val="100"/>
        <color rgb="FF0000FF"/>
      </dataBar>
      <extLst>
        <ext xmlns:x14="http://schemas.microsoft.com/office/spreadsheetml/2009/9/main" uri="{B025F937-C7B1-47D3-B67F-A62EFF666E3E}">
          <x14:id>{ABB254CE-6777-4440-9D50-611C3A42CE3B}</x14:id>
        </ext>
      </extLst>
    </cfRule>
  </conditionalFormatting>
  <conditionalFormatting sqref="CC246:CF247">
    <cfRule type="iconSet" priority="14">
      <iconSet iconSet="3Symbols" showValue="0">
        <cfvo type="percent" val="0"/>
        <cfvo type="num" val="0"/>
        <cfvo type="num" val="1"/>
      </iconSet>
    </cfRule>
  </conditionalFormatting>
  <conditionalFormatting sqref="CG224:CH225">
    <cfRule type="dataBar" priority="11">
      <dataBar>
        <cfvo type="num" val="0"/>
        <cfvo type="num" val="100"/>
        <color rgb="FF0000FF"/>
      </dataBar>
      <extLst>
        <ext xmlns:x14="http://schemas.microsoft.com/office/spreadsheetml/2009/9/main" uri="{B025F937-C7B1-47D3-B67F-A62EFF666E3E}">
          <x14:id>{8BDB7AA0-D926-4252-B579-81FF76085C33}</x14:id>
        </ext>
      </extLst>
    </cfRule>
  </conditionalFormatting>
  <conditionalFormatting sqref="CC224:CF225">
    <cfRule type="iconSet" priority="12">
      <iconSet iconSet="3Symbols" showValue="0">
        <cfvo type="percent" val="0"/>
        <cfvo type="num" val="0"/>
        <cfvo type="num" val="1"/>
      </iconSet>
    </cfRule>
  </conditionalFormatting>
  <conditionalFormatting sqref="CB132">
    <cfRule type="iconSet" priority="8">
      <iconSet iconSet="3Symbols" showValue="0">
        <cfvo type="percent" val="0"/>
        <cfvo type="num" val="0"/>
        <cfvo type="num" val="1"/>
      </iconSet>
    </cfRule>
  </conditionalFormatting>
  <conditionalFormatting sqref="CB5">
    <cfRule type="iconSet" priority="7">
      <iconSet iconSet="3Symbols" showValue="0">
        <cfvo type="percent" val="0"/>
        <cfvo type="num" val="0"/>
        <cfvo type="num" val="1"/>
      </iconSet>
    </cfRule>
  </conditionalFormatting>
  <conditionalFormatting sqref="CB2">
    <cfRule type="iconSet" priority="6">
      <iconSet iconSet="3Symbols" showValue="0">
        <cfvo type="percent" val="0"/>
        <cfvo type="num" val="0"/>
        <cfvo type="num" val="1"/>
      </iconSet>
    </cfRule>
  </conditionalFormatting>
  <conditionalFormatting sqref="CB79">
    <cfRule type="iconSet" priority="5">
      <iconSet iconSet="3Symbols" showValue="0">
        <cfvo type="percent" val="0"/>
        <cfvo type="num" val="0"/>
        <cfvo type="num" val="1"/>
      </iconSet>
    </cfRule>
  </conditionalFormatting>
  <conditionalFormatting sqref="CB82">
    <cfRule type="iconSet" priority="4">
      <iconSet iconSet="3Symbols" showValue="0">
        <cfvo type="percent" val="0"/>
        <cfvo type="num" val="0"/>
        <cfvo type="num" val="1"/>
      </iconSet>
    </cfRule>
  </conditionalFormatting>
  <conditionalFormatting sqref="CB117">
    <cfRule type="iconSet" priority="3">
      <iconSet iconSet="3Symbols" showValue="0">
        <cfvo type="percent" val="0"/>
        <cfvo type="num" val="0"/>
        <cfvo type="num" val="1"/>
      </iconSet>
    </cfRule>
  </conditionalFormatting>
  <conditionalFormatting sqref="CB134">
    <cfRule type="iconSet" priority="9">
      <iconSet iconSet="3Symbols" showValue="0">
        <cfvo type="percent" val="0"/>
        <cfvo type="num" val="0"/>
        <cfvo type="num" val="1"/>
      </iconSet>
    </cfRule>
  </conditionalFormatting>
  <conditionalFormatting sqref="CB135:CB223 CB133 CB3:CB4 CB6:CB78 CB80:CB81 CB83:CB116 CB118:CB131 CB248:CB315 CB226:CB245">
    <cfRule type="iconSet" priority="10">
      <iconSet iconSet="3Symbols" showValue="0">
        <cfvo type="percent" val="0"/>
        <cfvo type="num" val="0"/>
        <cfvo type="num" val="1"/>
      </iconSet>
    </cfRule>
  </conditionalFormatting>
  <conditionalFormatting sqref="CB246:CB247">
    <cfRule type="iconSet" priority="2">
      <iconSet iconSet="3Symbols" showValue="0">
        <cfvo type="percent" val="0"/>
        <cfvo type="num" val="0"/>
        <cfvo type="num" val="1"/>
      </iconSet>
    </cfRule>
  </conditionalFormatting>
  <conditionalFormatting sqref="CB224:CB225">
    <cfRule type="iconSet" priority="1">
      <iconSet iconSet="3Symbols" showValue="0">
        <cfvo type="percent" val="0"/>
        <cfvo type="num" val="0"/>
        <cfvo type="num" val="1"/>
      </iconSet>
    </cfRule>
  </conditionalFormatting>
  <dataValidations count="1">
    <dataValidation type="list" allowBlank="1" showInputMessage="1" showErrorMessage="1" sqref="A2:A315">
      <formula1>"Geração,Transmissão,Distribuição,Holding"</formula1>
    </dataValidation>
  </dataValidations>
  <pageMargins left="0.51181102362204722" right="0.51181102362204722" top="0.59055118110236227" bottom="0.59055118110236227" header="0.31496062992125984" footer="0.31496062992125984"/>
  <pageSetup paperSize="8" scale="32" fitToHeight="2" orientation="landscape" r:id="rId1"/>
  <legacyDrawing r:id="rId2"/>
  <extLst>
    <ext xmlns:x14="http://schemas.microsoft.com/office/spreadsheetml/2009/9/main" uri="{78C0D931-6437-407d-A8EE-F0AAD7539E65}">
      <x14:conditionalFormattings>
        <x14:conditionalFormatting xmlns:xm="http://schemas.microsoft.com/office/excel/2006/main">
          <x14:cfRule type="dataBar" id="{0B1B327A-732D-4403-9AE3-D498B64C26FB}">
            <x14:dataBar minLength="0" maxLength="100">
              <x14:cfvo type="num">
                <xm:f>0</xm:f>
              </x14:cfvo>
              <x14:cfvo type="num">
                <xm:f>100</xm:f>
              </x14:cfvo>
              <x14:negativeFillColor rgb="FFFF0000"/>
              <x14:axisColor rgb="FF000000"/>
            </x14:dataBar>
          </x14:cfRule>
          <xm:sqref>CH80:CH81 CH78 CG83:CH116 CG226:CH245 CG248:CH315 CG3:CH77 CG118:CH223</xm:sqref>
        </x14:conditionalFormatting>
        <x14:conditionalFormatting xmlns:xm="http://schemas.microsoft.com/office/excel/2006/main">
          <x14:cfRule type="dataBar" id="{72C3A3D5-CC6F-4724-AF5A-FC68B703F59A}">
            <x14:dataBar minLength="0" maxLength="100">
              <x14:cfvo type="num">
                <xm:f>0</xm:f>
              </x14:cfvo>
              <x14:cfvo type="num">
                <xm:f>100</xm:f>
              </x14:cfvo>
              <x14:negativeFillColor rgb="FFFF0000"/>
              <x14:axisColor rgb="FF000000"/>
            </x14:dataBar>
          </x14:cfRule>
          <xm:sqref>CG2:CH2</xm:sqref>
        </x14:conditionalFormatting>
        <x14:conditionalFormatting xmlns:xm="http://schemas.microsoft.com/office/excel/2006/main">
          <x14:cfRule type="dataBar" id="{28DA98FC-1866-4E55-AB9A-6A6D782E76C7}">
            <x14:dataBar minLength="0" maxLength="100">
              <x14:cfvo type="num">
                <xm:f>0</xm:f>
              </x14:cfvo>
              <x14:cfvo type="num">
                <xm:f>100</xm:f>
              </x14:cfvo>
              <x14:negativeFillColor rgb="FFFF0000"/>
              <x14:axisColor rgb="FF000000"/>
            </x14:dataBar>
          </x14:cfRule>
          <xm:sqref>CH79</xm:sqref>
        </x14:conditionalFormatting>
        <x14:conditionalFormatting xmlns:xm="http://schemas.microsoft.com/office/excel/2006/main">
          <x14:cfRule type="dataBar" id="{BE85F429-5AEF-4B04-A15E-0E18A18C4B2A}">
            <x14:dataBar minLength="0" maxLength="100">
              <x14:cfvo type="num">
                <xm:f>0</xm:f>
              </x14:cfvo>
              <x14:cfvo type="num">
                <xm:f>100</xm:f>
              </x14:cfvo>
              <x14:negativeFillColor rgb="FFFF0000"/>
              <x14:axisColor rgb="FF000000"/>
            </x14:dataBar>
          </x14:cfRule>
          <xm:sqref>CG82:CH82</xm:sqref>
        </x14:conditionalFormatting>
        <x14:conditionalFormatting xmlns:xm="http://schemas.microsoft.com/office/excel/2006/main">
          <x14:cfRule type="dataBar" id="{1CE02FF0-A976-43B3-9624-1657D56600BA}">
            <x14:dataBar minLength="0" maxLength="100">
              <x14:cfvo type="num">
                <xm:f>0</xm:f>
              </x14:cfvo>
              <x14:cfvo type="num">
                <xm:f>100</xm:f>
              </x14:cfvo>
              <x14:negativeFillColor rgb="FFFF0000"/>
              <x14:axisColor rgb="FF000000"/>
            </x14:dataBar>
          </x14:cfRule>
          <xm:sqref>CG78:CG81</xm:sqref>
        </x14:conditionalFormatting>
        <x14:conditionalFormatting xmlns:xm="http://schemas.microsoft.com/office/excel/2006/main">
          <x14:cfRule type="dataBar" id="{B227F5A8-6976-49E5-9EE9-97E26CE4D334}">
            <x14:dataBar minLength="0" maxLength="100">
              <x14:cfvo type="num">
                <xm:f>0</xm:f>
              </x14:cfvo>
              <x14:cfvo type="num">
                <xm:f>100</xm:f>
              </x14:cfvo>
              <x14:negativeFillColor rgb="FFFF0000"/>
              <x14:axisColor rgb="FF000000"/>
            </x14:dataBar>
          </x14:cfRule>
          <xm:sqref>CG117:CH117</xm:sqref>
        </x14:conditionalFormatting>
        <x14:conditionalFormatting xmlns:xm="http://schemas.microsoft.com/office/excel/2006/main">
          <x14:cfRule type="dataBar" id="{ABB254CE-6777-4440-9D50-611C3A42CE3B}">
            <x14:dataBar minLength="0" maxLength="100">
              <x14:cfvo type="num">
                <xm:f>0</xm:f>
              </x14:cfvo>
              <x14:cfvo type="num">
                <xm:f>100</xm:f>
              </x14:cfvo>
              <x14:negativeFillColor rgb="FFFF0000"/>
              <x14:axisColor rgb="FF000000"/>
            </x14:dataBar>
          </x14:cfRule>
          <xm:sqref>CG246:CH247</xm:sqref>
        </x14:conditionalFormatting>
        <x14:conditionalFormatting xmlns:xm="http://schemas.microsoft.com/office/excel/2006/main">
          <x14:cfRule type="dataBar" id="{8BDB7AA0-D926-4252-B579-81FF76085C33}">
            <x14:dataBar minLength="0" maxLength="100">
              <x14:cfvo type="num">
                <xm:f>0</xm:f>
              </x14:cfvo>
              <x14:cfvo type="num">
                <xm:f>100</xm:f>
              </x14:cfvo>
              <x14:negativeFillColor rgb="FFFF0000"/>
              <x14:axisColor rgb="FF000000"/>
            </x14:dataBar>
          </x14:cfRule>
          <xm:sqref>CG224:CH225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3:O20"/>
  <sheetViews>
    <sheetView showGridLines="0" workbookViewId="0">
      <selection activeCell="A22" sqref="A22:XFD22"/>
    </sheetView>
  </sheetViews>
  <sheetFormatPr defaultRowHeight="15" x14ac:dyDescent="0.25"/>
  <cols>
    <col min="1" max="1" width="24" customWidth="1"/>
    <col min="2" max="2" width="14.85546875" customWidth="1"/>
    <col min="3" max="3" width="11" customWidth="1"/>
    <col min="4" max="4" width="10.42578125" customWidth="1"/>
    <col min="5" max="5" width="11.28515625" customWidth="1"/>
    <col min="6" max="6" width="10.85546875" customWidth="1"/>
    <col min="7" max="7" width="11.140625" customWidth="1"/>
    <col min="8" max="8" width="11.42578125" customWidth="1"/>
    <col min="9" max="9" width="11.28515625" bestFit="1" customWidth="1"/>
    <col min="10" max="10" width="10.85546875" customWidth="1"/>
    <col min="11" max="11" width="11" customWidth="1"/>
    <col min="12" max="12" width="11.5703125" customWidth="1"/>
    <col min="13" max="13" width="11" customWidth="1"/>
    <col min="14" max="14" width="11.42578125" customWidth="1"/>
    <col min="15" max="15" width="11" customWidth="1"/>
  </cols>
  <sheetData>
    <row r="3" spans="1:15" x14ac:dyDescent="0.25">
      <c r="A3" s="14" t="s">
        <v>1723</v>
      </c>
    </row>
    <row r="4" spans="1:15" x14ac:dyDescent="0.25">
      <c r="A4" s="271" t="s">
        <v>1722</v>
      </c>
      <c r="B4" s="292" t="s">
        <v>1714</v>
      </c>
      <c r="C4" s="92" t="s">
        <v>1715</v>
      </c>
      <c r="D4" s="92" t="s">
        <v>1716</v>
      </c>
      <c r="E4" s="92" t="s">
        <v>1717</v>
      </c>
      <c r="F4" s="92" t="s">
        <v>1718</v>
      </c>
      <c r="G4" s="92" t="s">
        <v>1719</v>
      </c>
      <c r="H4" s="92" t="s">
        <v>1720</v>
      </c>
      <c r="I4" s="92" t="s">
        <v>1721</v>
      </c>
      <c r="J4" t="s">
        <v>1726</v>
      </c>
      <c r="K4" t="s">
        <v>1727</v>
      </c>
      <c r="L4" t="s">
        <v>1728</v>
      </c>
      <c r="M4" t="s">
        <v>1729</v>
      </c>
      <c r="N4" t="s">
        <v>1730</v>
      </c>
      <c r="O4" t="s">
        <v>1731</v>
      </c>
    </row>
    <row r="5" spans="1:15" x14ac:dyDescent="0.25">
      <c r="A5" s="272" t="s">
        <v>52</v>
      </c>
      <c r="B5" s="93">
        <v>192.33592987060547</v>
      </c>
      <c r="C5" s="93">
        <v>105.30000002384186</v>
      </c>
      <c r="D5" s="93">
        <v>170.8151</v>
      </c>
      <c r="E5" s="93">
        <v>576.38330999999994</v>
      </c>
      <c r="F5" s="93">
        <v>161.51295999999999</v>
      </c>
      <c r="G5" s="93">
        <v>664.25</v>
      </c>
      <c r="H5" s="93">
        <v>242.2</v>
      </c>
      <c r="I5" s="93">
        <v>556.59119961853105</v>
      </c>
      <c r="J5" s="93">
        <v>0</v>
      </c>
      <c r="K5" s="93">
        <v>357</v>
      </c>
      <c r="L5" s="93">
        <v>351.9</v>
      </c>
      <c r="M5" s="93">
        <v>0</v>
      </c>
      <c r="N5" s="93">
        <v>21</v>
      </c>
      <c r="O5" s="93">
        <v>41.5</v>
      </c>
    </row>
    <row r="6" spans="1:15" x14ac:dyDescent="0.25">
      <c r="A6" s="272" t="s">
        <v>61</v>
      </c>
      <c r="B6" s="93">
        <v>110.7751305103302</v>
      </c>
      <c r="C6" s="93">
        <v>102.31131999999999</v>
      </c>
      <c r="D6" s="93">
        <v>0</v>
      </c>
      <c r="E6" s="93">
        <v>443.39096999999998</v>
      </c>
      <c r="F6" s="93">
        <v>101.35312999999999</v>
      </c>
      <c r="G6" s="93">
        <v>465.75334999999995</v>
      </c>
      <c r="H6" s="93">
        <v>330</v>
      </c>
      <c r="I6" s="93">
        <v>965.15013448966977</v>
      </c>
      <c r="J6" s="93">
        <v>77.703347499999992</v>
      </c>
      <c r="K6" s="93">
        <v>77.703347499999992</v>
      </c>
      <c r="L6" s="93">
        <v>484.24317750000017</v>
      </c>
      <c r="M6" s="93">
        <v>127.70334749999999</v>
      </c>
      <c r="N6" s="93">
        <v>1690.7033475000001</v>
      </c>
      <c r="O6" s="93">
        <v>77.703347499999992</v>
      </c>
    </row>
    <row r="7" spans="1:15" x14ac:dyDescent="0.25">
      <c r="A7" s="272" t="s">
        <v>55</v>
      </c>
      <c r="B7" s="93">
        <v>8921.9851739406586</v>
      </c>
      <c r="C7" s="93">
        <v>3201.8345401144411</v>
      </c>
      <c r="D7" s="93">
        <v>2201.873</v>
      </c>
      <c r="E7" s="93">
        <v>9719.4566098855612</v>
      </c>
      <c r="F7" s="93">
        <v>7329.6193500747686</v>
      </c>
      <c r="G7" s="93">
        <v>7716.0652300000002</v>
      </c>
      <c r="H7" s="93">
        <v>5436.9152800000002</v>
      </c>
      <c r="I7" s="93">
        <v>26784.771130023844</v>
      </c>
      <c r="J7" s="93">
        <v>5243.4722000000002</v>
      </c>
      <c r="K7" s="93">
        <v>4376.9611999999997</v>
      </c>
      <c r="L7" s="93">
        <v>9831.1722000000009</v>
      </c>
      <c r="M7" s="93">
        <v>6965.1577000000007</v>
      </c>
      <c r="N7" s="93">
        <v>3585.3957000000005</v>
      </c>
      <c r="O7" s="93">
        <v>10275.774699999998</v>
      </c>
    </row>
    <row r="8" spans="1:15" x14ac:dyDescent="0.25">
      <c r="A8" s="272" t="s">
        <v>381</v>
      </c>
      <c r="B8" s="93">
        <v>7.60504150390625</v>
      </c>
      <c r="C8" s="93">
        <v>212.02916999999999</v>
      </c>
      <c r="D8" s="93">
        <v>0</v>
      </c>
      <c r="E8" s="93">
        <v>15</v>
      </c>
      <c r="F8" s="93">
        <v>75</v>
      </c>
      <c r="G8" s="93">
        <v>0</v>
      </c>
      <c r="H8" s="93">
        <v>0</v>
      </c>
      <c r="I8" s="93">
        <v>0</v>
      </c>
      <c r="J8" s="93">
        <v>0</v>
      </c>
      <c r="K8" s="93">
        <v>0</v>
      </c>
      <c r="L8" s="93">
        <v>0</v>
      </c>
      <c r="M8" s="93">
        <v>0</v>
      </c>
      <c r="N8" s="93">
        <v>0</v>
      </c>
      <c r="O8" s="93">
        <v>0</v>
      </c>
    </row>
    <row r="9" spans="1:15" x14ac:dyDescent="0.25">
      <c r="A9" s="272" t="s">
        <v>428</v>
      </c>
      <c r="B9" s="93">
        <v>9232.7012758255005</v>
      </c>
      <c r="C9" s="93">
        <v>3621.4750301382828</v>
      </c>
      <c r="D9" s="93">
        <v>2372.6880999999998</v>
      </c>
      <c r="E9" s="93">
        <v>10754.230889885561</v>
      </c>
      <c r="F9" s="93">
        <v>7667.4854400747681</v>
      </c>
      <c r="G9" s="93">
        <v>8846.0685799999992</v>
      </c>
      <c r="H9" s="93">
        <v>6009.11528</v>
      </c>
      <c r="I9" s="93">
        <v>28306.512464132044</v>
      </c>
      <c r="J9" s="93">
        <v>5321.1755475</v>
      </c>
      <c r="K9" s="93">
        <v>4811.6645474999996</v>
      </c>
      <c r="L9" s="93">
        <v>10667.315377500001</v>
      </c>
      <c r="M9" s="93">
        <v>7092.8610475000005</v>
      </c>
      <c r="N9" s="93">
        <v>5297.0990475000008</v>
      </c>
      <c r="O9" s="93">
        <v>10394.978047499999</v>
      </c>
    </row>
    <row r="14" spans="1:15" x14ac:dyDescent="0.25">
      <c r="A14" s="293" t="s">
        <v>1724</v>
      </c>
    </row>
    <row r="15" spans="1:15" x14ac:dyDescent="0.25">
      <c r="A15" t="s">
        <v>1722</v>
      </c>
      <c r="B15" s="292" t="s">
        <v>1725</v>
      </c>
      <c r="C15" s="92" t="s">
        <v>1716</v>
      </c>
      <c r="D15" s="92" t="s">
        <v>1717</v>
      </c>
      <c r="E15" s="92" t="s">
        <v>1718</v>
      </c>
      <c r="F15" s="92" t="s">
        <v>1719</v>
      </c>
      <c r="G15" s="92" t="s">
        <v>1720</v>
      </c>
      <c r="H15" s="92" t="s">
        <v>1721</v>
      </c>
      <c r="I15" s="92" t="s">
        <v>1726</v>
      </c>
      <c r="J15" s="92" t="s">
        <v>1727</v>
      </c>
      <c r="K15" s="92" t="s">
        <v>1728</v>
      </c>
      <c r="L15" s="92" t="s">
        <v>1729</v>
      </c>
      <c r="M15" s="92" t="s">
        <v>1730</v>
      </c>
      <c r="N15" s="92" t="s">
        <v>1731</v>
      </c>
    </row>
    <row r="16" spans="1:15" x14ac:dyDescent="0.25">
      <c r="A16" s="272" t="s">
        <v>52</v>
      </c>
      <c r="B16" s="93">
        <v>192.33592987060547</v>
      </c>
      <c r="C16" s="93">
        <v>105.30000002384186</v>
      </c>
      <c r="D16" s="93">
        <v>170.8151</v>
      </c>
      <c r="E16" s="93">
        <v>576.38330999999994</v>
      </c>
      <c r="F16" s="93">
        <v>161.51295999999999</v>
      </c>
      <c r="G16" s="93">
        <v>664.25</v>
      </c>
      <c r="H16" s="93">
        <v>242.2</v>
      </c>
      <c r="I16" s="93">
        <v>556.59119961853105</v>
      </c>
      <c r="J16" s="93">
        <v>0</v>
      </c>
      <c r="K16" s="93">
        <v>357</v>
      </c>
      <c r="L16" s="93">
        <v>351.9</v>
      </c>
      <c r="M16" s="93">
        <v>0</v>
      </c>
      <c r="N16" s="93">
        <v>21</v>
      </c>
    </row>
    <row r="17" spans="1:14" x14ac:dyDescent="0.25">
      <c r="A17" s="272" t="s">
        <v>61</v>
      </c>
      <c r="B17" s="93">
        <v>110.7751305103302</v>
      </c>
      <c r="C17" s="93">
        <v>102.31131999999999</v>
      </c>
      <c r="D17" s="93">
        <v>0</v>
      </c>
      <c r="E17" s="93">
        <v>443.39096999999998</v>
      </c>
      <c r="F17" s="93">
        <v>101.35312999999999</v>
      </c>
      <c r="G17" s="93">
        <v>465.75334999999995</v>
      </c>
      <c r="H17" s="93">
        <v>330</v>
      </c>
      <c r="I17" s="93">
        <v>965.15013448966977</v>
      </c>
      <c r="J17" s="93">
        <v>77.703347499999992</v>
      </c>
      <c r="K17" s="93">
        <v>77.703347499999992</v>
      </c>
      <c r="L17" s="93">
        <v>484.24317750000017</v>
      </c>
      <c r="M17" s="93">
        <v>127.70334749999999</v>
      </c>
      <c r="N17" s="93">
        <v>1690.7033475000001</v>
      </c>
    </row>
    <row r="18" spans="1:14" x14ac:dyDescent="0.25">
      <c r="A18" s="272" t="s">
        <v>55</v>
      </c>
      <c r="B18" s="93">
        <v>8921.9851739406586</v>
      </c>
      <c r="C18" s="93">
        <v>3201.8345401144411</v>
      </c>
      <c r="D18" s="93">
        <v>2201.873</v>
      </c>
      <c r="E18" s="93">
        <v>9719.4566098855612</v>
      </c>
      <c r="F18" s="93">
        <v>7329.6193500747686</v>
      </c>
      <c r="G18" s="93">
        <v>7716.0652300000002</v>
      </c>
      <c r="H18" s="93">
        <v>5436.9152800000002</v>
      </c>
      <c r="I18" s="93">
        <v>26784.771130023844</v>
      </c>
      <c r="J18" s="93">
        <v>5243.4722000000002</v>
      </c>
      <c r="K18" s="93">
        <v>4376.9611999999997</v>
      </c>
      <c r="L18" s="93">
        <v>9831.1722000000009</v>
      </c>
      <c r="M18" s="93">
        <v>6965.1577000000007</v>
      </c>
      <c r="N18" s="93">
        <v>3585.3957000000005</v>
      </c>
    </row>
    <row r="19" spans="1:14" x14ac:dyDescent="0.25">
      <c r="A19" s="272" t="s">
        <v>381</v>
      </c>
      <c r="B19" s="93">
        <v>7.60504150390625</v>
      </c>
      <c r="C19" s="93">
        <v>212.02916999999999</v>
      </c>
      <c r="D19" s="93">
        <v>0</v>
      </c>
      <c r="E19" s="93">
        <v>15</v>
      </c>
      <c r="F19" s="93">
        <v>75</v>
      </c>
      <c r="G19" s="93">
        <v>0</v>
      </c>
      <c r="H19" s="93">
        <v>0</v>
      </c>
      <c r="I19" s="93">
        <v>0</v>
      </c>
      <c r="J19" s="93">
        <v>0</v>
      </c>
      <c r="K19" s="93">
        <v>0</v>
      </c>
      <c r="L19" s="93">
        <v>0</v>
      </c>
      <c r="M19" s="93">
        <v>0</v>
      </c>
      <c r="N19" s="93">
        <v>0</v>
      </c>
    </row>
    <row r="20" spans="1:14" x14ac:dyDescent="0.25">
      <c r="A20" s="272" t="s">
        <v>428</v>
      </c>
      <c r="B20" s="93">
        <f>SUBTOTAL(109,B16:B19)</f>
        <v>9232.7012758255005</v>
      </c>
      <c r="C20" s="93">
        <f t="shared" ref="C20:H20" si="0">SUBTOTAL(109,C16:C19)</f>
        <v>3621.4750301382828</v>
      </c>
      <c r="D20" s="93">
        <f t="shared" si="0"/>
        <v>2372.6880999999998</v>
      </c>
      <c r="E20" s="93">
        <f t="shared" si="0"/>
        <v>10754.230889885561</v>
      </c>
      <c r="F20" s="93">
        <f t="shared" si="0"/>
        <v>7667.4854400747681</v>
      </c>
      <c r="G20" s="93">
        <f t="shared" si="0"/>
        <v>8846.0685799999992</v>
      </c>
      <c r="H20" s="93">
        <f t="shared" si="0"/>
        <v>6009.11528</v>
      </c>
      <c r="I20" s="93">
        <v>28306.512464132044</v>
      </c>
      <c r="J20" s="93">
        <v>5321.1755475</v>
      </c>
      <c r="K20" s="93">
        <v>4811.6645474999996</v>
      </c>
      <c r="L20" s="93">
        <v>10667.315377500001</v>
      </c>
      <c r="M20" s="93">
        <v>7092.8610475000005</v>
      </c>
      <c r="N20" s="93">
        <v>5297.0990475000008</v>
      </c>
    </row>
  </sheetData>
  <pageMargins left="0.511811024" right="0.511811024" top="0.78740157499999996" bottom="0.78740157499999996" header="0.31496062000000002" footer="0.31496062000000002"/>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8"/>
  <sheetViews>
    <sheetView showGridLines="0" workbookViewId="0">
      <selection activeCell="D33" sqref="D33"/>
    </sheetView>
  </sheetViews>
  <sheetFormatPr defaultRowHeight="15" x14ac:dyDescent="0.25"/>
  <cols>
    <col min="1" max="1" width="3.28515625" customWidth="1"/>
    <col min="2" max="2" width="43.5703125" customWidth="1"/>
    <col min="3" max="3" width="17.85546875" customWidth="1"/>
    <col min="4" max="4" width="16" customWidth="1"/>
    <col min="5" max="5" width="15.42578125" customWidth="1"/>
    <col min="6" max="6" width="8.5703125" customWidth="1"/>
    <col min="7" max="7" width="13.28515625" customWidth="1"/>
    <col min="8" max="8" width="14" customWidth="1"/>
    <col min="9" max="9" width="9.85546875" customWidth="1"/>
    <col min="10" max="10" width="13.5703125" customWidth="1"/>
    <col min="12" max="12" width="10.7109375" bestFit="1" customWidth="1"/>
  </cols>
  <sheetData>
    <row r="2" spans="2:12" ht="16.5" thickBot="1" x14ac:dyDescent="0.3">
      <c r="B2" s="152" t="s">
        <v>1428</v>
      </c>
      <c r="C2" s="152"/>
    </row>
    <row r="3" spans="2:12" ht="15.75" thickBot="1" x14ac:dyDescent="0.3">
      <c r="J3" s="158" t="s">
        <v>1440</v>
      </c>
      <c r="K3" s="159"/>
      <c r="L3" s="157">
        <v>43371</v>
      </c>
    </row>
    <row r="4" spans="2:12" ht="12.75" customHeight="1" x14ac:dyDescent="0.25">
      <c r="B4" s="143" t="s">
        <v>1426</v>
      </c>
      <c r="C4" s="143"/>
    </row>
    <row r="5" spans="2:12" ht="13.5" customHeight="1" x14ac:dyDescent="0.25">
      <c r="B5" s="143" t="s">
        <v>1430</v>
      </c>
      <c r="C5" s="143"/>
    </row>
    <row r="6" spans="2:12" x14ac:dyDescent="0.25">
      <c r="B6" s="143"/>
      <c r="C6" s="143"/>
    </row>
    <row r="7" spans="2:12" ht="15.75" customHeight="1" x14ac:dyDescent="0.25">
      <c r="B7" s="464" t="s">
        <v>1429</v>
      </c>
      <c r="C7" s="465"/>
      <c r="D7" s="465"/>
      <c r="E7" s="465"/>
      <c r="F7" s="465"/>
      <c r="G7" s="465"/>
      <c r="H7" s="465"/>
      <c r="I7" s="466"/>
    </row>
    <row r="8" spans="2:12" ht="20.25" customHeight="1" x14ac:dyDescent="0.25">
      <c r="B8" s="295"/>
      <c r="C8" s="462" t="s">
        <v>1914</v>
      </c>
      <c r="D8" s="462" t="s">
        <v>1657</v>
      </c>
      <c r="E8" s="153" t="s">
        <v>1438</v>
      </c>
      <c r="F8" s="153" t="s">
        <v>1437</v>
      </c>
      <c r="G8" s="153" t="s">
        <v>1436</v>
      </c>
      <c r="H8" s="153" t="s">
        <v>1435</v>
      </c>
      <c r="I8" s="153" t="s">
        <v>1439</v>
      </c>
    </row>
    <row r="9" spans="2:12" ht="12" customHeight="1" x14ac:dyDescent="0.25">
      <c r="B9" s="295" t="s">
        <v>1</v>
      </c>
      <c r="C9" s="463"/>
      <c r="D9" s="463"/>
      <c r="E9" s="156">
        <f>$L$3</f>
        <v>43371</v>
      </c>
      <c r="F9" s="154"/>
      <c r="G9" s="154"/>
      <c r="H9" s="156">
        <f>$L$3</f>
        <v>43371</v>
      </c>
      <c r="I9" s="154"/>
    </row>
    <row r="10" spans="2:12" x14ac:dyDescent="0.25">
      <c r="B10" s="155"/>
      <c r="C10" s="155" t="s">
        <v>1433</v>
      </c>
      <c r="D10" s="155" t="s">
        <v>1434</v>
      </c>
      <c r="E10" s="155" t="s">
        <v>1658</v>
      </c>
      <c r="F10" s="155" t="s">
        <v>1960</v>
      </c>
      <c r="G10" s="155" t="s">
        <v>1961</v>
      </c>
      <c r="H10" s="155" t="s">
        <v>1962</v>
      </c>
      <c r="I10" s="155" t="s">
        <v>1963</v>
      </c>
    </row>
    <row r="11" spans="2:12" x14ac:dyDescent="0.25">
      <c r="B11" s="144" t="s">
        <v>38</v>
      </c>
      <c r="C11" s="146">
        <f>PD!D18</f>
        <v>2416.9827999999998</v>
      </c>
      <c r="D11" s="146">
        <f>SUMIF(Projetos_Ciclo!$B$2:$B$358,B11,Projetos_Ciclo!$Z$2:$Z$358)</f>
        <v>1565.483619976158</v>
      </c>
      <c r="E11" s="146">
        <f>SUMIF(Projetos_Ciclo!$B$2:$B$358,B11,Projetos_Ciclo!$FF$2:$FF$358)</f>
        <v>23.604649901390076</v>
      </c>
      <c r="F11" s="147">
        <f t="shared" ref="F11:F17" si="0">IFERROR((E11/D11),0)</f>
        <v>1.5078183891665101E-2</v>
      </c>
      <c r="G11" s="146">
        <f>SUMIF(Projetos_Ciclo!$B$2:$B$358,B11,Projetos_Ciclo!$FJ$2:$FJ$358)</f>
        <v>1420.7852306365967</v>
      </c>
      <c r="H11" s="146">
        <f>E11+G11</f>
        <v>1444.3898805379868</v>
      </c>
      <c r="I11" s="147">
        <f>IFERROR((H11/D11),0)</f>
        <v>0.92264771225136455</v>
      </c>
    </row>
    <row r="12" spans="2:12" x14ac:dyDescent="0.25">
      <c r="B12" s="144" t="s">
        <v>39</v>
      </c>
      <c r="C12" s="146">
        <f>PD!D19</f>
        <v>6259.442</v>
      </c>
      <c r="D12" s="146">
        <f>SUMIF(Projetos_Ciclo!$B$2:$B$358,B12,Projetos_Ciclo!$Z$2:$Z$358)</f>
        <v>3206.8986121711732</v>
      </c>
      <c r="E12" s="146">
        <f>SUMIF(Projetos_Ciclo!$B$2:$B$358,B12,Projetos_Ciclo!$FF$2:$FF$358)</f>
        <v>202.10768973827362</v>
      </c>
      <c r="F12" s="147">
        <f t="shared" si="0"/>
        <v>6.302278749044711E-2</v>
      </c>
      <c r="G12" s="146">
        <f>SUMIF(Projetos_Ciclo!$B$2:$B$358,B12,Projetos_Ciclo!$FJ$2:$FJ$358)</f>
        <v>1875.9232478141785</v>
      </c>
      <c r="H12" s="146">
        <f t="shared" ref="H12:H16" si="1">E12+G12</f>
        <v>2078.0309375524521</v>
      </c>
      <c r="I12" s="147">
        <f t="shared" ref="I12:I17" si="2">IFERROR((H12/D12),0)</f>
        <v>0.6479877254820845</v>
      </c>
    </row>
    <row r="13" spans="2:12" x14ac:dyDescent="0.25">
      <c r="B13" s="145" t="s">
        <v>40</v>
      </c>
      <c r="C13" s="146">
        <f>PD!D20</f>
        <v>4111.9169999999995</v>
      </c>
      <c r="D13" s="146">
        <f>SUMIF(Projetos_Ciclo!$B$2:$B$358,B13,Projetos_Ciclo!$Z$2:$Z$358)</f>
        <v>3905.691369661899</v>
      </c>
      <c r="E13" s="146">
        <f>SUMIF(Projetos_Ciclo!$B$2:$B$358,B13,Projetos_Ciclo!$FF$2:$FF$358)</f>
        <v>274.82874850928783</v>
      </c>
      <c r="F13" s="147">
        <f t="shared" si="0"/>
        <v>7.0366222647305271E-2</v>
      </c>
      <c r="G13" s="146">
        <f>SUMIF(Projetos_Ciclo!$B$2:$B$358,B13,Projetos_Ciclo!$FJ$2:$FJ$358)</f>
        <v>1315.6191552653909</v>
      </c>
      <c r="H13" s="146">
        <f t="shared" si="1"/>
        <v>1590.4479037746787</v>
      </c>
      <c r="I13" s="147">
        <f t="shared" si="2"/>
        <v>0.40721289862500265</v>
      </c>
    </row>
    <row r="14" spans="2:12" x14ac:dyDescent="0.25">
      <c r="B14" s="144" t="s">
        <v>41</v>
      </c>
      <c r="C14" s="146">
        <f>PD!D21</f>
        <v>4684</v>
      </c>
      <c r="D14" s="146">
        <f>SUMIF(Projetos_Ciclo!$B$2:$B$358,B14,Projetos_Ciclo!$Z$2:$Z$358)</f>
        <v>4684</v>
      </c>
      <c r="E14" s="146">
        <f>SUMIF(Projetos_Ciclo!$B$2:$B$358,B14,Projetos_Ciclo!$FF$2:$FF$358)</f>
        <v>0</v>
      </c>
      <c r="F14" s="147">
        <f t="shared" si="0"/>
        <v>0</v>
      </c>
      <c r="G14" s="146">
        <f>SUMIF(Projetos_Ciclo!$B$2:$B$358,B14,Projetos_Ciclo!$FJ$2:$FJ$358)</f>
        <v>4650.193359375</v>
      </c>
      <c r="H14" s="146">
        <f t="shared" si="1"/>
        <v>4650.193359375</v>
      </c>
      <c r="I14" s="147">
        <f t="shared" si="2"/>
        <v>0.99278252762062336</v>
      </c>
    </row>
    <row r="15" spans="2:12" x14ac:dyDescent="0.25">
      <c r="B15" s="144" t="s">
        <v>42</v>
      </c>
      <c r="C15" s="146">
        <f>PD!D22</f>
        <v>54226.487000000001</v>
      </c>
      <c r="D15" s="146">
        <f>SUMIF(Projetos_Ciclo!$B$2:$B$358,B15,Projetos_Ciclo!$Z$2:$Z$358)</f>
        <v>58348.202357830654</v>
      </c>
      <c r="E15" s="146">
        <f>SUMIF(Projetos_Ciclo!$B$2:$B$358,B15,Projetos_Ciclo!$FF$2:$FF$358)</f>
        <v>16304.569687366486</v>
      </c>
      <c r="F15" s="147">
        <f t="shared" si="0"/>
        <v>0.279435681452118</v>
      </c>
      <c r="G15" s="146">
        <f>SUMIF(Projetos_Ciclo!$B$2:$B$358,B15,Projetos_Ciclo!$FJ$2:$FJ$358)</f>
        <v>14782.749924235046</v>
      </c>
      <c r="H15" s="146">
        <f t="shared" si="1"/>
        <v>31087.319611601532</v>
      </c>
      <c r="I15" s="147">
        <f t="shared" si="2"/>
        <v>0.53278967226707441</v>
      </c>
    </row>
    <row r="16" spans="2:12" x14ac:dyDescent="0.25">
      <c r="B16" s="145" t="s">
        <v>43</v>
      </c>
      <c r="C16" s="146">
        <f>PD!D23</f>
        <v>3182.4</v>
      </c>
      <c r="D16" s="146">
        <f>SUMIF(Projetos_Ciclo!$B$2:$B$358,B16,Projetos_Ciclo!$Z$2:$Z$358)</f>
        <v>90</v>
      </c>
      <c r="E16" s="146">
        <f>SUMIF(Projetos_Ciclo!$B$2:$B$358,B16,Projetos_Ciclo!$FF$2:$FF$358)</f>
        <v>0</v>
      </c>
      <c r="F16" s="147">
        <f t="shared" si="0"/>
        <v>0</v>
      </c>
      <c r="G16" s="146">
        <f>SUMIF(Projetos_Ciclo!$B$2:$B$358,B16,Projetos_Ciclo!$FJ$2:$FJ$358)</f>
        <v>89.843727111816406</v>
      </c>
      <c r="H16" s="146">
        <f t="shared" si="1"/>
        <v>89.843727111816406</v>
      </c>
      <c r="I16" s="147">
        <f t="shared" si="2"/>
        <v>0.99826363457573786</v>
      </c>
    </row>
    <row r="17" spans="2:9" x14ac:dyDescent="0.25">
      <c r="B17" s="148" t="s">
        <v>1427</v>
      </c>
      <c r="C17" s="149">
        <f>SUM(C11:C16)</f>
        <v>74881.228799999997</v>
      </c>
      <c r="D17" s="149">
        <f>SUM(D11:D16)</f>
        <v>71800.275959639883</v>
      </c>
      <c r="E17" s="149">
        <f>SUM(E11:E16)</f>
        <v>16805.110775515437</v>
      </c>
      <c r="F17" s="150">
        <f t="shared" si="0"/>
        <v>0.23405356805260563</v>
      </c>
      <c r="G17" s="149">
        <f>SUM(G11:G16)</f>
        <v>24135.114644438028</v>
      </c>
      <c r="H17" s="149">
        <f>SUM(H11:H16)</f>
        <v>40940.225419953465</v>
      </c>
      <c r="I17" s="151">
        <f t="shared" si="2"/>
        <v>0.57019593410708669</v>
      </c>
    </row>
    <row r="20" spans="2:9" ht="15.75" x14ac:dyDescent="0.25">
      <c r="B20" s="464" t="s">
        <v>1648</v>
      </c>
      <c r="C20" s="465"/>
      <c r="D20" s="465"/>
      <c r="E20" s="465"/>
      <c r="F20" s="465"/>
      <c r="G20" s="465"/>
      <c r="H20" s="465"/>
      <c r="I20" s="466"/>
    </row>
    <row r="21" spans="2:9" ht="18" customHeight="1" x14ac:dyDescent="0.25">
      <c r="B21" s="295"/>
      <c r="C21" s="462" t="s">
        <v>1914</v>
      </c>
      <c r="D21" s="462" t="s">
        <v>1657</v>
      </c>
      <c r="E21" s="305" t="s">
        <v>1438</v>
      </c>
      <c r="F21" s="305" t="s">
        <v>1437</v>
      </c>
      <c r="G21" s="305" t="s">
        <v>1436</v>
      </c>
      <c r="H21" s="305" t="s">
        <v>1435</v>
      </c>
      <c r="I21" s="305" t="s">
        <v>1439</v>
      </c>
    </row>
    <row r="22" spans="2:9" ht="17.25" customHeight="1" x14ac:dyDescent="0.25">
      <c r="B22" s="295" t="s">
        <v>1</v>
      </c>
      <c r="C22" s="463"/>
      <c r="D22" s="463"/>
      <c r="E22" s="156">
        <f>$L$3</f>
        <v>43371</v>
      </c>
      <c r="F22" s="306"/>
      <c r="G22" s="306"/>
      <c r="H22" s="156">
        <f>$L$3</f>
        <v>43371</v>
      </c>
      <c r="I22" s="306"/>
    </row>
    <row r="23" spans="2:9" x14ac:dyDescent="0.25">
      <c r="B23" s="155"/>
      <c r="C23" s="155" t="s">
        <v>1433</v>
      </c>
      <c r="D23" s="155" t="s">
        <v>1434</v>
      </c>
      <c r="E23" s="155" t="s">
        <v>1658</v>
      </c>
      <c r="F23" s="155" t="s">
        <v>1960</v>
      </c>
      <c r="G23" s="155" t="s">
        <v>1961</v>
      </c>
      <c r="H23" s="155" t="s">
        <v>1962</v>
      </c>
      <c r="I23" s="155" t="s">
        <v>1963</v>
      </c>
    </row>
    <row r="24" spans="2:9" x14ac:dyDescent="0.25">
      <c r="B24" s="144" t="s">
        <v>38</v>
      </c>
      <c r="C24" s="146">
        <f>PD!I18</f>
        <v>14083.552</v>
      </c>
      <c r="D24" s="146">
        <f>SUMIF(Projetos_Ciclo!$B$2:$B$358,B24,Projetos_Ciclo!$CA$2:$CA$358)</f>
        <v>13680.399999976158</v>
      </c>
      <c r="E24" s="146">
        <f>SUMIF(Projetos_Ciclo!$B$2:$B$358,B24,Projetos_Ciclo!$FF$2:$FF$358)</f>
        <v>23.604649901390076</v>
      </c>
      <c r="F24" s="147">
        <f t="shared" ref="F24:F30" si="3">IFERROR((E24/D24),0)</f>
        <v>1.72543565257092E-3</v>
      </c>
      <c r="G24" s="146">
        <f>SUMIF(Projetos_Ciclo!$B$2:$B$358,B24,Projetos_Ciclo!$FJ$2:$FJ$358)</f>
        <v>1420.7852306365967</v>
      </c>
      <c r="H24" s="146">
        <f t="shared" ref="H24:H29" si="4">E24+G24</f>
        <v>1444.3898805379868</v>
      </c>
      <c r="I24" s="147">
        <f t="shared" ref="I24:I29" si="5">IFERROR((H24/D24),0)</f>
        <v>0.10558096843224643</v>
      </c>
    </row>
    <row r="25" spans="2:9" x14ac:dyDescent="0.25">
      <c r="B25" s="144" t="s">
        <v>39</v>
      </c>
      <c r="C25" s="146">
        <f>PD!I19</f>
        <v>40451.594999991001</v>
      </c>
      <c r="D25" s="146">
        <f>SUMIF(Projetos_Ciclo!$B$2:$B$358,B25,Projetos_Ciclo!$CA$2:$CA$358)</f>
        <v>31215.81735819429</v>
      </c>
      <c r="E25" s="146">
        <f>SUMIF(Projetos_Ciclo!$B$2:$B$358,B25,Projetos_Ciclo!$FF$2:$FF$358)</f>
        <v>202.10768973827362</v>
      </c>
      <c r="F25" s="147">
        <f t="shared" si="3"/>
        <v>6.4745281989298754E-3</v>
      </c>
      <c r="G25" s="146">
        <f>SUMIF(Projetos_Ciclo!$B$2:$B$358,B25,Projetos_Ciclo!$FJ$2:$FJ$358)</f>
        <v>1875.9232478141785</v>
      </c>
      <c r="H25" s="146">
        <f t="shared" si="4"/>
        <v>2078.0309375524521</v>
      </c>
      <c r="I25" s="147">
        <f t="shared" si="5"/>
        <v>6.6569807021470154E-2</v>
      </c>
    </row>
    <row r="26" spans="2:9" x14ac:dyDescent="0.25">
      <c r="B26" s="145" t="s">
        <v>40</v>
      </c>
      <c r="C26" s="146">
        <f>PD!I20</f>
        <v>34562.445</v>
      </c>
      <c r="D26" s="146">
        <f>SUMIF(Projetos_Ciclo!$B$2:$B$358,B26,Projetos_Ciclo!$CA$2:$CA$358)</f>
        <v>28677.3369996619</v>
      </c>
      <c r="E26" s="146">
        <f>SUMIF(Projetos_Ciclo!$B$2:$B$358,B26,Projetos_Ciclo!$FF$2:$FF$358)</f>
        <v>274.82874850928783</v>
      </c>
      <c r="F26" s="147">
        <f t="shared" si="3"/>
        <v>9.5834821940589537E-3</v>
      </c>
      <c r="G26" s="146">
        <f>SUMIF(Projetos_Ciclo!$B$2:$B$358,B26,Projetos_Ciclo!$FJ$2:$FJ$358)</f>
        <v>1315.6191552653909</v>
      </c>
      <c r="H26" s="146">
        <f t="shared" si="4"/>
        <v>1590.4479037746787</v>
      </c>
      <c r="I26" s="147">
        <f t="shared" si="5"/>
        <v>5.5460097420950552E-2</v>
      </c>
    </row>
    <row r="27" spans="2:9" x14ac:dyDescent="0.25">
      <c r="B27" s="144" t="s">
        <v>41</v>
      </c>
      <c r="C27" s="146">
        <f>PD!I21</f>
        <v>25864</v>
      </c>
      <c r="D27" s="146">
        <f>SUMIF(Projetos_Ciclo!$B$2:$B$358,B27,Projetos_Ciclo!$CA$2:$CA$358)</f>
        <v>25460</v>
      </c>
      <c r="E27" s="146">
        <f>SUMIF(Projetos_Ciclo!$B$2:$B$358,B27,Projetos_Ciclo!$FF$2:$FF$358)</f>
        <v>0</v>
      </c>
      <c r="F27" s="147">
        <f t="shared" si="3"/>
        <v>0</v>
      </c>
      <c r="G27" s="146">
        <f>SUMIF(Projetos_Ciclo!$B$2:$B$358,B27,Projetos_Ciclo!$FJ$2:$FJ$358)</f>
        <v>4650.193359375</v>
      </c>
      <c r="H27" s="146">
        <f t="shared" si="4"/>
        <v>4650.193359375</v>
      </c>
      <c r="I27" s="147">
        <f t="shared" si="5"/>
        <v>0.182647029040652</v>
      </c>
    </row>
    <row r="28" spans="2:9" x14ac:dyDescent="0.25">
      <c r="B28" s="144" t="s">
        <v>42</v>
      </c>
      <c r="C28" s="146">
        <f>PD!I22</f>
        <v>204094.98699999999</v>
      </c>
      <c r="D28" s="146">
        <f>SUMIF(Projetos_Ciclo!$B$2:$B$358,B28,Projetos_Ciclo!$CA$2:$CA$358)</f>
        <v>220023.02464215868</v>
      </c>
      <c r="E28" s="146">
        <f>SUMIF(Projetos_Ciclo!$B$2:$B$358,B28,Projetos_Ciclo!$FF$2:$FF$358)</f>
        <v>16304.569687366486</v>
      </c>
      <c r="F28" s="147">
        <f t="shared" si="3"/>
        <v>7.4103924868244728E-2</v>
      </c>
      <c r="G28" s="146">
        <f>SUMIF(Projetos_Ciclo!$B$2:$B$358,B28,Projetos_Ciclo!$FJ$2:$FJ$358)</f>
        <v>14782.749924235046</v>
      </c>
      <c r="H28" s="146">
        <f t="shared" si="4"/>
        <v>31087.319611601532</v>
      </c>
      <c r="I28" s="147">
        <f t="shared" si="5"/>
        <v>0.14129121105466741</v>
      </c>
    </row>
    <row r="29" spans="2:9" x14ac:dyDescent="0.25">
      <c r="B29" s="145" t="s">
        <v>43</v>
      </c>
      <c r="C29" s="146">
        <f>PD!I23</f>
        <v>8548.4</v>
      </c>
      <c r="D29" s="146">
        <f>SUMIF(Projetos_Ciclo!$B$2:$B$358,B29,Projetos_Ciclo!$CA$2:$CA$358)</f>
        <v>8548.4</v>
      </c>
      <c r="E29" s="146">
        <f>SUMIF(Projetos_Ciclo!$B$2:$B$358,B29,Projetos_Ciclo!$FF$2:$FF$358)</f>
        <v>0</v>
      </c>
      <c r="F29" s="147">
        <f t="shared" si="3"/>
        <v>0</v>
      </c>
      <c r="G29" s="146">
        <f>SUMIF(Projetos_Ciclo!$B$2:$B$358,B29,Projetos_Ciclo!$FJ$2:$FJ$358)</f>
        <v>89.843727111816406</v>
      </c>
      <c r="H29" s="146">
        <f t="shared" si="4"/>
        <v>89.843727111816406</v>
      </c>
      <c r="I29" s="147">
        <f t="shared" si="5"/>
        <v>1.0510005043261477E-2</v>
      </c>
    </row>
    <row r="30" spans="2:9" x14ac:dyDescent="0.25">
      <c r="B30" s="148" t="s">
        <v>1427</v>
      </c>
      <c r="C30" s="149">
        <f>SUM(C24:C29)</f>
        <v>327604.97899999103</v>
      </c>
      <c r="D30" s="149">
        <f>SUM(D24:D29)</f>
        <v>327604.97899999109</v>
      </c>
      <c r="E30" s="149">
        <f>SUM(E24:E29)</f>
        <v>16805.110775515437</v>
      </c>
      <c r="F30" s="150">
        <f t="shared" si="3"/>
        <v>5.1296872308878722E-2</v>
      </c>
      <c r="G30" s="149">
        <f>SUM(G24:G29)</f>
        <v>24135.114644438028</v>
      </c>
      <c r="H30" s="149">
        <f>SUM(H24:H29)</f>
        <v>40940.225419953465</v>
      </c>
      <c r="I30" s="151">
        <v>0</v>
      </c>
    </row>
    <row r="33" spans="2:9" ht="15.75" x14ac:dyDescent="0.25">
      <c r="B33" s="152" t="s">
        <v>1441</v>
      </c>
      <c r="C33" s="152"/>
    </row>
    <row r="35" spans="2:9" x14ac:dyDescent="0.25">
      <c r="B35" s="143" t="s">
        <v>1426</v>
      </c>
      <c r="C35" s="143"/>
    </row>
    <row r="36" spans="2:9" x14ac:dyDescent="0.25">
      <c r="B36" s="143" t="s">
        <v>1430</v>
      </c>
      <c r="C36" s="143"/>
    </row>
    <row r="37" spans="2:9" x14ac:dyDescent="0.25">
      <c r="B37" s="143"/>
      <c r="C37" s="143"/>
    </row>
    <row r="38" spans="2:9" ht="15.75" x14ac:dyDescent="0.25">
      <c r="B38" s="464" t="s">
        <v>1442</v>
      </c>
      <c r="C38" s="465"/>
      <c r="D38" s="465"/>
      <c r="E38" s="465"/>
      <c r="F38" s="465"/>
      <c r="G38" s="465"/>
      <c r="H38" s="465"/>
      <c r="I38" s="466"/>
    </row>
    <row r="39" spans="2:9" ht="17.25" customHeight="1" x14ac:dyDescent="0.25">
      <c r="B39" s="295"/>
      <c r="C39" s="462" t="s">
        <v>1914</v>
      </c>
      <c r="D39" s="462" t="s">
        <v>1657</v>
      </c>
      <c r="E39" s="305" t="s">
        <v>1438</v>
      </c>
      <c r="F39" s="305" t="s">
        <v>1437</v>
      </c>
      <c r="G39" s="305" t="s">
        <v>1436</v>
      </c>
      <c r="H39" s="305" t="s">
        <v>1435</v>
      </c>
      <c r="I39" s="305" t="s">
        <v>1439</v>
      </c>
    </row>
    <row r="40" spans="2:9" ht="12.75" customHeight="1" x14ac:dyDescent="0.25">
      <c r="B40" s="295" t="s">
        <v>1</v>
      </c>
      <c r="C40" s="463"/>
      <c r="D40" s="463"/>
      <c r="E40" s="156">
        <f>$L$3</f>
        <v>43371</v>
      </c>
      <c r="F40" s="306"/>
      <c r="G40" s="306"/>
      <c r="H40" s="156">
        <f>$L$3</f>
        <v>43371</v>
      </c>
      <c r="I40" s="306"/>
    </row>
    <row r="41" spans="2:9" x14ac:dyDescent="0.25">
      <c r="B41" s="155"/>
      <c r="C41" s="155" t="s">
        <v>1433</v>
      </c>
      <c r="D41" s="155" t="s">
        <v>1434</v>
      </c>
      <c r="E41" s="155" t="s">
        <v>1658</v>
      </c>
      <c r="F41" s="155" t="s">
        <v>1960</v>
      </c>
      <c r="G41" s="155" t="s">
        <v>1961</v>
      </c>
      <c r="H41" s="155" t="s">
        <v>1962</v>
      </c>
      <c r="I41" s="155" t="s">
        <v>1963</v>
      </c>
    </row>
    <row r="42" spans="2:9" x14ac:dyDescent="0.25">
      <c r="B42" s="144" t="s">
        <v>27</v>
      </c>
      <c r="C42" s="146">
        <f>PD!D4</f>
        <v>781.71679999999992</v>
      </c>
      <c r="D42" s="146">
        <f>SUMIF(Projetos_Ciclo!$B$2:$B$358,B42,Projetos_Ciclo!$Z$2:$Z$358)</f>
        <v>283.39999999999986</v>
      </c>
      <c r="E42" s="146">
        <f>SUMIF(Projetos_Ciclo!$B$2:$B$358,B42,Projetos_Ciclo!$FF$2:$FF$358)</f>
        <v>106.28385317325592</v>
      </c>
      <c r="F42" s="147">
        <f t="shared" ref="F42:F48" si="6">IFERROR((E42/D42),0)</f>
        <v>0.37503123914345793</v>
      </c>
      <c r="G42" s="146">
        <f>SUMIF(Projetos_Ciclo!$B$2:$B$358,B42,Projetos_Ciclo!$FJ$2:$FJ$358)</f>
        <v>158.06665921211243</v>
      </c>
      <c r="H42" s="146">
        <f>E42+G42</f>
        <v>264.35051238536835</v>
      </c>
      <c r="I42" s="147">
        <f t="shared" ref="I42:I48" si="7">IFERROR((H42/D42),0)</f>
        <v>0.9327823302236008</v>
      </c>
    </row>
    <row r="43" spans="2:9" x14ac:dyDescent="0.25">
      <c r="B43" s="144" t="s">
        <v>28</v>
      </c>
      <c r="C43" s="146">
        <f>PD!D5</f>
        <v>29.25</v>
      </c>
      <c r="D43" s="146">
        <f>SUMIF(Projetos_Ciclo!$B$2:$B$358,B43,Projetos_Ciclo!$Z$2:$Z$358)</f>
        <v>10.000000000000002</v>
      </c>
      <c r="E43" s="146">
        <f>SUMIF(Projetos_Ciclo!$B$2:$B$358,B43,Projetos_Ciclo!$FF$2:$FF$358)</f>
        <v>2.2655799686908722</v>
      </c>
      <c r="F43" s="147">
        <f t="shared" si="6"/>
        <v>0.22655799686908717</v>
      </c>
      <c r="G43" s="146">
        <f>SUMIF(Projetos_Ciclo!$B$2:$B$358,B43,Projetos_Ciclo!$FJ$2:$FJ$358)</f>
        <v>0</v>
      </c>
      <c r="H43" s="146">
        <f t="shared" ref="H43:H47" si="8">E43+G43</f>
        <v>2.2655799686908722</v>
      </c>
      <c r="I43" s="147">
        <f t="shared" si="7"/>
        <v>0.22655799686908717</v>
      </c>
    </row>
    <row r="44" spans="2:9" x14ac:dyDescent="0.25">
      <c r="B44" s="145" t="s">
        <v>29</v>
      </c>
      <c r="C44" s="146">
        <f>PD!D6</f>
        <v>58.6</v>
      </c>
      <c r="D44" s="146">
        <f>SUMIF(Projetos_Ciclo!$B$2:$B$358,B44,Projetos_Ciclo!$Z$2:$Z$358)</f>
        <v>58.6</v>
      </c>
      <c r="E44" s="146">
        <f>SUMIF(Projetos_Ciclo!$B$2:$B$358,B44,Projetos_Ciclo!$FF$2:$FF$358)</f>
        <v>0</v>
      </c>
      <c r="F44" s="147">
        <f t="shared" si="6"/>
        <v>0</v>
      </c>
      <c r="G44" s="146">
        <f>SUMIF(Projetos_Ciclo!$B$2:$B$358,B44,Projetos_Ciclo!$FJ$2:$FJ$358)</f>
        <v>47.798999786376953</v>
      </c>
      <c r="H44" s="146">
        <f t="shared" si="8"/>
        <v>47.798999786376953</v>
      </c>
      <c r="I44" s="147">
        <f t="shared" si="7"/>
        <v>0.81568259021121081</v>
      </c>
    </row>
    <row r="45" spans="2:9" x14ac:dyDescent="0.25">
      <c r="B45" s="144" t="s">
        <v>30</v>
      </c>
      <c r="C45" s="146">
        <f>PD!D7</f>
        <v>1886.40985</v>
      </c>
      <c r="D45" s="146">
        <f>SUMIF(Projetos_Ciclo!$B$2:$B$358,B45,Projetos_Ciclo!$Z$2:$Z$358)</f>
        <v>1613.0843323699951</v>
      </c>
      <c r="E45" s="146">
        <f>SUMIF(Projetos_Ciclo!$B$2:$B$358,B45,Projetos_Ciclo!$FF$2:$FF$358)</f>
        <v>347.26418209075928</v>
      </c>
      <c r="F45" s="147">
        <f t="shared" si="6"/>
        <v>0.21527961999392037</v>
      </c>
      <c r="G45" s="146">
        <f>SUMIF(Projetos_Ciclo!$B$2:$B$358,B45,Projetos_Ciclo!$FJ$2:$FJ$358)</f>
        <v>862.81965637207031</v>
      </c>
      <c r="H45" s="146">
        <f t="shared" si="8"/>
        <v>1210.0838384628296</v>
      </c>
      <c r="I45" s="147">
        <f t="shared" si="7"/>
        <v>0.75016774645931605</v>
      </c>
    </row>
    <row r="46" spans="2:9" x14ac:dyDescent="0.25">
      <c r="B46" s="144" t="s">
        <v>31</v>
      </c>
      <c r="C46" s="146">
        <f>PD!D8</f>
        <v>102.5</v>
      </c>
      <c r="D46" s="146">
        <f>SUMIF(Projetos_Ciclo!$B$2:$B$358,B46,Projetos_Ciclo!$Z$2:$Z$358)</f>
        <v>0</v>
      </c>
      <c r="E46" s="146">
        <f>SUMIF(Projetos_Ciclo!$B$2:$B$358,B46,Projetos_Ciclo!$FF$2:$FF$358)</f>
        <v>0</v>
      </c>
      <c r="F46" s="147">
        <f t="shared" si="6"/>
        <v>0</v>
      </c>
      <c r="G46" s="146">
        <f>SUMIF(Projetos_Ciclo!$B$2:$B$358,B46,Projetos_Ciclo!$FJ$2:$FJ$358)</f>
        <v>0</v>
      </c>
      <c r="H46" s="146">
        <f t="shared" si="8"/>
        <v>0</v>
      </c>
      <c r="I46" s="147">
        <f t="shared" si="7"/>
        <v>0</v>
      </c>
    </row>
    <row r="47" spans="2:9" x14ac:dyDescent="0.25">
      <c r="B47" s="145" t="s">
        <v>1431</v>
      </c>
      <c r="C47" s="146">
        <f>PD!D9</f>
        <v>518</v>
      </c>
      <c r="D47" s="146">
        <f>SUMIF(Projetos_Ciclo!$B$2:$B$358,B47,Projetos_Ciclo!$Z$2:$Z$358)</f>
        <v>420.29000020027132</v>
      </c>
      <c r="E47" s="146">
        <f>SUMIF(Projetos_Ciclo!$B$2:$B$358,B47,Projetos_Ciclo!$FF$2:$FF$358)</f>
        <v>107.42537140846252</v>
      </c>
      <c r="F47" s="147">
        <f t="shared" si="6"/>
        <v>0.25559820922999249</v>
      </c>
      <c r="G47" s="146">
        <f>SUMIF(Projetos_Ciclo!$B$2:$B$358,B47,Projetos_Ciclo!$FJ$2:$FJ$358)</f>
        <v>156.1749792098999</v>
      </c>
      <c r="H47" s="146">
        <f t="shared" si="8"/>
        <v>263.60035061836243</v>
      </c>
      <c r="I47" s="147">
        <f t="shared" si="7"/>
        <v>0.62718682455627039</v>
      </c>
    </row>
    <row r="48" spans="2:9" x14ac:dyDescent="0.25">
      <c r="B48" s="148" t="s">
        <v>1427</v>
      </c>
      <c r="C48" s="149">
        <f>SUM(C42:C47)</f>
        <v>3376.4766500000001</v>
      </c>
      <c r="D48" s="149">
        <f>SUM(D42:D47)</f>
        <v>2385.3743325702662</v>
      </c>
      <c r="E48" s="149">
        <f>SUM(E42:E47)</f>
        <v>563.23898664116859</v>
      </c>
      <c r="F48" s="150">
        <f t="shared" si="6"/>
        <v>0.23612184425338081</v>
      </c>
      <c r="G48" s="149">
        <f>SUM(G42:G47)</f>
        <v>1224.8602945804596</v>
      </c>
      <c r="H48" s="149">
        <f>SUM(H42:H47)</f>
        <v>1788.0992812216282</v>
      </c>
      <c r="I48" s="151">
        <f t="shared" si="7"/>
        <v>0.74960950858179654</v>
      </c>
    </row>
    <row r="51" spans="2:9" ht="13.5" customHeight="1" x14ac:dyDescent="0.25">
      <c r="B51" s="464" t="s">
        <v>1649</v>
      </c>
      <c r="C51" s="465"/>
      <c r="D51" s="465"/>
      <c r="E51" s="465"/>
      <c r="F51" s="465"/>
      <c r="G51" s="465"/>
      <c r="H51" s="465"/>
      <c r="I51" s="466"/>
    </row>
    <row r="52" spans="2:9" ht="18.75" customHeight="1" x14ac:dyDescent="0.25">
      <c r="B52" s="295"/>
      <c r="C52" s="462" t="s">
        <v>1914</v>
      </c>
      <c r="D52" s="462" t="s">
        <v>1657</v>
      </c>
      <c r="E52" s="305" t="s">
        <v>1438</v>
      </c>
      <c r="F52" s="305" t="s">
        <v>1437</v>
      </c>
      <c r="G52" s="305" t="s">
        <v>1436</v>
      </c>
      <c r="H52" s="305" t="s">
        <v>1435</v>
      </c>
      <c r="I52" s="305" t="s">
        <v>1439</v>
      </c>
    </row>
    <row r="53" spans="2:9" x14ac:dyDescent="0.25">
      <c r="B53" s="295" t="s">
        <v>1</v>
      </c>
      <c r="C53" s="463"/>
      <c r="D53" s="463"/>
      <c r="E53" s="156">
        <f>$L$3</f>
        <v>43371</v>
      </c>
      <c r="F53" s="306"/>
      <c r="G53" s="306"/>
      <c r="H53" s="156">
        <f>$L$3</f>
        <v>43371</v>
      </c>
      <c r="I53" s="306"/>
    </row>
    <row r="54" spans="2:9" x14ac:dyDescent="0.25">
      <c r="B54" s="155"/>
      <c r="C54" s="155" t="s">
        <v>1433</v>
      </c>
      <c r="D54" s="155" t="s">
        <v>1434</v>
      </c>
      <c r="E54" s="155" t="s">
        <v>1658</v>
      </c>
      <c r="F54" s="155" t="s">
        <v>1960</v>
      </c>
      <c r="G54" s="155" t="s">
        <v>1961</v>
      </c>
      <c r="H54" s="155" t="s">
        <v>1962</v>
      </c>
      <c r="I54" s="155" t="s">
        <v>1963</v>
      </c>
    </row>
    <row r="55" spans="2:9" x14ac:dyDescent="0.25">
      <c r="B55" s="144" t="s">
        <v>27</v>
      </c>
      <c r="C55" s="146">
        <f>PD!I4</f>
        <v>2636.1707999999999</v>
      </c>
      <c r="D55" s="146">
        <f>SUMIF(Projetos_Ciclo!$B$2:$B$358,B55,Projetos_Ciclo!$CA$2:$CA$358)</f>
        <v>2636.1463151348903</v>
      </c>
      <c r="E55" s="146">
        <f>SUMIF(Projetos_Ciclo!$B$2:$B$358,B55,Projetos_Ciclo!$FF$2:$FF$358)</f>
        <v>106.28385317325592</v>
      </c>
      <c r="F55" s="147">
        <f t="shared" ref="F55:F61" si="9">IFERROR((E55/D55),0)</f>
        <v>4.0317888488605166E-2</v>
      </c>
      <c r="G55" s="146">
        <f>SUMIF(Projetos_Ciclo!$B$2:$B$358,B55,Projetos_Ciclo!$FJ$2:$FJ$358)</f>
        <v>158.06665921211243</v>
      </c>
      <c r="H55" s="146">
        <f t="shared" ref="H55:H60" si="10">E55+G55</f>
        <v>264.35051238536835</v>
      </c>
      <c r="I55" s="147">
        <f t="shared" ref="I55:I61" si="11">IFERROR((H55/D55),0)</f>
        <v>0.1002791502382301</v>
      </c>
    </row>
    <row r="56" spans="2:9" x14ac:dyDescent="0.25">
      <c r="B56" s="144" t="s">
        <v>28</v>
      </c>
      <c r="C56" s="146">
        <f>PD!I5</f>
        <v>167.25</v>
      </c>
      <c r="D56" s="146">
        <f>SUMIF(Projetos_Ciclo!$B$2:$B$358,B56,Projetos_Ciclo!$CA$2:$CA$358)</f>
        <v>167</v>
      </c>
      <c r="E56" s="146">
        <f>SUMIF(Projetos_Ciclo!$B$2:$B$358,B56,Projetos_Ciclo!$FF$2:$FF$358)</f>
        <v>2.2655799686908722</v>
      </c>
      <c r="F56" s="147">
        <f t="shared" si="9"/>
        <v>1.3566347117909414E-2</v>
      </c>
      <c r="G56" s="146">
        <f>SUMIF(Projetos_Ciclo!$B$2:$B$358,B56,Projetos_Ciclo!$FJ$2:$FJ$358)</f>
        <v>0</v>
      </c>
      <c r="H56" s="146">
        <f t="shared" si="10"/>
        <v>2.2655799686908722</v>
      </c>
      <c r="I56" s="147">
        <f t="shared" si="11"/>
        <v>1.3566347117909414E-2</v>
      </c>
    </row>
    <row r="57" spans="2:9" x14ac:dyDescent="0.25">
      <c r="B57" s="145" t="s">
        <v>29</v>
      </c>
      <c r="C57" s="146">
        <f>PD!I6</f>
        <v>955.2</v>
      </c>
      <c r="D57" s="146">
        <f>SUMIF(Projetos_Ciclo!$B$2:$B$358,B57,Projetos_Ciclo!$CA$2:$CA$358)</f>
        <v>955.2</v>
      </c>
      <c r="E57" s="146">
        <f>SUMIF(Projetos_Ciclo!$B$2:$B$358,B57,Projetos_Ciclo!$FF$2:$FF$358)</f>
        <v>0</v>
      </c>
      <c r="F57" s="147">
        <f t="shared" si="9"/>
        <v>0</v>
      </c>
      <c r="G57" s="146">
        <f>SUMIF(Projetos_Ciclo!$B$2:$B$358,B57,Projetos_Ciclo!$FJ$2:$FJ$358)</f>
        <v>47.798999786376953</v>
      </c>
      <c r="H57" s="146">
        <f t="shared" si="10"/>
        <v>47.798999786376953</v>
      </c>
      <c r="I57" s="147">
        <f t="shared" si="11"/>
        <v>5.0040828922086424E-2</v>
      </c>
    </row>
    <row r="58" spans="2:9" x14ac:dyDescent="0.25">
      <c r="B58" s="144" t="s">
        <v>30</v>
      </c>
      <c r="C58" s="146">
        <f>PD!I7</f>
        <v>6120.8098499999996</v>
      </c>
      <c r="D58" s="146">
        <f>SUMIF(Projetos_Ciclo!$B$2:$B$358,B58,Projetos_Ciclo!$CA$2:$CA$358)</f>
        <v>6121.0843323699946</v>
      </c>
      <c r="E58" s="146">
        <f>SUMIF(Projetos_Ciclo!$B$2:$B$358,B58,Projetos_Ciclo!$FF$2:$FF$358)</f>
        <v>347.26418209075928</v>
      </c>
      <c r="F58" s="147">
        <f t="shared" si="9"/>
        <v>5.6732461641531354E-2</v>
      </c>
      <c r="G58" s="146">
        <f>SUMIF(Projetos_Ciclo!$B$2:$B$358,B58,Projetos_Ciclo!$FJ$2:$FJ$358)</f>
        <v>862.81965637207031</v>
      </c>
      <c r="H58" s="146">
        <f t="shared" si="10"/>
        <v>1210.0838384628296</v>
      </c>
      <c r="I58" s="147">
        <f t="shared" si="11"/>
        <v>0.19769109078657354</v>
      </c>
    </row>
    <row r="59" spans="2:9" x14ac:dyDescent="0.25">
      <c r="B59" s="144" t="s">
        <v>31</v>
      </c>
      <c r="C59" s="146">
        <f>PD!I8</f>
        <v>102.5</v>
      </c>
      <c r="D59" s="146">
        <f>SUMIF(Projetos_Ciclo!$B$2:$B$358,B59,Projetos_Ciclo!$CA$2:$CA$358)</f>
        <v>102.5</v>
      </c>
      <c r="E59" s="146">
        <f>SUMIF(Projetos_Ciclo!$B$2:$B$358,B59,Projetos_Ciclo!$FF$2:$FF$358)</f>
        <v>0</v>
      </c>
      <c r="F59" s="147">
        <f t="shared" si="9"/>
        <v>0</v>
      </c>
      <c r="G59" s="146">
        <f>SUMIF(Projetos_Ciclo!$B$2:$B$358,B59,Projetos_Ciclo!$FJ$2:$FJ$358)</f>
        <v>0</v>
      </c>
      <c r="H59" s="146">
        <f t="shared" si="10"/>
        <v>0</v>
      </c>
      <c r="I59" s="147">
        <f t="shared" si="11"/>
        <v>0</v>
      </c>
    </row>
    <row r="60" spans="2:9" x14ac:dyDescent="0.25">
      <c r="B60" s="145" t="s">
        <v>1431</v>
      </c>
      <c r="C60" s="146">
        <f>PD!I9</f>
        <v>2300.7269999999999</v>
      </c>
      <c r="D60" s="146">
        <f>SUMIF(Projetos_Ciclo!$B$2:$B$358,B60,Projetos_Ciclo!$CA$2:$CA$358)</f>
        <v>2300.7270024951167</v>
      </c>
      <c r="E60" s="146">
        <f>SUMIF(Projetos_Ciclo!$B$2:$B$358,B60,Projetos_Ciclo!$FF$2:$FF$358)</f>
        <v>107.42537140846252</v>
      </c>
      <c r="F60" s="147">
        <f t="shared" si="9"/>
        <v>4.6691924462120331E-2</v>
      </c>
      <c r="G60" s="146">
        <f>SUMIF(Projetos_Ciclo!$B$2:$B$358,B60,Projetos_Ciclo!$FJ$2:$FJ$358)</f>
        <v>156.1749792098999</v>
      </c>
      <c r="H60" s="146">
        <f t="shared" si="10"/>
        <v>263.60035061836243</v>
      </c>
      <c r="I60" s="147">
        <f t="shared" si="11"/>
        <v>0.11457263305576469</v>
      </c>
    </row>
    <row r="61" spans="2:9" x14ac:dyDescent="0.25">
      <c r="B61" s="148" t="s">
        <v>1427</v>
      </c>
      <c r="C61" s="149">
        <f>SUM(C55:C60)</f>
        <v>12282.657649999997</v>
      </c>
      <c r="D61" s="149">
        <f>SUM(D55:D60)</f>
        <v>12282.657650000001</v>
      </c>
      <c r="E61" s="149">
        <f>SUM(E55:E60)</f>
        <v>563.23898664116859</v>
      </c>
      <c r="F61" s="150">
        <f t="shared" si="9"/>
        <v>4.5856442692691068E-2</v>
      </c>
      <c r="G61" s="149">
        <f>SUM(G55:G60)</f>
        <v>1224.8602945804596</v>
      </c>
      <c r="H61" s="149">
        <f>SUM(H55:H60)</f>
        <v>1788.0992812216282</v>
      </c>
      <c r="I61" s="151">
        <f t="shared" si="11"/>
        <v>0.14557918425916788</v>
      </c>
    </row>
    <row r="64" spans="2:9" ht="15.75" x14ac:dyDescent="0.25">
      <c r="B64" s="152" t="s">
        <v>1443</v>
      </c>
      <c r="C64" s="152"/>
    </row>
    <row r="66" spans="2:9" x14ac:dyDescent="0.25">
      <c r="B66" s="143" t="s">
        <v>1426</v>
      </c>
      <c r="C66" s="143"/>
    </row>
    <row r="67" spans="2:9" x14ac:dyDescent="0.25">
      <c r="B67" s="143" t="s">
        <v>1430</v>
      </c>
      <c r="C67" s="143"/>
    </row>
    <row r="68" spans="2:9" x14ac:dyDescent="0.25">
      <c r="B68" s="143"/>
      <c r="C68" s="143"/>
    </row>
    <row r="69" spans="2:9" ht="15.75" x14ac:dyDescent="0.25">
      <c r="B69" s="464" t="s">
        <v>1444</v>
      </c>
      <c r="C69" s="465"/>
      <c r="D69" s="465"/>
      <c r="E69" s="465"/>
      <c r="F69" s="465"/>
      <c r="G69" s="465"/>
      <c r="H69" s="465"/>
      <c r="I69" s="466"/>
    </row>
    <row r="70" spans="2:9" ht="25.5" x14ac:dyDescent="0.25">
      <c r="B70" s="295"/>
      <c r="C70" s="462" t="s">
        <v>1914</v>
      </c>
      <c r="D70" s="462" t="s">
        <v>1657</v>
      </c>
      <c r="E70" s="305" t="s">
        <v>1438</v>
      </c>
      <c r="F70" s="305" t="s">
        <v>1437</v>
      </c>
      <c r="G70" s="305" t="s">
        <v>1436</v>
      </c>
      <c r="H70" s="305" t="s">
        <v>1435</v>
      </c>
      <c r="I70" s="305" t="s">
        <v>1439</v>
      </c>
    </row>
    <row r="71" spans="2:9" x14ac:dyDescent="0.25">
      <c r="B71" s="295" t="s">
        <v>1</v>
      </c>
      <c r="C71" s="463"/>
      <c r="D71" s="463"/>
      <c r="E71" s="156">
        <f>$L$3</f>
        <v>43371</v>
      </c>
      <c r="F71" s="306"/>
      <c r="G71" s="306"/>
      <c r="H71" s="156">
        <f>$L$3</f>
        <v>43371</v>
      </c>
      <c r="I71" s="306"/>
    </row>
    <row r="72" spans="2:9" x14ac:dyDescent="0.25">
      <c r="B72" s="155"/>
      <c r="C72" s="155" t="s">
        <v>1433</v>
      </c>
      <c r="D72" s="155" t="s">
        <v>1434</v>
      </c>
      <c r="E72" s="155" t="s">
        <v>1658</v>
      </c>
      <c r="F72" s="155" t="s">
        <v>1960</v>
      </c>
      <c r="G72" s="155" t="s">
        <v>1961</v>
      </c>
      <c r="H72" s="155" t="s">
        <v>1962</v>
      </c>
      <c r="I72" s="155" t="s">
        <v>1963</v>
      </c>
    </row>
    <row r="73" spans="2:9" x14ac:dyDescent="0.25">
      <c r="B73" s="144" t="s">
        <v>33</v>
      </c>
      <c r="C73" s="146">
        <f>PD!D11</f>
        <v>0</v>
      </c>
      <c r="D73" s="146">
        <f>SUMIF(Projetos_Ciclo!$B$2:$B$358,B73,Projetos_Ciclo!$Z$2:$Z$358)</f>
        <v>0</v>
      </c>
      <c r="E73" s="146">
        <f>SUMIF(Projetos_Ciclo!$B$2:$B$358,B73,Projetos_Ciclo!$FF$2:$FF$358)</f>
        <v>0</v>
      </c>
      <c r="F73" s="147">
        <f t="shared" ref="F73:F79" si="12">IFERROR((E73/D73),0)</f>
        <v>0</v>
      </c>
      <c r="G73" s="146">
        <f>SUMIF(Projetos_Ciclo!$B$2:$B$358,B73,Projetos_Ciclo!$FJ$2:$FJ$358)</f>
        <v>0</v>
      </c>
      <c r="H73" s="146">
        <f>E73+G73</f>
        <v>0</v>
      </c>
      <c r="I73" s="147">
        <f t="shared" ref="I73:I79" si="13">IFERROR((H73/D73),0)</f>
        <v>0</v>
      </c>
    </row>
    <row r="74" spans="2:9" x14ac:dyDescent="0.25">
      <c r="B74" s="144" t="s">
        <v>34</v>
      </c>
      <c r="C74" s="146">
        <f>PD!D12</f>
        <v>142.25</v>
      </c>
      <c r="D74" s="146">
        <f>SUMIF(Projetos_Ciclo!$B$2:$B$358,B74,Projetos_Ciclo!$Z$2:$Z$358)</f>
        <v>142.21934999999999</v>
      </c>
      <c r="E74" s="146">
        <f>SUMIF(Projetos_Ciclo!$B$2:$B$358,B74,Projetos_Ciclo!$FF$2:$FF$358)</f>
        <v>0</v>
      </c>
      <c r="F74" s="147">
        <f t="shared" si="12"/>
        <v>0</v>
      </c>
      <c r="G74" s="146">
        <f>SUMIF(Projetos_Ciclo!$B$2:$B$358,B74,Projetos_Ciclo!$FJ$2:$FJ$358)</f>
        <v>113.35815811157227</v>
      </c>
      <c r="H74" s="146">
        <f t="shared" ref="H74:H78" si="14">E74+G74</f>
        <v>113.35815811157227</v>
      </c>
      <c r="I74" s="147">
        <f t="shared" si="13"/>
        <v>0.79706564621180076</v>
      </c>
    </row>
    <row r="75" spans="2:9" x14ac:dyDescent="0.25">
      <c r="B75" s="145" t="s">
        <v>35</v>
      </c>
      <c r="C75" s="146">
        <f>PD!D13</f>
        <v>415</v>
      </c>
      <c r="D75" s="146">
        <f>SUMIF(Projetos_Ciclo!$B$2:$B$358,B75,Projetos_Ciclo!$Z$2:$Z$358)</f>
        <v>415</v>
      </c>
      <c r="E75" s="146">
        <f>SUMIF(Projetos_Ciclo!$B$2:$B$358,B75,Projetos_Ciclo!$FF$2:$FF$358)</f>
        <v>0</v>
      </c>
      <c r="F75" s="147">
        <f t="shared" si="12"/>
        <v>0</v>
      </c>
      <c r="G75" s="146">
        <f>SUMIF(Projetos_Ciclo!$B$2:$B$358,B75,Projetos_Ciclo!$FJ$2:$FJ$358)</f>
        <v>388.48779296875</v>
      </c>
      <c r="H75" s="146">
        <f t="shared" si="14"/>
        <v>388.48779296875</v>
      </c>
      <c r="I75" s="147">
        <f t="shared" si="13"/>
        <v>0.9361151637801205</v>
      </c>
    </row>
    <row r="76" spans="2:9" x14ac:dyDescent="0.25">
      <c r="B76" s="144" t="s">
        <v>36</v>
      </c>
      <c r="C76" s="146">
        <f>PD!D14</f>
        <v>128.52000000000001</v>
      </c>
      <c r="D76" s="146">
        <f>SUMIF(Projetos_Ciclo!$B$2:$B$358,B76,Projetos_Ciclo!$Z$2:$Z$358)</f>
        <v>97.797317504882813</v>
      </c>
      <c r="E76" s="146">
        <f>SUMIF(Projetos_Ciclo!$B$2:$B$358,B76,Projetos_Ciclo!$FF$2:$FF$358)</f>
        <v>97.797317504882813</v>
      </c>
      <c r="F76" s="147">
        <f t="shared" si="12"/>
        <v>1</v>
      </c>
      <c r="G76" s="146">
        <f>SUMIF(Projetos_Ciclo!$B$2:$B$358,B76,Projetos_Ciclo!$FJ$2:$FJ$358)</f>
        <v>0</v>
      </c>
      <c r="H76" s="146">
        <f t="shared" si="14"/>
        <v>97.797317504882813</v>
      </c>
      <c r="I76" s="147">
        <f t="shared" si="13"/>
        <v>1</v>
      </c>
    </row>
    <row r="77" spans="2:9" x14ac:dyDescent="0.25">
      <c r="B77" s="144" t="s">
        <v>37</v>
      </c>
      <c r="C77" s="146">
        <f>PD!D15</f>
        <v>1618.44</v>
      </c>
      <c r="D77" s="146">
        <f>SUMIF(Projetos_Ciclo!$B$2:$B$358,B77,Projetos_Ciclo!$Z$2:$Z$358)</f>
        <v>0</v>
      </c>
      <c r="E77" s="146">
        <f>SUMIF(Projetos_Ciclo!$B$2:$B$358,B77,Projetos_Ciclo!$FF$2:$FF$358)</f>
        <v>0</v>
      </c>
      <c r="F77" s="147">
        <f t="shared" si="12"/>
        <v>0</v>
      </c>
      <c r="G77" s="146">
        <f>SUMIF(Projetos_Ciclo!$B$2:$B$358,B77,Projetos_Ciclo!$FJ$2:$FJ$358)</f>
        <v>988</v>
      </c>
      <c r="H77" s="146">
        <f t="shared" si="14"/>
        <v>988</v>
      </c>
      <c r="I77" s="147">
        <f t="shared" si="13"/>
        <v>0</v>
      </c>
    </row>
    <row r="78" spans="2:9" x14ac:dyDescent="0.25">
      <c r="B78" s="145" t="s">
        <v>1432</v>
      </c>
      <c r="C78" s="146">
        <f>PD!D16</f>
        <v>1815.217365</v>
      </c>
      <c r="D78" s="146">
        <f>SUMIF(Projetos_Ciclo!$B$2:$B$358,B78,Projetos_Ciclo!$Z$2:$Z$358)</f>
        <v>1786.6762499806587</v>
      </c>
      <c r="E78" s="146">
        <f>SUMIF(Projetos_Ciclo!$B$2:$B$358,B78,Projetos_Ciclo!$FF$2:$FF$358)</f>
        <v>233.92001962661743</v>
      </c>
      <c r="F78" s="147">
        <f t="shared" si="12"/>
        <v>0.13092468186620251</v>
      </c>
      <c r="G78" s="146">
        <f>SUMIF(Projetos_Ciclo!$B$2:$B$358,B78,Projetos_Ciclo!$FJ$2:$FJ$358)</f>
        <v>1427.8661592791359</v>
      </c>
      <c r="H78" s="146">
        <f t="shared" si="14"/>
        <v>1661.7861789057533</v>
      </c>
      <c r="I78" s="147">
        <f t="shared" si="13"/>
        <v>0.9300992157497715</v>
      </c>
    </row>
    <row r="79" spans="2:9" x14ac:dyDescent="0.25">
      <c r="B79" s="148" t="s">
        <v>1427</v>
      </c>
      <c r="C79" s="149">
        <f>SUM(C73:C78)</f>
        <v>4119.4273649999996</v>
      </c>
      <c r="D79" s="149">
        <f>SUM(D73:D78)</f>
        <v>2441.6929174855413</v>
      </c>
      <c r="E79" s="149">
        <f>SUM(E73:E78)</f>
        <v>331.71733713150024</v>
      </c>
      <c r="F79" s="150">
        <f t="shared" si="12"/>
        <v>0.13585546927543338</v>
      </c>
      <c r="G79" s="149">
        <f>SUM(G73:G78)</f>
        <v>2917.7121103594582</v>
      </c>
      <c r="H79" s="149">
        <f>SUM(H73:H78)</f>
        <v>3249.4294474909584</v>
      </c>
      <c r="I79" s="151">
        <f t="shared" si="13"/>
        <v>1.3308100393055262</v>
      </c>
    </row>
    <row r="82" spans="2:9" ht="15.75" x14ac:dyDescent="0.25">
      <c r="B82" s="464" t="s">
        <v>1650</v>
      </c>
      <c r="C82" s="465"/>
      <c r="D82" s="465"/>
      <c r="E82" s="465"/>
      <c r="F82" s="465"/>
      <c r="G82" s="465"/>
      <c r="H82" s="465"/>
      <c r="I82" s="466"/>
    </row>
    <row r="83" spans="2:9" ht="25.5" x14ac:dyDescent="0.25">
      <c r="B83" s="295"/>
      <c r="C83" s="462" t="s">
        <v>1914</v>
      </c>
      <c r="D83" s="462" t="s">
        <v>1657</v>
      </c>
      <c r="E83" s="305" t="s">
        <v>1438</v>
      </c>
      <c r="F83" s="305" t="s">
        <v>1437</v>
      </c>
      <c r="G83" s="305" t="s">
        <v>1436</v>
      </c>
      <c r="H83" s="305" t="s">
        <v>1435</v>
      </c>
      <c r="I83" s="305" t="s">
        <v>1439</v>
      </c>
    </row>
    <row r="84" spans="2:9" x14ac:dyDescent="0.25">
      <c r="B84" s="295" t="s">
        <v>1</v>
      </c>
      <c r="C84" s="463"/>
      <c r="D84" s="463"/>
      <c r="E84" s="156">
        <f>$L$3</f>
        <v>43371</v>
      </c>
      <c r="F84" s="306"/>
      <c r="G84" s="306"/>
      <c r="H84" s="156">
        <f>$L$3</f>
        <v>43371</v>
      </c>
      <c r="I84" s="306"/>
    </row>
    <row r="85" spans="2:9" x14ac:dyDescent="0.25">
      <c r="B85" s="155"/>
      <c r="C85" s="155" t="s">
        <v>1433</v>
      </c>
      <c r="D85" s="155" t="s">
        <v>1434</v>
      </c>
      <c r="E85" s="155" t="s">
        <v>1658</v>
      </c>
      <c r="F85" s="155" t="s">
        <v>1960</v>
      </c>
      <c r="G85" s="155" t="s">
        <v>1961</v>
      </c>
      <c r="H85" s="155" t="s">
        <v>1962</v>
      </c>
      <c r="I85" s="155" t="s">
        <v>1963</v>
      </c>
    </row>
    <row r="86" spans="2:9" x14ac:dyDescent="0.25">
      <c r="B86" s="144" t="s">
        <v>33</v>
      </c>
      <c r="C86" s="146">
        <f>PD!I11</f>
        <v>1910.5</v>
      </c>
      <c r="D86" s="146">
        <f>SUMIF(Projetos_Ciclo!$B$2:$B$358,B86,Projetos_Ciclo!$CA$2:$CA$358)</f>
        <v>1910.5</v>
      </c>
      <c r="E86" s="146">
        <f>SUMIF(Projetos_Ciclo!$B$2:$B$358,B86,Projetos_Ciclo!$FF$2:$FF$358)</f>
        <v>0</v>
      </c>
      <c r="F86" s="147">
        <f t="shared" ref="F86:F92" si="15">IFERROR((E86/D86),0)</f>
        <v>0</v>
      </c>
      <c r="G86" s="146">
        <f>SUMIF(Projetos_Ciclo!$B$2:$B$358,B86,Projetos_Ciclo!$FJ$2:$FJ$358)</f>
        <v>0</v>
      </c>
      <c r="H86" s="146">
        <f t="shared" ref="H86:H91" si="16">E86+G86</f>
        <v>0</v>
      </c>
      <c r="I86" s="147">
        <f t="shared" ref="I86:I92" si="17">IFERROR((H86/D86),0)</f>
        <v>0</v>
      </c>
    </row>
    <row r="87" spans="2:9" x14ac:dyDescent="0.25">
      <c r="B87" s="144" t="s">
        <v>34</v>
      </c>
      <c r="C87" s="146">
        <f>PD!I12</f>
        <v>438.25</v>
      </c>
      <c r="D87" s="146">
        <f>SUMIF(Projetos_Ciclo!$B$2:$B$358,B87,Projetos_Ciclo!$CA$2:$CA$358)</f>
        <v>591.05268249511812</v>
      </c>
      <c r="E87" s="146">
        <f>SUMIF(Projetos_Ciclo!$B$2:$B$358,B87,Projetos_Ciclo!$FF$2:$FF$358)</f>
        <v>0</v>
      </c>
      <c r="F87" s="147">
        <f t="shared" si="15"/>
        <v>0</v>
      </c>
      <c r="G87" s="146">
        <f>SUMIF(Projetos_Ciclo!$B$2:$B$358,B87,Projetos_Ciclo!$FJ$2:$FJ$358)</f>
        <v>113.35815811157227</v>
      </c>
      <c r="H87" s="146">
        <f t="shared" si="16"/>
        <v>113.35815811157227</v>
      </c>
      <c r="I87" s="147">
        <f t="shared" si="17"/>
        <v>0.19179027770085211</v>
      </c>
    </row>
    <row r="88" spans="2:9" x14ac:dyDescent="0.25">
      <c r="B88" s="145" t="s">
        <v>35</v>
      </c>
      <c r="C88" s="146">
        <f>PD!I13</f>
        <v>943.5</v>
      </c>
      <c r="D88" s="146">
        <f>SUMIF(Projetos_Ciclo!$B$2:$B$358,B88,Projetos_Ciclo!$CA$2:$CA$358)</f>
        <v>943.5</v>
      </c>
      <c r="E88" s="146">
        <f>SUMIF(Projetos_Ciclo!$B$2:$B$358,B88,Projetos_Ciclo!$FF$2:$FF$358)</f>
        <v>0</v>
      </c>
      <c r="F88" s="147">
        <f t="shared" si="15"/>
        <v>0</v>
      </c>
      <c r="G88" s="146">
        <f>SUMIF(Projetos_Ciclo!$B$2:$B$358,B88,Projetos_Ciclo!$FJ$2:$FJ$358)</f>
        <v>388.48779296875</v>
      </c>
      <c r="H88" s="146">
        <f t="shared" si="16"/>
        <v>388.48779296875</v>
      </c>
      <c r="I88" s="147">
        <f t="shared" si="17"/>
        <v>0.41175176785241124</v>
      </c>
    </row>
    <row r="89" spans="2:9" x14ac:dyDescent="0.25">
      <c r="B89" s="144" t="s">
        <v>36</v>
      </c>
      <c r="C89" s="146">
        <f>PD!I14</f>
        <v>642.6</v>
      </c>
      <c r="D89" s="146">
        <f>SUMIF(Projetos_Ciclo!$B$2:$B$358,B89,Projetos_Ciclo!$CA$2:$CA$358)</f>
        <v>689.79731750488281</v>
      </c>
      <c r="E89" s="146">
        <f>SUMIF(Projetos_Ciclo!$B$2:$B$358,B89,Projetos_Ciclo!$FF$2:$FF$358)</f>
        <v>97.797317504882813</v>
      </c>
      <c r="F89" s="147">
        <f t="shared" si="15"/>
        <v>0.14177688869338137</v>
      </c>
      <c r="G89" s="146">
        <f>SUMIF(Projetos_Ciclo!$B$2:$B$358,B89,Projetos_Ciclo!$FJ$2:$FJ$358)</f>
        <v>0</v>
      </c>
      <c r="H89" s="146">
        <f t="shared" si="16"/>
        <v>97.797317504882813</v>
      </c>
      <c r="I89" s="147">
        <f t="shared" si="17"/>
        <v>0.14177688869338137</v>
      </c>
    </row>
    <row r="90" spans="2:9" x14ac:dyDescent="0.25">
      <c r="B90" s="144" t="s">
        <v>37</v>
      </c>
      <c r="C90" s="146">
        <f>PD!I15</f>
        <v>3676.44</v>
      </c>
      <c r="D90" s="146">
        <f>SUMIF(Projetos_Ciclo!$B$2:$B$358,B90,Projetos_Ciclo!$CA$2:$CA$358)</f>
        <v>3676.44</v>
      </c>
      <c r="E90" s="146">
        <f>SUMIF(Projetos_Ciclo!$B$2:$B$358,B90,Projetos_Ciclo!$FF$2:$FF$358)</f>
        <v>0</v>
      </c>
      <c r="F90" s="147">
        <f t="shared" si="15"/>
        <v>0</v>
      </c>
      <c r="G90" s="146">
        <f>SUMIF(Projetos_Ciclo!$B$2:$B$358,B90,Projetos_Ciclo!$FJ$2:$FJ$358)</f>
        <v>988</v>
      </c>
      <c r="H90" s="146">
        <f t="shared" si="16"/>
        <v>988</v>
      </c>
      <c r="I90" s="147">
        <f t="shared" si="17"/>
        <v>0.2687382359021227</v>
      </c>
    </row>
    <row r="91" spans="2:9" x14ac:dyDescent="0.25">
      <c r="B91" s="145" t="s">
        <v>1432</v>
      </c>
      <c r="C91" s="146">
        <f>PD!I16</f>
        <v>6637.7099999999991</v>
      </c>
      <c r="D91" s="146">
        <f>SUMIF(Projetos_Ciclo!$B$2:$B$358,B91,Projetos_Ciclo!$CA$2:$CA$358)</f>
        <v>6437.7099999999991</v>
      </c>
      <c r="E91" s="146">
        <f>SUMIF(Projetos_Ciclo!$B$2:$B$358,B91,Projetos_Ciclo!$FF$2:$FF$358)</f>
        <v>233.92001962661743</v>
      </c>
      <c r="F91" s="147">
        <f t="shared" si="15"/>
        <v>3.6335905100822727E-2</v>
      </c>
      <c r="G91" s="146">
        <f>SUMIF(Projetos_Ciclo!$B$2:$B$358,B91,Projetos_Ciclo!$FJ$2:$FJ$358)</f>
        <v>1427.8661592791359</v>
      </c>
      <c r="H91" s="146">
        <f t="shared" si="16"/>
        <v>1661.7861789057533</v>
      </c>
      <c r="I91" s="147">
        <f t="shared" si="17"/>
        <v>0.25813312170100139</v>
      </c>
    </row>
    <row r="92" spans="2:9" x14ac:dyDescent="0.25">
      <c r="B92" s="148" t="s">
        <v>1427</v>
      </c>
      <c r="C92" s="149">
        <f>SUM(C86:C91)</f>
        <v>14249</v>
      </c>
      <c r="D92" s="149">
        <f>SUM(D86:D91)</f>
        <v>14249</v>
      </c>
      <c r="E92" s="149">
        <f>SUM(E86:E91)</f>
        <v>331.71733713150024</v>
      </c>
      <c r="F92" s="150">
        <f t="shared" si="15"/>
        <v>2.3280043310513036E-2</v>
      </c>
      <c r="G92" s="149">
        <f>SUM(G86:G91)</f>
        <v>2917.7121103594582</v>
      </c>
      <c r="H92" s="149">
        <f>SUM(H86:H91)</f>
        <v>3249.4294474909584</v>
      </c>
      <c r="I92" s="151">
        <f t="shared" si="17"/>
        <v>0.22804613990392017</v>
      </c>
    </row>
    <row r="95" spans="2:9" ht="15.75" x14ac:dyDescent="0.25">
      <c r="B95" s="152" t="s">
        <v>1445</v>
      </c>
      <c r="C95" s="152"/>
    </row>
    <row r="97" spans="2:9" x14ac:dyDescent="0.25">
      <c r="B97" s="143" t="s">
        <v>1426</v>
      </c>
      <c r="C97" s="143"/>
    </row>
    <row r="98" spans="2:9" x14ac:dyDescent="0.25">
      <c r="B98" s="143" t="s">
        <v>1430</v>
      </c>
      <c r="C98" s="143"/>
    </row>
    <row r="99" spans="2:9" x14ac:dyDescent="0.25">
      <c r="B99" s="143"/>
      <c r="C99" s="143"/>
    </row>
    <row r="100" spans="2:9" ht="15.75" x14ac:dyDescent="0.25">
      <c r="B100" s="464" t="s">
        <v>1446</v>
      </c>
      <c r="C100" s="465"/>
      <c r="D100" s="465"/>
      <c r="E100" s="465"/>
      <c r="F100" s="465"/>
      <c r="G100" s="465"/>
      <c r="H100" s="465"/>
      <c r="I100" s="466"/>
    </row>
    <row r="101" spans="2:9" ht="25.5" x14ac:dyDescent="0.25">
      <c r="B101" s="295"/>
      <c r="C101" s="462" t="s">
        <v>1914</v>
      </c>
      <c r="D101" s="462" t="s">
        <v>1657</v>
      </c>
      <c r="E101" s="305" t="s">
        <v>1438</v>
      </c>
      <c r="F101" s="305" t="s">
        <v>1437</v>
      </c>
      <c r="G101" s="305" t="s">
        <v>1436</v>
      </c>
      <c r="H101" s="305" t="s">
        <v>1435</v>
      </c>
      <c r="I101" s="305" t="s">
        <v>1439</v>
      </c>
    </row>
    <row r="102" spans="2:9" x14ac:dyDescent="0.25">
      <c r="B102" s="295" t="s">
        <v>1</v>
      </c>
      <c r="C102" s="463"/>
      <c r="D102" s="463"/>
      <c r="E102" s="156">
        <f>$L$3</f>
        <v>43371</v>
      </c>
      <c r="F102" s="306"/>
      <c r="G102" s="306"/>
      <c r="H102" s="156">
        <f>$L$3</f>
        <v>43371</v>
      </c>
      <c r="I102" s="306"/>
    </row>
    <row r="103" spans="2:9" x14ac:dyDescent="0.25">
      <c r="B103" s="155"/>
      <c r="C103" s="155" t="s">
        <v>1433</v>
      </c>
      <c r="D103" s="155" t="s">
        <v>1434</v>
      </c>
      <c r="E103" s="155" t="s">
        <v>1658</v>
      </c>
      <c r="F103" s="155" t="s">
        <v>1960</v>
      </c>
      <c r="G103" s="155" t="s">
        <v>1961</v>
      </c>
      <c r="H103" s="155" t="s">
        <v>1962</v>
      </c>
      <c r="I103" s="155" t="s">
        <v>1963</v>
      </c>
    </row>
    <row r="104" spans="2:9" x14ac:dyDescent="0.25">
      <c r="B104" s="144" t="s">
        <v>44</v>
      </c>
      <c r="C104" s="146">
        <f>PD!D25</f>
        <v>75</v>
      </c>
      <c r="D104" s="146">
        <f>SUMIF(Projetos_Ciclo!$B$2:$B$358,B104,Projetos_Ciclo!$Z$2:$Z$358)</f>
        <v>75</v>
      </c>
      <c r="E104" s="146">
        <f>SUMIF(Projetos_Ciclo!$B$2:$B$358,B104,Projetos_Ciclo!$FF$2:$FF$358)</f>
        <v>0</v>
      </c>
      <c r="F104" s="147">
        <f>IFERROR((E104/D104),0)</f>
        <v>0</v>
      </c>
      <c r="G104" s="146">
        <f>SUMIF(Projetos_Ciclo!$B$2:$B$358,B104,Projetos_Ciclo!$FJ$2:$FJ$358)</f>
        <v>47.248001098632812</v>
      </c>
      <c r="H104" s="146">
        <f>E104+G104</f>
        <v>47.248001098632812</v>
      </c>
      <c r="I104" s="147">
        <f t="shared" ref="I104:I106" si="18">IFERROR((H104/D104),0)</f>
        <v>0.62997334798177085</v>
      </c>
    </row>
    <row r="105" spans="2:9" x14ac:dyDescent="0.25">
      <c r="B105" s="144" t="s">
        <v>45</v>
      </c>
      <c r="C105" s="146">
        <f>PD!D26</f>
        <v>1289</v>
      </c>
      <c r="D105" s="146">
        <f>SUMIF(Projetos_Ciclo!$B$2:$B$358,B105,Projetos_Ciclo!$Z$2:$Z$358)</f>
        <v>235.0000000000002</v>
      </c>
      <c r="E105" s="146">
        <f>SUMIF(Projetos_Ciclo!$B$2:$B$358,B105,Projetos_Ciclo!$FF$2:$FF$358)</f>
        <v>175.00810670852661</v>
      </c>
      <c r="F105" s="147">
        <f t="shared" ref="F105" si="19">E105/D105</f>
        <v>0.74471534769585734</v>
      </c>
      <c r="G105" s="146">
        <f>SUMIF(Projetos_Ciclo!$B$2:$B$358,B105,Projetos_Ciclo!$FJ$2:$FJ$358)</f>
        <v>14.723099708557129</v>
      </c>
      <c r="H105" s="146">
        <f>E105+G105</f>
        <v>189.73120641708374</v>
      </c>
      <c r="I105" s="147">
        <f t="shared" si="18"/>
        <v>0.80736683581737689</v>
      </c>
    </row>
    <row r="106" spans="2:9" x14ac:dyDescent="0.25">
      <c r="B106" s="148" t="s">
        <v>1427</v>
      </c>
      <c r="C106" s="149">
        <f>SUM(C104:C105)</f>
        <v>1364</v>
      </c>
      <c r="D106" s="149">
        <f>SUM(D104:D105)</f>
        <v>310.00000000000023</v>
      </c>
      <c r="E106" s="149">
        <f>SUM(E104:E105)</f>
        <v>175.00810670852661</v>
      </c>
      <c r="F106" s="150">
        <f t="shared" ref="F106" si="20">IFERROR((E106/D106),0)</f>
        <v>0.5645422797049241</v>
      </c>
      <c r="G106" s="149">
        <f>SUM(G104:G105)</f>
        <v>61.971100807189941</v>
      </c>
      <c r="H106" s="149">
        <f>SUM(H104:H105)</f>
        <v>236.97920751571655</v>
      </c>
      <c r="I106" s="151">
        <f t="shared" si="18"/>
        <v>0.76444905650231088</v>
      </c>
    </row>
    <row r="109" spans="2:9" ht="15.75" x14ac:dyDescent="0.25">
      <c r="B109" s="464" t="s">
        <v>1651</v>
      </c>
      <c r="C109" s="465"/>
      <c r="D109" s="465"/>
      <c r="E109" s="465"/>
      <c r="F109" s="465"/>
      <c r="G109" s="465"/>
      <c r="H109" s="465"/>
      <c r="I109" s="466"/>
    </row>
    <row r="110" spans="2:9" ht="25.5" x14ac:dyDescent="0.25">
      <c r="B110" s="295"/>
      <c r="C110" s="462" t="s">
        <v>1914</v>
      </c>
      <c r="D110" s="462" t="s">
        <v>1657</v>
      </c>
      <c r="E110" s="305" t="s">
        <v>1438</v>
      </c>
      <c r="F110" s="305" t="s">
        <v>1437</v>
      </c>
      <c r="G110" s="305" t="s">
        <v>1436</v>
      </c>
      <c r="H110" s="305" t="s">
        <v>1435</v>
      </c>
      <c r="I110" s="305" t="s">
        <v>1439</v>
      </c>
    </row>
    <row r="111" spans="2:9" x14ac:dyDescent="0.25">
      <c r="B111" s="295" t="s">
        <v>1</v>
      </c>
      <c r="C111" s="463"/>
      <c r="D111" s="463"/>
      <c r="E111" s="156">
        <f>$L$3</f>
        <v>43371</v>
      </c>
      <c r="F111" s="306"/>
      <c r="G111" s="306"/>
      <c r="H111" s="156">
        <f>$L$3</f>
        <v>43371</v>
      </c>
      <c r="I111" s="306"/>
    </row>
    <row r="112" spans="2:9" x14ac:dyDescent="0.25">
      <c r="B112" s="155"/>
      <c r="C112" s="155" t="s">
        <v>1433</v>
      </c>
      <c r="D112" s="155" t="s">
        <v>1434</v>
      </c>
      <c r="E112" s="155" t="s">
        <v>1658</v>
      </c>
      <c r="F112" s="155" t="s">
        <v>1960</v>
      </c>
      <c r="G112" s="155" t="s">
        <v>1961</v>
      </c>
      <c r="H112" s="155" t="s">
        <v>1962</v>
      </c>
      <c r="I112" s="155" t="s">
        <v>1963</v>
      </c>
    </row>
    <row r="113" spans="2:9" x14ac:dyDescent="0.25">
      <c r="B113" s="144" t="s">
        <v>44</v>
      </c>
      <c r="C113" s="146">
        <f>PD!I25</f>
        <v>700</v>
      </c>
      <c r="D113" s="146">
        <f>SUMIF(Projetos_Ciclo!$B$2:$B$358,B113,Projetos_Ciclo!$CA$2:$CA$358)</f>
        <v>700</v>
      </c>
      <c r="E113" s="146">
        <f>SUMIF(Projetos_Ciclo!$B$2:$B$358,B113,Projetos_Ciclo!$FF$2:$FF$358)</f>
        <v>0</v>
      </c>
      <c r="F113" s="147">
        <f>IFERROR((E113/D113),0)</f>
        <v>0</v>
      </c>
      <c r="G113" s="146">
        <f>SUMIF(Projetos_Ciclo!$B$2:$B$358,B113,Projetos_Ciclo!$FJ$2:$FJ$358)</f>
        <v>47.248001098632812</v>
      </c>
      <c r="H113" s="146">
        <f t="shared" ref="H113:H114" si="21">E113+G113</f>
        <v>47.248001098632812</v>
      </c>
      <c r="I113" s="147">
        <f t="shared" ref="I113:I114" si="22">IFERROR((H113/D113),0)</f>
        <v>6.7497144426618305E-2</v>
      </c>
    </row>
    <row r="114" spans="2:9" x14ac:dyDescent="0.25">
      <c r="B114" s="144" t="s">
        <v>45</v>
      </c>
      <c r="C114" s="146">
        <f>PD!I26</f>
        <v>1889</v>
      </c>
      <c r="D114" s="146">
        <f>SUMIF(Projetos_Ciclo!$B$2:$B$358,B114,Projetos_Ciclo!$CA$2:$CA$358)</f>
        <v>1889.0000000000002</v>
      </c>
      <c r="E114" s="146">
        <f>SUMIF(Projetos_Ciclo!$B$2:$B$358,B114,Projetos_Ciclo!$FF$2:$FF$358)</f>
        <v>175.00810670852661</v>
      </c>
      <c r="F114" s="147">
        <f t="shared" ref="F114" si="23">E114/D114</f>
        <v>9.2645900851522814E-2</v>
      </c>
      <c r="G114" s="146">
        <f>SUMIF(Projetos_Ciclo!$B$2:$B$358,B114,Projetos_Ciclo!$FJ$2:$FJ$358)</f>
        <v>14.723099708557129</v>
      </c>
      <c r="H114" s="146">
        <f t="shared" si="21"/>
        <v>189.73120641708374</v>
      </c>
      <c r="I114" s="147">
        <f t="shared" si="22"/>
        <v>0.10044002457230478</v>
      </c>
    </row>
    <row r="115" spans="2:9" x14ac:dyDescent="0.25">
      <c r="B115" s="148" t="s">
        <v>1427</v>
      </c>
      <c r="C115" s="149">
        <f>SUM(C113:C114)</f>
        <v>2589</v>
      </c>
      <c r="D115" s="149">
        <f>SUM(D113:D114)</f>
        <v>2589</v>
      </c>
      <c r="E115" s="149">
        <f>SUM(E113:E114)</f>
        <v>175.00810670852661</v>
      </c>
      <c r="F115" s="150">
        <f t="shared" ref="F115" si="24">IFERROR((E115/D115),0)</f>
        <v>6.7596796720172506E-2</v>
      </c>
      <c r="G115" s="149">
        <f>SUM(G113:G114)</f>
        <v>61.971100807189941</v>
      </c>
      <c r="H115" s="149">
        <f>SUM(H113:H114)</f>
        <v>236.97920751571655</v>
      </c>
      <c r="I115" s="151">
        <f t="shared" ref="I115" si="25">IFERROR((H115/D115),0)</f>
        <v>9.1533104486564904E-2</v>
      </c>
    </row>
    <row r="118" spans="2:9" ht="15.75" x14ac:dyDescent="0.25">
      <c r="B118" s="152" t="s">
        <v>1447</v>
      </c>
      <c r="C118" s="152"/>
    </row>
    <row r="120" spans="2:9" x14ac:dyDescent="0.25">
      <c r="B120" s="143" t="s">
        <v>1426</v>
      </c>
      <c r="C120" s="143"/>
    </row>
    <row r="121" spans="2:9" x14ac:dyDescent="0.25">
      <c r="B121" s="143" t="s">
        <v>1430</v>
      </c>
      <c r="C121" s="143"/>
    </row>
    <row r="122" spans="2:9" x14ac:dyDescent="0.25">
      <c r="B122" s="143"/>
      <c r="C122" s="143"/>
    </row>
    <row r="123" spans="2:9" ht="15.75" x14ac:dyDescent="0.25">
      <c r="B123" s="464" t="s">
        <v>1448</v>
      </c>
      <c r="C123" s="465"/>
      <c r="D123" s="465"/>
      <c r="E123" s="465"/>
      <c r="F123" s="465"/>
      <c r="G123" s="465"/>
      <c r="H123" s="465"/>
      <c r="I123" s="466"/>
    </row>
    <row r="124" spans="2:9" ht="25.5" x14ac:dyDescent="0.25">
      <c r="B124" s="295"/>
      <c r="C124" s="462" t="s">
        <v>1914</v>
      </c>
      <c r="D124" s="462" t="s">
        <v>1657</v>
      </c>
      <c r="E124" s="344" t="s">
        <v>1438</v>
      </c>
      <c r="F124" s="344" t="s">
        <v>1437</v>
      </c>
      <c r="G124" s="344" t="s">
        <v>1436</v>
      </c>
      <c r="H124" s="344" t="s">
        <v>1435</v>
      </c>
      <c r="I124" s="344" t="s">
        <v>1439</v>
      </c>
    </row>
    <row r="125" spans="2:9" x14ac:dyDescent="0.25">
      <c r="B125" s="295" t="s">
        <v>1</v>
      </c>
      <c r="C125" s="463"/>
      <c r="D125" s="463"/>
      <c r="E125" s="156">
        <f>$L$3</f>
        <v>43371</v>
      </c>
      <c r="F125" s="345"/>
      <c r="G125" s="345"/>
      <c r="H125" s="156">
        <f>$L$3</f>
        <v>43371</v>
      </c>
      <c r="I125" s="345"/>
    </row>
    <row r="126" spans="2:9" x14ac:dyDescent="0.25">
      <c r="B126" s="155"/>
      <c r="C126" s="155" t="s">
        <v>1433</v>
      </c>
      <c r="D126" s="155" t="s">
        <v>1434</v>
      </c>
      <c r="E126" s="155" t="s">
        <v>1658</v>
      </c>
      <c r="F126" s="155" t="s">
        <v>1960</v>
      </c>
      <c r="G126" s="155" t="s">
        <v>1961</v>
      </c>
      <c r="H126" s="155" t="s">
        <v>1962</v>
      </c>
      <c r="I126" s="155" t="s">
        <v>1963</v>
      </c>
    </row>
    <row r="127" spans="2:9" x14ac:dyDescent="0.25">
      <c r="B127" s="144" t="s">
        <v>1371</v>
      </c>
      <c r="C127" s="146">
        <f>C11+C47+C78</f>
        <v>4750.2001650000002</v>
      </c>
      <c r="D127" s="146">
        <f t="shared" ref="D127:G127" si="26">D11+D47+D78</f>
        <v>3772.4498701570883</v>
      </c>
      <c r="E127" s="146">
        <f t="shared" si="26"/>
        <v>364.95004093647003</v>
      </c>
      <c r="F127" s="147">
        <f t="shared" ref="F127:F132" si="27">IFERROR((E127/D127),0)</f>
        <v>9.6740858990201281E-2</v>
      </c>
      <c r="G127" s="146">
        <f t="shared" si="26"/>
        <v>3004.8263691256325</v>
      </c>
      <c r="H127" s="146">
        <f t="shared" ref="H127:H132" si="28">E127+G127</f>
        <v>3369.7764100621025</v>
      </c>
      <c r="I127" s="147">
        <f t="shared" ref="I127:I132" si="29">IFERROR((H127/D127),0)</f>
        <v>0.89325942717478224</v>
      </c>
    </row>
    <row r="128" spans="2:9" x14ac:dyDescent="0.25">
      <c r="B128" s="144" t="s">
        <v>1373</v>
      </c>
      <c r="C128" s="146">
        <f>C12+C42+C73</f>
        <v>7041.1588000000002</v>
      </c>
      <c r="D128" s="146">
        <f t="shared" ref="D128:G128" si="30">D12+D42+D73</f>
        <v>3490.2986121711729</v>
      </c>
      <c r="E128" s="146">
        <f t="shared" si="30"/>
        <v>308.39154291152954</v>
      </c>
      <c r="F128" s="147">
        <f t="shared" si="27"/>
        <v>8.8356778940381756E-2</v>
      </c>
      <c r="G128" s="146">
        <f t="shared" si="30"/>
        <v>2033.9899070262909</v>
      </c>
      <c r="H128" s="146">
        <f t="shared" si="28"/>
        <v>2342.3814499378204</v>
      </c>
      <c r="I128" s="147">
        <f t="shared" si="29"/>
        <v>0.67111204805502878</v>
      </c>
    </row>
    <row r="129" spans="2:10" x14ac:dyDescent="0.25">
      <c r="B129" s="144" t="s">
        <v>1995</v>
      </c>
      <c r="C129" s="146">
        <f>C13+C43+C74</f>
        <v>4283.4169999999995</v>
      </c>
      <c r="D129" s="146">
        <f t="shared" ref="D129:G129" si="31">D13+D43+D74</f>
        <v>4057.9107196618988</v>
      </c>
      <c r="E129" s="146">
        <f t="shared" si="31"/>
        <v>277.09432847797871</v>
      </c>
      <c r="F129" s="147">
        <f t="shared" si="27"/>
        <v>6.828497412113245E-2</v>
      </c>
      <c r="G129" s="146">
        <f t="shared" si="31"/>
        <v>1428.9773133769631</v>
      </c>
      <c r="H129" s="146">
        <f t="shared" si="28"/>
        <v>1706.0716418549418</v>
      </c>
      <c r="I129" s="147">
        <f t="shared" si="29"/>
        <v>0.42043104437672058</v>
      </c>
    </row>
    <row r="130" spans="2:10" x14ac:dyDescent="0.25">
      <c r="B130" s="144" t="s">
        <v>1987</v>
      </c>
      <c r="C130" s="146">
        <f>C14+C44+C75+C104</f>
        <v>5232.6000000000004</v>
      </c>
      <c r="D130" s="146">
        <f t="shared" ref="D130:G130" si="32">D14+D44+D75+D104</f>
        <v>5232.6000000000004</v>
      </c>
      <c r="E130" s="146">
        <f t="shared" si="32"/>
        <v>0</v>
      </c>
      <c r="F130" s="147">
        <f t="shared" si="27"/>
        <v>0</v>
      </c>
      <c r="G130" s="146">
        <f t="shared" si="32"/>
        <v>5133.7281532287598</v>
      </c>
      <c r="H130" s="146">
        <f t="shared" si="28"/>
        <v>5133.7281532287598</v>
      </c>
      <c r="I130" s="147">
        <f t="shared" si="29"/>
        <v>0.98110464266879938</v>
      </c>
    </row>
    <row r="131" spans="2:10" x14ac:dyDescent="0.25">
      <c r="B131" s="144" t="s">
        <v>1340</v>
      </c>
      <c r="C131" s="146">
        <f>C15+C45+C76+C105</f>
        <v>57530.416850000001</v>
      </c>
      <c r="D131" s="146">
        <f t="shared" ref="D131:G131" si="33">D15+D45+D76+D105</f>
        <v>60294.084007705533</v>
      </c>
      <c r="E131" s="146">
        <f t="shared" si="33"/>
        <v>16924.639293670654</v>
      </c>
      <c r="F131" s="147">
        <f t="shared" si="27"/>
        <v>0.28070149123598426</v>
      </c>
      <c r="G131" s="146">
        <f t="shared" si="33"/>
        <v>15660.292680315673</v>
      </c>
      <c r="H131" s="146">
        <f t="shared" si="28"/>
        <v>32584.931973986328</v>
      </c>
      <c r="I131" s="147">
        <f t="shared" si="29"/>
        <v>0.54043331962422714</v>
      </c>
    </row>
    <row r="132" spans="2:10" x14ac:dyDescent="0.25">
      <c r="B132" s="144" t="s">
        <v>1381</v>
      </c>
      <c r="C132" s="146">
        <f>C16+C46+C77</f>
        <v>4903.34</v>
      </c>
      <c r="D132" s="146">
        <f t="shared" ref="D132:G132" si="34">D16+D46+D77</f>
        <v>90</v>
      </c>
      <c r="E132" s="146">
        <f t="shared" si="34"/>
        <v>0</v>
      </c>
      <c r="F132" s="147">
        <f t="shared" si="27"/>
        <v>0</v>
      </c>
      <c r="G132" s="146">
        <f t="shared" si="34"/>
        <v>1077.8437271118164</v>
      </c>
      <c r="H132" s="146">
        <f t="shared" si="28"/>
        <v>1077.8437271118164</v>
      </c>
      <c r="I132" s="147">
        <f t="shared" si="29"/>
        <v>11.976041412353515</v>
      </c>
    </row>
    <row r="133" spans="2:10" x14ac:dyDescent="0.25">
      <c r="B133" s="148" t="s">
        <v>1427</v>
      </c>
      <c r="C133" s="149">
        <f>SUM(C127:C132)</f>
        <v>83741.13281499999</v>
      </c>
      <c r="D133" s="149">
        <f>SUM(D127:D132)</f>
        <v>76937.343209695697</v>
      </c>
      <c r="E133" s="149">
        <f>SUM(E127:E132)</f>
        <v>17875.075205996633</v>
      </c>
      <c r="F133" s="150">
        <f>IFERROR((E133/D133),0)</f>
        <v>0.23233288881937897</v>
      </c>
      <c r="G133" s="149">
        <f>SUM(G127:G132)</f>
        <v>28339.658150185136</v>
      </c>
      <c r="H133" s="149">
        <f>SUM(H127:H132)</f>
        <v>46214.733356181765</v>
      </c>
      <c r="I133" s="151">
        <f>IFERROR((H133/D133),0)</f>
        <v>0.6006801304565681</v>
      </c>
      <c r="J133" s="87"/>
    </row>
    <row r="136" spans="2:10" ht="15.75" x14ac:dyDescent="0.25">
      <c r="B136" s="464" t="s">
        <v>1652</v>
      </c>
      <c r="C136" s="465"/>
      <c r="D136" s="465"/>
      <c r="E136" s="465"/>
      <c r="F136" s="465"/>
      <c r="G136" s="465"/>
      <c r="H136" s="465"/>
      <c r="I136" s="466"/>
    </row>
    <row r="137" spans="2:10" ht="25.5" x14ac:dyDescent="0.25">
      <c r="B137" s="295"/>
      <c r="C137" s="462" t="s">
        <v>1914</v>
      </c>
      <c r="D137" s="462" t="s">
        <v>1657</v>
      </c>
      <c r="E137" s="305" t="s">
        <v>1438</v>
      </c>
      <c r="F137" s="305" t="s">
        <v>1437</v>
      </c>
      <c r="G137" s="305" t="s">
        <v>1436</v>
      </c>
      <c r="H137" s="305" t="s">
        <v>1435</v>
      </c>
      <c r="I137" s="305" t="s">
        <v>1439</v>
      </c>
    </row>
    <row r="138" spans="2:10" x14ac:dyDescent="0.25">
      <c r="B138" s="295" t="s">
        <v>1</v>
      </c>
      <c r="C138" s="463"/>
      <c r="D138" s="463"/>
      <c r="E138" s="156">
        <f>$L$3</f>
        <v>43371</v>
      </c>
      <c r="F138" s="306"/>
      <c r="G138" s="306"/>
      <c r="H138" s="156">
        <f>$L$3</f>
        <v>43371</v>
      </c>
      <c r="I138" s="306"/>
    </row>
    <row r="139" spans="2:10" x14ac:dyDescent="0.25">
      <c r="B139" s="155"/>
      <c r="C139" s="155" t="s">
        <v>1433</v>
      </c>
      <c r="D139" s="155" t="s">
        <v>1434</v>
      </c>
      <c r="E139" s="155" t="s">
        <v>1658</v>
      </c>
      <c r="F139" s="155" t="s">
        <v>1960</v>
      </c>
      <c r="G139" s="155" t="s">
        <v>1961</v>
      </c>
      <c r="H139" s="155" t="s">
        <v>1962</v>
      </c>
      <c r="I139" s="155" t="s">
        <v>1963</v>
      </c>
    </row>
    <row r="140" spans="2:10" x14ac:dyDescent="0.25">
      <c r="B140" s="144" t="s">
        <v>1371</v>
      </c>
      <c r="C140" s="146">
        <f>C24+C60+C91</f>
        <v>23021.988999999998</v>
      </c>
      <c r="D140" s="146">
        <f>D24+D60+D91</f>
        <v>22418.837002471275</v>
      </c>
      <c r="E140" s="146">
        <f>E24+E60+E91</f>
        <v>364.95004093647003</v>
      </c>
      <c r="F140" s="147">
        <f t="shared" ref="F140:F146" si="35">IFERROR((E140/D140),0)</f>
        <v>1.6278723151260738E-2</v>
      </c>
      <c r="G140" s="146">
        <f>G24+G60+G91</f>
        <v>3004.8263691256325</v>
      </c>
      <c r="H140" s="146">
        <f t="shared" ref="H140:H145" si="36">E140+G140</f>
        <v>3369.7764100621025</v>
      </c>
      <c r="I140" s="147">
        <f t="shared" ref="I140:I145" si="37">IFERROR((H140/D140),0)</f>
        <v>0.15031004550729571</v>
      </c>
    </row>
    <row r="141" spans="2:10" x14ac:dyDescent="0.25">
      <c r="B141" s="144" t="s">
        <v>1373</v>
      </c>
      <c r="C141" s="146">
        <f t="shared" ref="C141:E142" si="38">C25+C55+C86</f>
        <v>44998.265799991001</v>
      </c>
      <c r="D141" s="146">
        <f t="shared" si="38"/>
        <v>35762.463673329177</v>
      </c>
      <c r="E141" s="146">
        <f t="shared" si="38"/>
        <v>308.39154291152954</v>
      </c>
      <c r="F141" s="147">
        <f t="shared" si="35"/>
        <v>8.6233304765723079E-3</v>
      </c>
      <c r="G141" s="146">
        <f>G25+G55+G86</f>
        <v>2033.9899070262909</v>
      </c>
      <c r="H141" s="146">
        <f t="shared" si="36"/>
        <v>2342.3814499378204</v>
      </c>
      <c r="I141" s="147">
        <f t="shared" si="37"/>
        <v>6.5498324481618825E-2</v>
      </c>
    </row>
    <row r="142" spans="2:10" x14ac:dyDescent="0.25">
      <c r="B142" s="144" t="s">
        <v>1995</v>
      </c>
      <c r="C142" s="146">
        <f t="shared" si="38"/>
        <v>35167.945</v>
      </c>
      <c r="D142" s="146">
        <f t="shared" si="38"/>
        <v>29435.38968215702</v>
      </c>
      <c r="E142" s="146">
        <f t="shared" si="38"/>
        <v>277.09432847797871</v>
      </c>
      <c r="F142" s="147">
        <f t="shared" si="35"/>
        <v>9.4136456649645175E-3</v>
      </c>
      <c r="G142" s="146">
        <f>G26+G56+G87</f>
        <v>1428.9773133769631</v>
      </c>
      <c r="H142" s="146">
        <f t="shared" si="36"/>
        <v>1706.0716418549418</v>
      </c>
      <c r="I142" s="147">
        <f t="shared" si="37"/>
        <v>5.7959879596536097E-2</v>
      </c>
    </row>
    <row r="143" spans="2:10" x14ac:dyDescent="0.25">
      <c r="B143" s="144" t="s">
        <v>1987</v>
      </c>
      <c r="C143" s="146">
        <f t="shared" ref="C143:E144" si="39">C27+C57+C88+C113</f>
        <v>28462.7</v>
      </c>
      <c r="D143" s="146">
        <f t="shared" si="39"/>
        <v>28058.7</v>
      </c>
      <c r="E143" s="146">
        <f t="shared" si="39"/>
        <v>0</v>
      </c>
      <c r="F143" s="147">
        <f t="shared" si="35"/>
        <v>0</v>
      </c>
      <c r="G143" s="146">
        <f>G27+G57+G88+G113</f>
        <v>5133.7281532287598</v>
      </c>
      <c r="H143" s="146">
        <f t="shared" si="36"/>
        <v>5133.7281532287598</v>
      </c>
      <c r="I143" s="147">
        <f t="shared" si="37"/>
        <v>0.1829638633731698</v>
      </c>
    </row>
    <row r="144" spans="2:10" x14ac:dyDescent="0.25">
      <c r="B144" s="144" t="s">
        <v>1340</v>
      </c>
      <c r="C144" s="146">
        <f t="shared" si="39"/>
        <v>212747.39684999999</v>
      </c>
      <c r="D144" s="146">
        <f t="shared" si="39"/>
        <v>228722.90629203356</v>
      </c>
      <c r="E144" s="146">
        <f t="shared" si="39"/>
        <v>16924.639293670654</v>
      </c>
      <c r="F144" s="147">
        <f t="shared" si="35"/>
        <v>7.3996258477326549E-2</v>
      </c>
      <c r="G144" s="146">
        <f>G28+G58+G89+G114</f>
        <v>15660.292680315673</v>
      </c>
      <c r="H144" s="146">
        <f t="shared" si="36"/>
        <v>32584.931973986328</v>
      </c>
      <c r="I144" s="147">
        <f t="shared" si="37"/>
        <v>0.1424646639125067</v>
      </c>
    </row>
    <row r="145" spans="2:9" x14ac:dyDescent="0.25">
      <c r="B145" s="144" t="s">
        <v>1381</v>
      </c>
      <c r="C145" s="146">
        <f>C29+C59+C90</f>
        <v>12327.34</v>
      </c>
      <c r="D145" s="146">
        <f>D29+D59+D90</f>
        <v>12327.34</v>
      </c>
      <c r="E145" s="146">
        <f>E29+E59+E90</f>
        <v>0</v>
      </c>
      <c r="F145" s="147">
        <f t="shared" si="35"/>
        <v>0</v>
      </c>
      <c r="G145" s="146">
        <f>G29+G59+G90</f>
        <v>1077.8437271118164</v>
      </c>
      <c r="H145" s="146">
        <f t="shared" si="36"/>
        <v>1077.8437271118164</v>
      </c>
      <c r="I145" s="147">
        <f t="shared" si="37"/>
        <v>8.7435223423043121E-2</v>
      </c>
    </row>
    <row r="146" spans="2:9" x14ac:dyDescent="0.25">
      <c r="B146" s="148" t="s">
        <v>1427</v>
      </c>
      <c r="C146" s="149">
        <f>SUM(C140:C145)</f>
        <v>356725.63664999104</v>
      </c>
      <c r="D146" s="149">
        <f>SUM(D140:D145)</f>
        <v>356725.63664999104</v>
      </c>
      <c r="E146" s="149">
        <f>SUM(E140:E145)</f>
        <v>17875.075205996633</v>
      </c>
      <c r="F146" s="150">
        <f t="shared" si="35"/>
        <v>5.0108748487665167E-2</v>
      </c>
      <c r="G146" s="149">
        <f>SUM(G140:G145)</f>
        <v>28339.658150185136</v>
      </c>
      <c r="H146" s="149">
        <f>SUM(H140:H145)</f>
        <v>46214.733356181765</v>
      </c>
      <c r="I146" s="151">
        <f t="shared" ref="I146" si="40">IFERROR((H146/D146),0)</f>
        <v>0.12955259899508242</v>
      </c>
    </row>
    <row r="148" spans="2:9" x14ac:dyDescent="0.25">
      <c r="C148" s="296"/>
      <c r="D148" s="296"/>
    </row>
  </sheetData>
  <mergeCells count="30">
    <mergeCell ref="D83:D84"/>
    <mergeCell ref="B82:I82"/>
    <mergeCell ref="D8:D9"/>
    <mergeCell ref="D21:D22"/>
    <mergeCell ref="D39:D40"/>
    <mergeCell ref="D52:D53"/>
    <mergeCell ref="D70:D71"/>
    <mergeCell ref="C70:C71"/>
    <mergeCell ref="C83:C84"/>
    <mergeCell ref="B7:I7"/>
    <mergeCell ref="B20:I20"/>
    <mergeCell ref="B38:I38"/>
    <mergeCell ref="B51:I51"/>
    <mergeCell ref="B69:I69"/>
    <mergeCell ref="C8:C9"/>
    <mergeCell ref="C21:C22"/>
    <mergeCell ref="C39:C40"/>
    <mergeCell ref="C52:C53"/>
    <mergeCell ref="D101:D102"/>
    <mergeCell ref="D110:D111"/>
    <mergeCell ref="D124:D125"/>
    <mergeCell ref="D137:D138"/>
    <mergeCell ref="B100:I100"/>
    <mergeCell ref="B109:I109"/>
    <mergeCell ref="B123:I123"/>
    <mergeCell ref="B136:I136"/>
    <mergeCell ref="C101:C102"/>
    <mergeCell ref="C110:C111"/>
    <mergeCell ref="C124:C125"/>
    <mergeCell ref="C137:C138"/>
  </mergeCells>
  <pageMargins left="0.511811024" right="0.511811024" top="0.78740157499999996" bottom="0.78740157499999996" header="0.31496062000000002" footer="0.31496062000000002"/>
  <ignoredErrors>
    <ignoredError sqref="F17 F48 F146 F127:F128"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85"/>
  <sheetViews>
    <sheetView showGridLines="0" topLeftCell="A16" workbookViewId="0">
      <selection activeCell="C28" sqref="C28"/>
    </sheetView>
  </sheetViews>
  <sheetFormatPr defaultRowHeight="15" x14ac:dyDescent="0.25"/>
  <cols>
    <col min="2" max="2" width="30.42578125" customWidth="1"/>
    <col min="3" max="3" width="12" customWidth="1"/>
    <col min="4" max="4" width="11.85546875" customWidth="1"/>
    <col min="5" max="5" width="12.42578125" customWidth="1"/>
    <col min="6" max="6" width="11.85546875" customWidth="1"/>
    <col min="7" max="7" width="12.140625" customWidth="1"/>
    <col min="8" max="8" width="12.85546875" customWidth="1"/>
  </cols>
  <sheetData>
    <row r="3" spans="2:8" ht="16.5" x14ac:dyDescent="0.3">
      <c r="B3" s="467" t="s">
        <v>55</v>
      </c>
      <c r="C3" s="467"/>
      <c r="D3" s="467"/>
      <c r="E3" s="467"/>
      <c r="F3" s="467"/>
      <c r="G3" s="467"/>
      <c r="H3" s="467"/>
    </row>
    <row r="4" spans="2:8" ht="16.5" x14ac:dyDescent="0.3">
      <c r="B4" s="29" t="s">
        <v>982</v>
      </c>
      <c r="C4" s="27"/>
      <c r="D4" s="27"/>
      <c r="E4" s="27"/>
      <c r="F4" s="27"/>
      <c r="G4" s="27"/>
    </row>
    <row r="5" spans="2:8" ht="16.5" x14ac:dyDescent="0.3">
      <c r="B5" s="51" t="s">
        <v>55</v>
      </c>
      <c r="C5" s="51">
        <v>2018</v>
      </c>
      <c r="D5" s="51">
        <v>2019</v>
      </c>
      <c r="E5" s="51">
        <v>2020</v>
      </c>
      <c r="F5" s="51">
        <v>2021</v>
      </c>
      <c r="G5" s="51">
        <v>2022</v>
      </c>
      <c r="H5" s="51" t="s">
        <v>14</v>
      </c>
    </row>
    <row r="6" spans="2:8" ht="16.5" x14ac:dyDescent="0.3">
      <c r="B6" s="68" t="s">
        <v>987</v>
      </c>
      <c r="C6" s="50">
        <f>50054</f>
        <v>50054</v>
      </c>
      <c r="D6" s="50">
        <f>50054</f>
        <v>50054</v>
      </c>
      <c r="E6" s="50">
        <f>66738</f>
        <v>66738</v>
      </c>
      <c r="F6" s="50">
        <f>83423</f>
        <v>83423</v>
      </c>
      <c r="G6" s="50">
        <f>83423-1</f>
        <v>83422</v>
      </c>
      <c r="H6" s="52">
        <f>SUM(C6:G6)</f>
        <v>333691</v>
      </c>
    </row>
    <row r="7" spans="2:8" ht="16.5" x14ac:dyDescent="0.3">
      <c r="B7" s="68" t="s">
        <v>988</v>
      </c>
      <c r="C7" s="50"/>
      <c r="D7" s="50"/>
      <c r="E7" s="50"/>
      <c r="F7" s="50"/>
      <c r="G7" s="50"/>
      <c r="H7" s="52">
        <f>H6</f>
        <v>333691</v>
      </c>
    </row>
    <row r="8" spans="2:8" ht="16.5" x14ac:dyDescent="0.3">
      <c r="B8" s="68" t="s">
        <v>986</v>
      </c>
      <c r="C8" s="50" t="e">
        <f>GETPIVOTDATA("2018",Resumo!$B$4,"Negócio","Distribuição")</f>
        <v>#REF!</v>
      </c>
      <c r="D8" s="50" t="e">
        <f>GETPIVOTDATA("2019",Resumo!$B$4,"Negócio","Distribuição")</f>
        <v>#REF!</v>
      </c>
      <c r="E8" s="50" t="e">
        <f>GETPIVOTDATA("2020",Resumo!$B$4,"Negócio","Distribuição")</f>
        <v>#REF!</v>
      </c>
      <c r="F8" s="50" t="e">
        <f>GETPIVOTDATA("2021",Resumo!$B$4,"Negócio","Distribuição")</f>
        <v>#REF!</v>
      </c>
      <c r="G8" s="50" t="e">
        <f>GETPIVOTDATA("2022",Resumo!$B$4,"Negócio","Distribuição")</f>
        <v>#REF!</v>
      </c>
      <c r="H8" s="52" t="e">
        <f>SUM(C8:G8)</f>
        <v>#REF!</v>
      </c>
    </row>
    <row r="9" spans="2:8" ht="16.5" x14ac:dyDescent="0.3">
      <c r="B9" s="68" t="s">
        <v>985</v>
      </c>
      <c r="C9" s="50" t="e">
        <f>C8</f>
        <v>#REF!</v>
      </c>
      <c r="D9" s="50" t="e">
        <f>C8+D8</f>
        <v>#REF!</v>
      </c>
      <c r="E9" s="50" t="e">
        <f>E8+D9</f>
        <v>#REF!</v>
      </c>
      <c r="F9" s="50" t="e">
        <f t="shared" ref="F9:G9" si="0">F8+E9</f>
        <v>#REF!</v>
      </c>
      <c r="G9" s="50" t="e">
        <f t="shared" si="0"/>
        <v>#REF!</v>
      </c>
      <c r="H9" s="52" t="e">
        <f>G9</f>
        <v>#REF!</v>
      </c>
    </row>
    <row r="40" spans="9:9" x14ac:dyDescent="0.25">
      <c r="I40" s="87" t="e">
        <f>H9/H6</f>
        <v>#REF!</v>
      </c>
    </row>
    <row r="59" spans="2:8" ht="16.5" x14ac:dyDescent="0.3">
      <c r="H59" s="27"/>
    </row>
    <row r="61" spans="2:8" ht="16.5" x14ac:dyDescent="0.3">
      <c r="B61" s="467" t="s">
        <v>52</v>
      </c>
      <c r="C61" s="467"/>
      <c r="D61" s="467"/>
      <c r="E61" s="467"/>
      <c r="F61" s="467"/>
      <c r="G61" s="467"/>
      <c r="H61" s="467"/>
    </row>
    <row r="62" spans="2:8" ht="16.5" x14ac:dyDescent="0.3">
      <c r="B62" s="29" t="s">
        <v>982</v>
      </c>
      <c r="C62" s="27"/>
      <c r="D62" s="27"/>
      <c r="E62" s="27"/>
      <c r="F62" s="27"/>
      <c r="G62" s="27"/>
    </row>
    <row r="63" spans="2:8" ht="16.5" x14ac:dyDescent="0.25">
      <c r="B63" s="53" t="s">
        <v>52</v>
      </c>
      <c r="C63" s="53">
        <v>2018</v>
      </c>
      <c r="D63" s="53">
        <v>2019</v>
      </c>
      <c r="E63" s="53">
        <v>2020</v>
      </c>
      <c r="F63" s="53">
        <v>2021</v>
      </c>
      <c r="G63" s="53">
        <v>2022</v>
      </c>
      <c r="H63" s="53" t="s">
        <v>14</v>
      </c>
    </row>
    <row r="64" spans="2:8" ht="16.5" x14ac:dyDescent="0.3">
      <c r="B64" s="68" t="s">
        <v>987</v>
      </c>
      <c r="C64" s="102">
        <f>12283/5</f>
        <v>2456.6</v>
      </c>
      <c r="D64" s="102">
        <f t="shared" ref="D64:G64" si="1">12283/5</f>
        <v>2456.6</v>
      </c>
      <c r="E64" s="102">
        <f t="shared" si="1"/>
        <v>2456.6</v>
      </c>
      <c r="F64" s="102">
        <f t="shared" si="1"/>
        <v>2456.6</v>
      </c>
      <c r="G64" s="102">
        <f t="shared" si="1"/>
        <v>2456.6</v>
      </c>
      <c r="H64" s="103">
        <f>SUM(C64:G64)</f>
        <v>12283</v>
      </c>
    </row>
    <row r="65" spans="2:8" ht="16.5" x14ac:dyDescent="0.3">
      <c r="B65" s="68" t="s">
        <v>988</v>
      </c>
      <c r="C65" s="102"/>
      <c r="D65" s="102"/>
      <c r="E65" s="102"/>
      <c r="F65" s="102"/>
      <c r="G65" s="102"/>
      <c r="H65" s="103">
        <f>H64</f>
        <v>12283</v>
      </c>
    </row>
    <row r="66" spans="2:8" ht="16.5" x14ac:dyDescent="0.3">
      <c r="B66" s="68" t="s">
        <v>986</v>
      </c>
      <c r="C66" s="50" t="e">
        <f>GETPIVOTDATA("2018",Resumo!$B$4,"Negócio","Geração")</f>
        <v>#REF!</v>
      </c>
      <c r="D66" s="50" t="e">
        <f>GETPIVOTDATA("2019",Resumo!$B$4,"Negócio","Geração")</f>
        <v>#REF!</v>
      </c>
      <c r="E66" s="50" t="e">
        <f>GETPIVOTDATA("2020",Resumo!$B$4,"Negócio","Geração")</f>
        <v>#REF!</v>
      </c>
      <c r="F66" s="50" t="e">
        <f>GETPIVOTDATA("2021",Resumo!$B$4,"Negócio","Geração")</f>
        <v>#REF!</v>
      </c>
      <c r="G66" s="50" t="e">
        <f>GETPIVOTDATA("2022",Resumo!$B$4,"Negócio","Geração")</f>
        <v>#REF!</v>
      </c>
      <c r="H66" s="52" t="e">
        <f>SUM(C66:G66)</f>
        <v>#REF!</v>
      </c>
    </row>
    <row r="67" spans="2:8" ht="16.5" x14ac:dyDescent="0.3">
      <c r="B67" s="68" t="s">
        <v>985</v>
      </c>
      <c r="C67" s="50" t="e">
        <f>C66</f>
        <v>#REF!</v>
      </c>
      <c r="D67" s="50" t="e">
        <f>C66+D66</f>
        <v>#REF!</v>
      </c>
      <c r="E67" s="50" t="e">
        <f>E66+D67</f>
        <v>#REF!</v>
      </c>
      <c r="F67" s="50" t="e">
        <f t="shared" ref="F67" si="2">F66+E67</f>
        <v>#REF!</v>
      </c>
      <c r="G67" s="50" t="e">
        <f t="shared" ref="G67" si="3">G66+F67</f>
        <v>#REF!</v>
      </c>
      <c r="H67" s="52" t="e">
        <f>G67</f>
        <v>#REF!</v>
      </c>
    </row>
    <row r="100" spans="2:8" ht="16.5" x14ac:dyDescent="0.3">
      <c r="B100" s="467" t="s">
        <v>61</v>
      </c>
      <c r="C100" s="467"/>
      <c r="D100" s="467"/>
      <c r="E100" s="467"/>
      <c r="F100" s="467"/>
      <c r="G100" s="467"/>
      <c r="H100" s="467"/>
    </row>
    <row r="101" spans="2:8" ht="16.5" x14ac:dyDescent="0.3">
      <c r="B101" s="29" t="s">
        <v>982</v>
      </c>
      <c r="C101" s="27"/>
      <c r="D101" s="27"/>
      <c r="E101" s="27"/>
      <c r="F101" s="27"/>
      <c r="G101" s="27"/>
    </row>
    <row r="102" spans="2:8" ht="16.5" x14ac:dyDescent="0.25">
      <c r="B102" s="53" t="s">
        <v>61</v>
      </c>
      <c r="C102" s="53">
        <v>2018</v>
      </c>
      <c r="D102" s="53">
        <v>2019</v>
      </c>
      <c r="E102" s="53">
        <v>2020</v>
      </c>
      <c r="F102" s="53">
        <v>2021</v>
      </c>
      <c r="G102" s="53">
        <v>2022</v>
      </c>
      <c r="H102" s="53" t="s">
        <v>14</v>
      </c>
    </row>
    <row r="103" spans="2:8" ht="16.5" x14ac:dyDescent="0.3">
      <c r="B103" s="68" t="s">
        <v>987</v>
      </c>
      <c r="C103" s="50">
        <f>2700</f>
        <v>2700</v>
      </c>
      <c r="D103" s="50">
        <v>2752</v>
      </c>
      <c r="E103" s="50">
        <v>2846</v>
      </c>
      <c r="F103" s="50">
        <v>2940</v>
      </c>
      <c r="G103" s="50">
        <v>3011</v>
      </c>
      <c r="H103" s="52">
        <f>SUM(C103:G103)</f>
        <v>14249</v>
      </c>
    </row>
    <row r="104" spans="2:8" ht="16.5" x14ac:dyDescent="0.3">
      <c r="B104" s="68" t="s">
        <v>988</v>
      </c>
      <c r="C104" s="50"/>
      <c r="D104" s="50"/>
      <c r="E104" s="50"/>
      <c r="F104" s="50"/>
      <c r="G104" s="50"/>
      <c r="H104" s="52">
        <f>H103</f>
        <v>14249</v>
      </c>
    </row>
    <row r="105" spans="2:8" ht="16.5" x14ac:dyDescent="0.3">
      <c r="B105" s="68" t="s">
        <v>986</v>
      </c>
      <c r="C105" s="50" t="e">
        <f>GETPIVOTDATA("2018",Resumo!$B$4,"Negócio","Transmissão")</f>
        <v>#REF!</v>
      </c>
      <c r="D105" s="50" t="e">
        <f>GETPIVOTDATA("2019",Resumo!$B$4,"Negócio","Transmissão")</f>
        <v>#REF!</v>
      </c>
      <c r="E105" s="50" t="e">
        <f>GETPIVOTDATA("2020",Resumo!$B$4,"Negócio","Transmissão")</f>
        <v>#REF!</v>
      </c>
      <c r="F105" s="50" t="e">
        <f>GETPIVOTDATA("2021",Resumo!$B$4,"Negócio","Transmissão")</f>
        <v>#REF!</v>
      </c>
      <c r="G105" s="50" t="e">
        <f>GETPIVOTDATA("2022",Resumo!$B$4,"Negócio","Transmissão")</f>
        <v>#REF!</v>
      </c>
      <c r="H105" s="52" t="e">
        <f>SUM(C105:G105)</f>
        <v>#REF!</v>
      </c>
    </row>
    <row r="106" spans="2:8" ht="16.5" x14ac:dyDescent="0.3">
      <c r="B106" s="68" t="s">
        <v>985</v>
      </c>
      <c r="C106" s="50" t="e">
        <f>C105</f>
        <v>#REF!</v>
      </c>
      <c r="D106" s="50" t="e">
        <f>C105+D105</f>
        <v>#REF!</v>
      </c>
      <c r="E106" s="50" t="e">
        <f>E105+D106</f>
        <v>#REF!</v>
      </c>
      <c r="F106" s="50" t="e">
        <f t="shared" ref="F106" si="4">F105+E106</f>
        <v>#REF!</v>
      </c>
      <c r="G106" s="50" t="e">
        <f t="shared" ref="G106" si="5">G105+F106</f>
        <v>#REF!</v>
      </c>
      <c r="H106" s="52" t="e">
        <f>G106</f>
        <v>#REF!</v>
      </c>
    </row>
    <row r="107" spans="2:8" ht="16.5" x14ac:dyDescent="0.3">
      <c r="B107" s="69"/>
      <c r="C107" s="70"/>
      <c r="D107" s="70"/>
      <c r="E107" s="70"/>
      <c r="F107" s="70"/>
      <c r="G107" s="70"/>
      <c r="H107" s="71"/>
    </row>
    <row r="113" spans="10:10" x14ac:dyDescent="0.25">
      <c r="J113" t="s">
        <v>50</v>
      </c>
    </row>
    <row r="142" spans="2:8" ht="16.5" x14ac:dyDescent="0.3">
      <c r="B142" s="467" t="s">
        <v>381</v>
      </c>
      <c r="C142" s="467"/>
      <c r="D142" s="467"/>
      <c r="E142" s="467"/>
      <c r="F142" s="467"/>
      <c r="G142" s="467"/>
      <c r="H142" s="467"/>
    </row>
    <row r="143" spans="2:8" ht="16.5" x14ac:dyDescent="0.3">
      <c r="B143" s="29" t="s">
        <v>982</v>
      </c>
      <c r="C143" s="27"/>
      <c r="D143" s="27"/>
      <c r="E143" s="27"/>
      <c r="F143" s="27"/>
      <c r="G143" s="27"/>
    </row>
    <row r="144" spans="2:8" ht="16.5" x14ac:dyDescent="0.25">
      <c r="B144" s="53" t="s">
        <v>381</v>
      </c>
      <c r="C144" s="53">
        <v>2018</v>
      </c>
      <c r="D144" s="53">
        <v>2019</v>
      </c>
      <c r="E144" s="53">
        <v>2020</v>
      </c>
      <c r="F144" s="53">
        <v>2021</v>
      </c>
      <c r="G144" s="53">
        <v>2022</v>
      </c>
      <c r="H144" s="53" t="s">
        <v>14</v>
      </c>
    </row>
    <row r="145" spans="2:8" ht="16.5" x14ac:dyDescent="0.3">
      <c r="B145" s="68" t="s">
        <v>987</v>
      </c>
      <c r="C145" s="50">
        <v>0</v>
      </c>
      <c r="D145" s="50">
        <v>0</v>
      </c>
      <c r="E145" s="50">
        <v>0</v>
      </c>
      <c r="F145" s="50">
        <v>0</v>
      </c>
      <c r="G145" s="50">
        <v>0</v>
      </c>
      <c r="H145" s="72">
        <f>SUM(C145:G145)</f>
        <v>0</v>
      </c>
    </row>
    <row r="146" spans="2:8" ht="16.5" x14ac:dyDescent="0.3">
      <c r="B146" s="68" t="s">
        <v>988</v>
      </c>
      <c r="C146" s="50"/>
      <c r="D146" s="50"/>
      <c r="E146" s="50"/>
      <c r="F146" s="50"/>
      <c r="G146" s="50"/>
      <c r="H146" s="72">
        <f>H145</f>
        <v>0</v>
      </c>
    </row>
    <row r="147" spans="2:8" ht="16.5" x14ac:dyDescent="0.3">
      <c r="B147" s="68" t="s">
        <v>983</v>
      </c>
      <c r="C147" s="50" t="e">
        <f>GETPIVOTDATA("2018",Resumo!$B$4,"Negócio","Holding")</f>
        <v>#REF!</v>
      </c>
      <c r="D147" s="50" t="e">
        <f>GETPIVOTDATA("2019",Resumo!$B$4,"Negócio","Holding")</f>
        <v>#REF!</v>
      </c>
      <c r="E147" s="50" t="e">
        <f>GETPIVOTDATA("2020",Resumo!$B$4,"Negócio","Holding")</f>
        <v>#REF!</v>
      </c>
      <c r="F147" s="50" t="e">
        <f>GETPIVOTDATA("2021",Resumo!$B$4,"Negócio","Holding")</f>
        <v>#REF!</v>
      </c>
      <c r="G147" s="50" t="e">
        <f>GETPIVOTDATA("2022",Resumo!$B$4,"Negócio","Holding")</f>
        <v>#REF!</v>
      </c>
      <c r="H147" s="52" t="e">
        <f>SUM(C147:G147)</f>
        <v>#REF!</v>
      </c>
    </row>
    <row r="148" spans="2:8" ht="16.5" x14ac:dyDescent="0.3">
      <c r="B148" s="68" t="s">
        <v>985</v>
      </c>
      <c r="C148" s="50" t="e">
        <f>C147</f>
        <v>#REF!</v>
      </c>
      <c r="D148" s="50" t="e">
        <f>C147+D147</f>
        <v>#REF!</v>
      </c>
      <c r="E148" s="50" t="e">
        <f>E147+D148</f>
        <v>#REF!</v>
      </c>
      <c r="F148" s="50" t="e">
        <f t="shared" ref="F148" si="6">F147+E148</f>
        <v>#REF!</v>
      </c>
      <c r="G148" s="50" t="e">
        <f t="shared" ref="G148" si="7">G147+F148</f>
        <v>#REF!</v>
      </c>
      <c r="H148" s="52" t="e">
        <f>G148</f>
        <v>#REF!</v>
      </c>
    </row>
    <row r="149" spans="2:8" ht="16.5" x14ac:dyDescent="0.3">
      <c r="B149" s="69"/>
      <c r="C149" s="70"/>
      <c r="D149" s="70"/>
      <c r="E149" s="70"/>
      <c r="F149" s="70"/>
      <c r="G149" s="70"/>
      <c r="H149" s="71"/>
    </row>
    <row r="150" spans="2:8" ht="16.5" x14ac:dyDescent="0.3">
      <c r="B150" s="69"/>
      <c r="C150" s="70"/>
      <c r="D150" s="70"/>
      <c r="E150" s="70"/>
      <c r="F150" s="70"/>
      <c r="G150" s="70"/>
      <c r="H150" s="71"/>
    </row>
    <row r="151" spans="2:8" ht="16.5" x14ac:dyDescent="0.3">
      <c r="B151" s="69"/>
      <c r="C151" s="70"/>
      <c r="D151" s="70"/>
      <c r="E151" s="70"/>
      <c r="F151" s="70"/>
      <c r="G151" s="70"/>
      <c r="H151" s="71"/>
    </row>
    <row r="152" spans="2:8" ht="16.5" x14ac:dyDescent="0.3">
      <c r="B152" s="69"/>
      <c r="C152" s="70"/>
      <c r="D152" s="70"/>
      <c r="E152" s="70"/>
      <c r="F152" s="70"/>
      <c r="G152" s="70"/>
      <c r="H152" s="71"/>
    </row>
    <row r="153" spans="2:8" ht="16.5" x14ac:dyDescent="0.3">
      <c r="B153" s="69"/>
      <c r="C153" s="70"/>
      <c r="D153" s="70"/>
      <c r="E153" s="70"/>
      <c r="F153" s="70"/>
      <c r="G153" s="70"/>
      <c r="H153" s="71"/>
    </row>
    <row r="154" spans="2:8" ht="16.5" x14ac:dyDescent="0.3">
      <c r="B154" s="69"/>
      <c r="C154" s="70"/>
      <c r="D154" s="70"/>
      <c r="E154" s="70"/>
      <c r="F154" s="70"/>
      <c r="G154" s="70"/>
      <c r="H154" s="71"/>
    </row>
    <row r="155" spans="2:8" ht="16.5" x14ac:dyDescent="0.3">
      <c r="B155" s="69"/>
      <c r="C155" s="70"/>
      <c r="D155" s="70"/>
      <c r="E155" s="70"/>
      <c r="F155" s="70"/>
      <c r="G155" s="70"/>
      <c r="H155" s="71"/>
    </row>
    <row r="156" spans="2:8" ht="16.5" x14ac:dyDescent="0.3">
      <c r="B156" s="69"/>
      <c r="C156" s="70"/>
      <c r="D156" s="70"/>
      <c r="E156" s="70"/>
      <c r="F156" s="70"/>
      <c r="G156" s="70"/>
      <c r="H156" s="71"/>
    </row>
    <row r="157" spans="2:8" ht="16.5" x14ac:dyDescent="0.3">
      <c r="B157" s="69"/>
      <c r="C157" s="70"/>
      <c r="D157" s="70"/>
      <c r="E157" s="70"/>
      <c r="F157" s="70"/>
      <c r="G157" s="70"/>
      <c r="H157" s="71"/>
    </row>
    <row r="158" spans="2:8" ht="16.5" x14ac:dyDescent="0.3">
      <c r="B158" s="69"/>
      <c r="C158" s="70"/>
      <c r="D158" s="70"/>
      <c r="E158" s="70"/>
      <c r="F158" s="70"/>
      <c r="G158" s="70"/>
      <c r="H158" s="71"/>
    </row>
    <row r="159" spans="2:8" ht="16.5" x14ac:dyDescent="0.3">
      <c r="B159" s="69"/>
      <c r="C159" s="70"/>
      <c r="D159" s="70"/>
      <c r="E159" s="70"/>
      <c r="F159" s="70"/>
      <c r="G159" s="70"/>
      <c r="H159" s="71"/>
    </row>
    <row r="160" spans="2:8" ht="16.5" x14ac:dyDescent="0.3">
      <c r="B160" s="69"/>
      <c r="C160" s="70"/>
      <c r="D160" s="70"/>
      <c r="E160" s="70"/>
      <c r="F160" s="70"/>
      <c r="G160" s="70"/>
      <c r="H160" s="71"/>
    </row>
    <row r="161" spans="2:8" ht="16.5" x14ac:dyDescent="0.3">
      <c r="B161" s="69"/>
      <c r="C161" s="70"/>
      <c r="D161" s="70"/>
      <c r="E161" s="70"/>
      <c r="F161" s="70"/>
      <c r="G161" s="70"/>
      <c r="H161" s="71"/>
    </row>
    <row r="182" spans="2:7" ht="16.5" x14ac:dyDescent="0.3">
      <c r="B182" s="29" t="s">
        <v>982</v>
      </c>
    </row>
    <row r="183" spans="2:7" ht="16.5" x14ac:dyDescent="0.25">
      <c r="B183" s="53"/>
      <c r="C183" s="53" t="s">
        <v>55</v>
      </c>
      <c r="D183" s="53" t="s">
        <v>52</v>
      </c>
      <c r="E183" s="53" t="s">
        <v>61</v>
      </c>
      <c r="F183" s="53" t="s">
        <v>381</v>
      </c>
      <c r="G183" s="53" t="s">
        <v>14</v>
      </c>
    </row>
    <row r="184" spans="2:7" ht="16.5" x14ac:dyDescent="0.3">
      <c r="B184" s="49" t="s">
        <v>984</v>
      </c>
      <c r="C184" s="50">
        <f>H6/1000</f>
        <v>333.69099999999997</v>
      </c>
      <c r="D184" s="50">
        <f>H64/1000</f>
        <v>12.282999999999999</v>
      </c>
      <c r="E184" s="50">
        <f>H103/1000</f>
        <v>14.249000000000001</v>
      </c>
      <c r="F184" s="50">
        <v>0</v>
      </c>
      <c r="G184" s="50">
        <f>SUM(C184:F184)</f>
        <v>360.22300000000001</v>
      </c>
    </row>
    <row r="185" spans="2:7" ht="16.5" x14ac:dyDescent="0.3">
      <c r="B185" s="49" t="s">
        <v>983</v>
      </c>
      <c r="C185" s="50" t="e">
        <f>H9/1000</f>
        <v>#REF!</v>
      </c>
      <c r="D185" s="50" t="e">
        <f>H66/1000</f>
        <v>#REF!</v>
      </c>
      <c r="E185" s="50" t="e">
        <f>H105/1000</f>
        <v>#REF!</v>
      </c>
      <c r="F185" s="50" t="e">
        <f>H147/1000</f>
        <v>#REF!</v>
      </c>
      <c r="G185" s="50" t="e">
        <f>SUM(C185:F185)</f>
        <v>#REF!</v>
      </c>
    </row>
  </sheetData>
  <mergeCells count="4">
    <mergeCell ref="B3:H3"/>
    <mergeCell ref="B61:H61"/>
    <mergeCell ref="B100:H100"/>
    <mergeCell ref="B142:H142"/>
  </mergeCells>
  <pageMargins left="0.511811024" right="0.511811024" top="0.78740157499999996" bottom="0.78740157499999996" header="0.31496062000000002" footer="0.31496062000000002"/>
  <pageSetup orientation="portrait" r:id="rId1"/>
  <ignoredErrors>
    <ignoredError sqref="H65 H7 H104 H146" 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workbookViewId="0">
      <pane xSplit="1" ySplit="3" topLeftCell="B169" activePane="bottomRight" state="frozen"/>
      <selection pane="topRight" activeCell="B1" sqref="B1"/>
      <selection pane="bottomLeft" activeCell="A4" sqref="A4"/>
      <selection pane="bottomRight" activeCell="B4" sqref="B4"/>
    </sheetView>
  </sheetViews>
  <sheetFormatPr defaultRowHeight="15" x14ac:dyDescent="0.25"/>
  <cols>
    <col min="1" max="1" width="11" bestFit="1" customWidth="1"/>
    <col min="2" max="2" width="40" customWidth="1"/>
    <col min="3" max="3" width="19.85546875" bestFit="1" customWidth="1"/>
    <col min="4" max="4" width="17.28515625" bestFit="1" customWidth="1"/>
    <col min="5" max="5" width="11" bestFit="1" customWidth="1"/>
    <col min="6" max="6" width="12.140625" bestFit="1" customWidth="1"/>
    <col min="7" max="7" width="12.85546875" bestFit="1" customWidth="1"/>
    <col min="8" max="8" width="12" bestFit="1" customWidth="1"/>
    <col min="9" max="9" width="14.42578125" bestFit="1" customWidth="1"/>
    <col min="10" max="10" width="12" bestFit="1" customWidth="1"/>
    <col min="11" max="11" width="14.42578125" bestFit="1" customWidth="1"/>
    <col min="12" max="12" width="13.5703125" bestFit="1" customWidth="1"/>
    <col min="13" max="13" width="17" bestFit="1" customWidth="1"/>
    <col min="14" max="15" width="11" bestFit="1" customWidth="1"/>
    <col min="16" max="16" width="35.5703125" bestFit="1" customWidth="1"/>
    <col min="17" max="18" width="11" bestFit="1" customWidth="1"/>
    <col min="19" max="21" width="12" bestFit="1"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468" t="s">
        <v>1348</v>
      </c>
      <c r="B2" s="468" t="s">
        <v>1349</v>
      </c>
      <c r="C2" s="468" t="s">
        <v>1350</v>
      </c>
      <c r="D2" s="470" t="s">
        <v>1351</v>
      </c>
      <c r="E2" s="121" t="s">
        <v>1352</v>
      </c>
      <c r="F2" s="122"/>
      <c r="G2" s="123"/>
      <c r="H2" s="122"/>
      <c r="I2" s="124" t="s">
        <v>1353</v>
      </c>
      <c r="J2" s="125">
        <v>43190</v>
      </c>
      <c r="K2" s="124"/>
      <c r="L2" s="124"/>
      <c r="M2" s="126"/>
      <c r="N2" s="127"/>
      <c r="O2" s="124"/>
      <c r="P2" s="124" t="s">
        <v>1354</v>
      </c>
      <c r="Q2" s="124"/>
      <c r="R2" s="124"/>
      <c r="S2" s="124"/>
      <c r="T2" s="124"/>
      <c r="U2" s="128"/>
    </row>
    <row r="3" spans="1:21"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1"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row>
    <row r="5" spans="1:21"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row>
    <row r="6" spans="1:21" x14ac:dyDescent="0.25">
      <c r="A6" s="111" t="s">
        <v>1383</v>
      </c>
      <c r="B6" s="112" t="s">
        <v>1384</v>
      </c>
      <c r="C6" s="112" t="s">
        <v>1385</v>
      </c>
      <c r="D6" s="113">
        <v>782</v>
      </c>
      <c r="E6" s="114">
        <v>0</v>
      </c>
      <c r="F6" s="113">
        <v>782</v>
      </c>
      <c r="G6" s="114">
        <v>0</v>
      </c>
      <c r="H6" s="113">
        <v>0</v>
      </c>
      <c r="I6" s="114">
        <v>0</v>
      </c>
      <c r="J6" s="113">
        <v>0</v>
      </c>
      <c r="K6" s="114">
        <v>0</v>
      </c>
      <c r="L6" s="113">
        <v>0</v>
      </c>
      <c r="M6" s="114">
        <v>0</v>
      </c>
      <c r="N6" s="113">
        <v>0</v>
      </c>
      <c r="O6" s="114">
        <v>0</v>
      </c>
      <c r="P6" s="113">
        <v>0</v>
      </c>
      <c r="Q6" s="114">
        <v>0</v>
      </c>
      <c r="R6" s="113">
        <v>0</v>
      </c>
      <c r="S6" s="114">
        <v>0</v>
      </c>
      <c r="T6" s="113">
        <v>0</v>
      </c>
      <c r="U6" s="115">
        <v>0</v>
      </c>
    </row>
    <row r="7" spans="1:21" x14ac:dyDescent="0.25">
      <c r="A7" s="14" t="s">
        <v>520</v>
      </c>
      <c r="B7" s="116" t="s">
        <v>1137</v>
      </c>
      <c r="C7" s="116" t="s">
        <v>57</v>
      </c>
      <c r="D7" s="117">
        <v>1854</v>
      </c>
      <c r="E7" s="120">
        <v>0</v>
      </c>
      <c r="F7" s="117">
        <v>0</v>
      </c>
      <c r="G7" s="120">
        <v>0</v>
      </c>
      <c r="H7" s="117">
        <v>0</v>
      </c>
      <c r="I7" s="120">
        <v>0</v>
      </c>
      <c r="J7" s="117">
        <v>0</v>
      </c>
      <c r="K7" s="120">
        <v>0</v>
      </c>
      <c r="L7" s="117">
        <v>0</v>
      </c>
      <c r="M7" s="120">
        <v>0</v>
      </c>
      <c r="N7" s="117">
        <v>634</v>
      </c>
      <c r="O7" s="120">
        <v>435</v>
      </c>
      <c r="P7" s="117">
        <v>360</v>
      </c>
      <c r="Q7" s="120">
        <v>425</v>
      </c>
      <c r="R7" s="117">
        <v>0</v>
      </c>
      <c r="S7" s="120">
        <v>0</v>
      </c>
      <c r="T7" s="117">
        <v>0</v>
      </c>
      <c r="U7" s="119">
        <v>0</v>
      </c>
    </row>
    <row r="8" spans="1:21" x14ac:dyDescent="0.25">
      <c r="A8" s="111" t="s">
        <v>1138</v>
      </c>
      <c r="B8" s="112" t="s">
        <v>1139</v>
      </c>
      <c r="C8" s="112" t="s">
        <v>57</v>
      </c>
      <c r="D8" s="113">
        <v>0</v>
      </c>
      <c r="E8" s="114">
        <v>0</v>
      </c>
      <c r="F8" s="113">
        <v>0</v>
      </c>
      <c r="G8" s="114">
        <v>0</v>
      </c>
      <c r="H8" s="113">
        <v>0</v>
      </c>
      <c r="I8" s="114">
        <v>0</v>
      </c>
      <c r="J8" s="113">
        <v>0</v>
      </c>
      <c r="K8" s="114">
        <v>0</v>
      </c>
      <c r="L8" s="113">
        <v>0</v>
      </c>
      <c r="M8" s="114">
        <v>0</v>
      </c>
      <c r="N8" s="113">
        <v>0</v>
      </c>
      <c r="O8" s="114">
        <v>0</v>
      </c>
      <c r="P8" s="113">
        <v>0</v>
      </c>
      <c r="Q8" s="114">
        <v>0</v>
      </c>
      <c r="R8" s="113">
        <v>0</v>
      </c>
      <c r="S8" s="114">
        <v>0</v>
      </c>
      <c r="T8" s="113">
        <v>0</v>
      </c>
      <c r="U8" s="115">
        <v>0</v>
      </c>
    </row>
    <row r="9" spans="1:21" x14ac:dyDescent="0.25">
      <c r="A9" s="14" t="s">
        <v>1133</v>
      </c>
      <c r="B9" s="116" t="s">
        <v>1140</v>
      </c>
      <c r="C9" s="116" t="s">
        <v>57</v>
      </c>
      <c r="D9" s="117">
        <v>0</v>
      </c>
      <c r="E9" s="120">
        <v>0</v>
      </c>
      <c r="F9" s="117">
        <v>0</v>
      </c>
      <c r="G9" s="120">
        <v>0</v>
      </c>
      <c r="H9" s="117">
        <v>0</v>
      </c>
      <c r="I9" s="120">
        <v>0</v>
      </c>
      <c r="J9" s="117">
        <v>0</v>
      </c>
      <c r="K9" s="120">
        <v>0</v>
      </c>
      <c r="L9" s="117">
        <v>0</v>
      </c>
      <c r="M9" s="120">
        <v>0</v>
      </c>
      <c r="N9" s="117">
        <v>0</v>
      </c>
      <c r="O9" s="120">
        <v>0</v>
      </c>
      <c r="P9" s="117">
        <v>0</v>
      </c>
      <c r="Q9" s="120">
        <v>0</v>
      </c>
      <c r="R9" s="117">
        <v>0</v>
      </c>
      <c r="S9" s="120">
        <v>0</v>
      </c>
      <c r="T9" s="117">
        <v>0</v>
      </c>
      <c r="U9" s="119">
        <v>0</v>
      </c>
    </row>
    <row r="10" spans="1:21" x14ac:dyDescent="0.25">
      <c r="A10" s="111" t="s">
        <v>1135</v>
      </c>
      <c r="B10" s="112" t="s">
        <v>1136</v>
      </c>
      <c r="C10" s="112" t="s">
        <v>57</v>
      </c>
      <c r="D10" s="113">
        <v>0</v>
      </c>
      <c r="E10" s="114">
        <v>0</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row>
    <row r="11" spans="1:21" x14ac:dyDescent="0.25">
      <c r="A11" s="14" t="s">
        <v>520</v>
      </c>
      <c r="B11" s="116" t="s">
        <v>1137</v>
      </c>
      <c r="C11" s="116" t="s">
        <v>57</v>
      </c>
      <c r="D11" s="117">
        <v>139</v>
      </c>
      <c r="E11" s="120">
        <v>0</v>
      </c>
      <c r="F11" s="117">
        <v>0</v>
      </c>
      <c r="G11" s="120">
        <v>0</v>
      </c>
      <c r="H11" s="117">
        <v>0</v>
      </c>
      <c r="I11" s="120">
        <v>0</v>
      </c>
      <c r="J11" s="117">
        <v>0</v>
      </c>
      <c r="K11" s="120">
        <v>0</v>
      </c>
      <c r="L11" s="117">
        <v>0</v>
      </c>
      <c r="M11" s="120">
        <v>0</v>
      </c>
      <c r="N11" s="117">
        <v>16</v>
      </c>
      <c r="O11" s="120">
        <v>30</v>
      </c>
      <c r="P11" s="117">
        <v>50</v>
      </c>
      <c r="Q11" s="120">
        <v>43</v>
      </c>
      <c r="R11" s="117">
        <v>0</v>
      </c>
      <c r="S11" s="120">
        <v>0</v>
      </c>
      <c r="T11" s="117">
        <v>0</v>
      </c>
      <c r="U11" s="119">
        <v>0</v>
      </c>
    </row>
    <row r="12" spans="1:21" x14ac:dyDescent="0.25">
      <c r="A12" s="111" t="s">
        <v>1138</v>
      </c>
      <c r="B12" s="112" t="s">
        <v>1139</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row>
    <row r="13" spans="1:21" x14ac:dyDescent="0.25">
      <c r="A13" s="14" t="s">
        <v>1141</v>
      </c>
      <c r="B13" s="116" t="s">
        <v>1142</v>
      </c>
      <c r="C13" s="116" t="s">
        <v>1143</v>
      </c>
      <c r="D13" s="117">
        <v>29</v>
      </c>
      <c r="E13" s="120">
        <v>0</v>
      </c>
      <c r="F13" s="117">
        <v>29</v>
      </c>
      <c r="G13" s="120">
        <v>0</v>
      </c>
      <c r="H13" s="117">
        <v>0</v>
      </c>
      <c r="I13" s="120">
        <v>0</v>
      </c>
      <c r="J13" s="117">
        <v>0</v>
      </c>
      <c r="K13" s="120">
        <v>0</v>
      </c>
      <c r="L13" s="117">
        <v>0</v>
      </c>
      <c r="M13" s="120">
        <v>0</v>
      </c>
      <c r="N13" s="117">
        <v>0</v>
      </c>
      <c r="O13" s="120">
        <v>0</v>
      </c>
      <c r="P13" s="117">
        <v>0</v>
      </c>
      <c r="Q13" s="120">
        <v>0</v>
      </c>
      <c r="R13" s="117">
        <v>0</v>
      </c>
      <c r="S13" s="120">
        <v>0</v>
      </c>
      <c r="T13" s="117">
        <v>0</v>
      </c>
      <c r="U13" s="119">
        <v>0</v>
      </c>
    </row>
    <row r="14" spans="1:21" x14ac:dyDescent="0.25">
      <c r="A14" s="111" t="s">
        <v>1133</v>
      </c>
      <c r="B14" s="112" t="s">
        <v>1144</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row>
    <row r="15" spans="1:21" x14ac:dyDescent="0.25">
      <c r="A15" s="14" t="s">
        <v>1135</v>
      </c>
      <c r="B15" s="116" t="s">
        <v>1136</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row>
    <row r="16" spans="1:21" x14ac:dyDescent="0.25">
      <c r="A16" s="111" t="s">
        <v>520</v>
      </c>
      <c r="B16" s="112" t="s">
        <v>1137</v>
      </c>
      <c r="C16" s="112" t="s">
        <v>57</v>
      </c>
      <c r="D16" s="113">
        <v>896</v>
      </c>
      <c r="E16" s="114">
        <v>0</v>
      </c>
      <c r="F16" s="113">
        <v>0</v>
      </c>
      <c r="G16" s="114">
        <v>0</v>
      </c>
      <c r="H16" s="113">
        <v>0</v>
      </c>
      <c r="I16" s="114">
        <v>0</v>
      </c>
      <c r="J16" s="113">
        <v>0</v>
      </c>
      <c r="K16" s="114">
        <v>0</v>
      </c>
      <c r="L16" s="113">
        <v>0</v>
      </c>
      <c r="M16" s="114">
        <v>0</v>
      </c>
      <c r="N16" s="113">
        <v>351.5</v>
      </c>
      <c r="O16" s="114">
        <v>214.5</v>
      </c>
      <c r="P16" s="113">
        <v>51.5</v>
      </c>
      <c r="Q16" s="114">
        <v>278.5</v>
      </c>
      <c r="R16" s="113">
        <v>0</v>
      </c>
      <c r="S16" s="114">
        <v>0</v>
      </c>
      <c r="T16" s="113">
        <v>0</v>
      </c>
      <c r="U16" s="115">
        <v>0</v>
      </c>
    </row>
    <row r="17" spans="1:21" x14ac:dyDescent="0.25">
      <c r="A17" s="14" t="s">
        <v>1138</v>
      </c>
      <c r="B17" s="116" t="s">
        <v>1139</v>
      </c>
      <c r="C17" s="116" t="s">
        <v>57</v>
      </c>
      <c r="D17" s="117">
        <v>0</v>
      </c>
      <c r="E17" s="120">
        <v>0</v>
      </c>
      <c r="F17" s="117">
        <v>0</v>
      </c>
      <c r="G17" s="120">
        <v>0</v>
      </c>
      <c r="H17" s="117">
        <v>0</v>
      </c>
      <c r="I17" s="120">
        <v>0</v>
      </c>
      <c r="J17" s="117">
        <v>0</v>
      </c>
      <c r="K17" s="120">
        <v>0</v>
      </c>
      <c r="L17" s="117">
        <v>0</v>
      </c>
      <c r="M17" s="120">
        <v>0</v>
      </c>
      <c r="N17" s="117">
        <v>0</v>
      </c>
      <c r="O17" s="120">
        <v>0</v>
      </c>
      <c r="P17" s="117">
        <v>0</v>
      </c>
      <c r="Q17" s="120">
        <v>0</v>
      </c>
      <c r="R17" s="117">
        <v>0</v>
      </c>
      <c r="S17" s="120">
        <v>0</v>
      </c>
      <c r="T17" s="117">
        <v>0</v>
      </c>
      <c r="U17" s="119">
        <v>0</v>
      </c>
    </row>
    <row r="18" spans="1:21" x14ac:dyDescent="0.25">
      <c r="A18" s="111" t="s">
        <v>1145</v>
      </c>
      <c r="B18" s="112" t="s">
        <v>1146</v>
      </c>
      <c r="C18" s="112" t="s">
        <v>1147</v>
      </c>
      <c r="D18" s="113">
        <v>59</v>
      </c>
      <c r="E18" s="114">
        <v>0</v>
      </c>
      <c r="F18" s="113">
        <v>59</v>
      </c>
      <c r="G18" s="114">
        <v>0</v>
      </c>
      <c r="H18" s="113">
        <v>0</v>
      </c>
      <c r="I18" s="114">
        <v>0</v>
      </c>
      <c r="J18" s="113">
        <v>0</v>
      </c>
      <c r="K18" s="114">
        <v>0</v>
      </c>
      <c r="L18" s="113">
        <v>0</v>
      </c>
      <c r="M18" s="114">
        <v>0</v>
      </c>
      <c r="N18" s="113">
        <v>0</v>
      </c>
      <c r="O18" s="114">
        <v>0</v>
      </c>
      <c r="P18" s="113">
        <v>0</v>
      </c>
      <c r="Q18" s="114">
        <v>0</v>
      </c>
      <c r="R18" s="113">
        <v>0</v>
      </c>
      <c r="S18" s="114">
        <v>0</v>
      </c>
      <c r="T18" s="113">
        <v>0</v>
      </c>
      <c r="U18" s="115">
        <v>0</v>
      </c>
    </row>
    <row r="19" spans="1:21" x14ac:dyDescent="0.25">
      <c r="A19" s="14" t="s">
        <v>1133</v>
      </c>
      <c r="B19" s="116" t="s">
        <v>1148</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row>
    <row r="20" spans="1:21" x14ac:dyDescent="0.25">
      <c r="A20" s="111" t="s">
        <v>1135</v>
      </c>
      <c r="B20" s="112" t="s">
        <v>1136</v>
      </c>
      <c r="C20" s="112" t="s">
        <v>57</v>
      </c>
      <c r="D20" s="113">
        <v>0</v>
      </c>
      <c r="E20" s="114">
        <v>0</v>
      </c>
      <c r="F20" s="113">
        <v>0</v>
      </c>
      <c r="G20" s="114">
        <v>0</v>
      </c>
      <c r="H20" s="113">
        <v>0</v>
      </c>
      <c r="I20" s="114">
        <v>0</v>
      </c>
      <c r="J20" s="113">
        <v>0</v>
      </c>
      <c r="K20" s="114">
        <v>0</v>
      </c>
      <c r="L20" s="113">
        <v>0</v>
      </c>
      <c r="M20" s="114">
        <v>0</v>
      </c>
      <c r="N20" s="113">
        <v>0</v>
      </c>
      <c r="O20" s="114">
        <v>0</v>
      </c>
      <c r="P20" s="113">
        <v>0</v>
      </c>
      <c r="Q20" s="114">
        <v>0</v>
      </c>
      <c r="R20" s="113">
        <v>0</v>
      </c>
      <c r="S20" s="114">
        <v>0</v>
      </c>
      <c r="T20" s="113">
        <v>0</v>
      </c>
      <c r="U20" s="115">
        <v>0</v>
      </c>
    </row>
    <row r="21" spans="1:21" x14ac:dyDescent="0.25">
      <c r="A21" s="14" t="s">
        <v>520</v>
      </c>
      <c r="B21" s="116" t="s">
        <v>1137</v>
      </c>
      <c r="C21" s="116" t="s">
        <v>57</v>
      </c>
      <c r="D21" s="117">
        <v>4234</v>
      </c>
      <c r="E21" s="120">
        <v>0</v>
      </c>
      <c r="F21" s="117">
        <v>0</v>
      </c>
      <c r="G21" s="120">
        <v>0</v>
      </c>
      <c r="H21" s="117">
        <v>0</v>
      </c>
      <c r="I21" s="120">
        <v>0</v>
      </c>
      <c r="J21" s="117">
        <v>0</v>
      </c>
      <c r="K21" s="120">
        <v>0</v>
      </c>
      <c r="L21" s="117">
        <v>0</v>
      </c>
      <c r="M21" s="120">
        <v>0</v>
      </c>
      <c r="N21" s="117">
        <v>1138</v>
      </c>
      <c r="O21" s="120">
        <v>1210</v>
      </c>
      <c r="P21" s="117">
        <v>1123</v>
      </c>
      <c r="Q21" s="120">
        <v>763</v>
      </c>
      <c r="R21" s="117">
        <v>0</v>
      </c>
      <c r="S21" s="120">
        <v>0</v>
      </c>
      <c r="T21" s="117">
        <v>0</v>
      </c>
      <c r="U21" s="119">
        <v>0</v>
      </c>
    </row>
    <row r="22" spans="1:21" x14ac:dyDescent="0.25">
      <c r="A22" s="111" t="s">
        <v>1138</v>
      </c>
      <c r="B22" s="112" t="s">
        <v>1139</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row>
    <row r="23" spans="1:21" x14ac:dyDescent="0.25">
      <c r="A23" s="14" t="s">
        <v>1058</v>
      </c>
      <c r="B23" s="116" t="s">
        <v>1149</v>
      </c>
      <c r="C23" s="116" t="s">
        <v>1150</v>
      </c>
      <c r="D23" s="117">
        <v>0</v>
      </c>
      <c r="E23" s="120">
        <v>0</v>
      </c>
      <c r="F23" s="117">
        <v>0</v>
      </c>
      <c r="G23" s="120">
        <v>119</v>
      </c>
      <c r="H23" s="117">
        <v>0</v>
      </c>
      <c r="I23" s="120">
        <v>119.11103057861328</v>
      </c>
      <c r="J23" s="117">
        <v>0</v>
      </c>
      <c r="K23" s="120">
        <v>119.11103057861328</v>
      </c>
      <c r="L23" s="117">
        <v>0</v>
      </c>
      <c r="M23" s="120">
        <v>119.11103057861328</v>
      </c>
      <c r="N23" s="117">
        <v>0</v>
      </c>
      <c r="O23" s="120">
        <v>0</v>
      </c>
      <c r="P23" s="117">
        <v>0</v>
      </c>
      <c r="Q23" s="120">
        <v>0</v>
      </c>
      <c r="R23" s="117">
        <v>0</v>
      </c>
      <c r="S23" s="120">
        <v>0</v>
      </c>
      <c r="T23" s="117">
        <v>0</v>
      </c>
      <c r="U23" s="119">
        <v>0</v>
      </c>
    </row>
    <row r="24" spans="1:21" x14ac:dyDescent="0.25">
      <c r="A24" s="111" t="s">
        <v>744</v>
      </c>
      <c r="B24" s="112" t="s">
        <v>378</v>
      </c>
      <c r="C24" s="112" t="s">
        <v>1151</v>
      </c>
      <c r="D24" s="113">
        <v>0</v>
      </c>
      <c r="E24" s="114">
        <v>0</v>
      </c>
      <c r="F24" s="113">
        <v>0</v>
      </c>
      <c r="G24" s="114">
        <v>490</v>
      </c>
      <c r="H24" s="113">
        <v>0</v>
      </c>
      <c r="I24" s="114">
        <v>48.300398826599121</v>
      </c>
      <c r="J24" s="113">
        <v>0</v>
      </c>
      <c r="K24" s="114">
        <v>48.300398826599121</v>
      </c>
      <c r="L24" s="113">
        <v>435.47496032714844</v>
      </c>
      <c r="M24" s="114">
        <v>483.77535915374756</v>
      </c>
      <c r="N24" s="113">
        <v>0</v>
      </c>
      <c r="O24" s="114">
        <v>0</v>
      </c>
      <c r="P24" s="113">
        <v>0</v>
      </c>
      <c r="Q24" s="114">
        <v>0</v>
      </c>
      <c r="R24" s="113">
        <v>0</v>
      </c>
      <c r="S24" s="114">
        <v>0</v>
      </c>
      <c r="T24" s="113">
        <v>0</v>
      </c>
      <c r="U24" s="115">
        <v>0</v>
      </c>
    </row>
    <row r="25" spans="1:21" x14ac:dyDescent="0.25">
      <c r="A25" s="14" t="s">
        <v>1152</v>
      </c>
      <c r="B25" s="116" t="s">
        <v>1149</v>
      </c>
      <c r="C25" s="116" t="s">
        <v>1153</v>
      </c>
      <c r="D25" s="117">
        <v>0</v>
      </c>
      <c r="E25" s="120">
        <v>0</v>
      </c>
      <c r="F25" s="117">
        <v>0</v>
      </c>
      <c r="G25" s="120">
        <v>115</v>
      </c>
      <c r="H25" s="117">
        <v>0</v>
      </c>
      <c r="I25" s="120">
        <v>0</v>
      </c>
      <c r="J25" s="117">
        <v>0</v>
      </c>
      <c r="K25" s="120">
        <v>0</v>
      </c>
      <c r="L25" s="117">
        <v>0</v>
      </c>
      <c r="M25" s="120">
        <v>0</v>
      </c>
      <c r="N25" s="117">
        <v>0</v>
      </c>
      <c r="O25" s="120">
        <v>0</v>
      </c>
      <c r="P25" s="117">
        <v>0</v>
      </c>
      <c r="Q25" s="120">
        <v>0</v>
      </c>
      <c r="R25" s="117">
        <v>0</v>
      </c>
      <c r="S25" s="120">
        <v>0</v>
      </c>
      <c r="T25" s="117">
        <v>0</v>
      </c>
      <c r="U25" s="119">
        <v>0</v>
      </c>
    </row>
    <row r="26" spans="1:21" x14ac:dyDescent="0.25">
      <c r="A26" s="111" t="s">
        <v>1154</v>
      </c>
      <c r="B26" s="112" t="s">
        <v>1155</v>
      </c>
      <c r="C26" s="112" t="s">
        <v>1156</v>
      </c>
      <c r="D26" s="113">
        <v>1886</v>
      </c>
      <c r="E26" s="114">
        <v>0</v>
      </c>
      <c r="F26" s="113">
        <v>1886</v>
      </c>
      <c r="G26" s="114">
        <v>0</v>
      </c>
      <c r="H26" s="113">
        <v>167</v>
      </c>
      <c r="I26" s="114">
        <v>0</v>
      </c>
      <c r="J26" s="113">
        <v>0</v>
      </c>
      <c r="K26" s="114">
        <v>0</v>
      </c>
      <c r="L26" s="113">
        <v>0</v>
      </c>
      <c r="M26" s="114">
        <v>0</v>
      </c>
      <c r="N26" s="113">
        <v>0</v>
      </c>
      <c r="O26" s="114">
        <v>0</v>
      </c>
      <c r="P26" s="113">
        <v>0</v>
      </c>
      <c r="Q26" s="114">
        <v>0</v>
      </c>
      <c r="R26" s="113">
        <v>0</v>
      </c>
      <c r="S26" s="114">
        <v>0</v>
      </c>
      <c r="T26" s="113">
        <v>0</v>
      </c>
      <c r="U26" s="115">
        <v>0</v>
      </c>
    </row>
    <row r="27" spans="1:21" x14ac:dyDescent="0.25">
      <c r="A27" s="14" t="s">
        <v>1133</v>
      </c>
      <c r="B27" s="116" t="s">
        <v>1157</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row>
    <row r="28" spans="1:21" x14ac:dyDescent="0.25">
      <c r="A28" s="111" t="s">
        <v>1135</v>
      </c>
      <c r="B28" s="112" t="s">
        <v>1136</v>
      </c>
      <c r="C28" s="112" t="s">
        <v>57</v>
      </c>
      <c r="D28" s="113">
        <v>0</v>
      </c>
      <c r="E28" s="114">
        <v>0</v>
      </c>
      <c r="F28" s="113">
        <v>0</v>
      </c>
      <c r="G28" s="114">
        <v>0</v>
      </c>
      <c r="H28" s="113">
        <v>0</v>
      </c>
      <c r="I28" s="114">
        <v>0</v>
      </c>
      <c r="J28" s="113">
        <v>0</v>
      </c>
      <c r="K28" s="114">
        <v>0</v>
      </c>
      <c r="L28" s="113">
        <v>0</v>
      </c>
      <c r="M28" s="114">
        <v>0</v>
      </c>
      <c r="N28" s="113">
        <v>0</v>
      </c>
      <c r="O28" s="114">
        <v>0</v>
      </c>
      <c r="P28" s="113">
        <v>0</v>
      </c>
      <c r="Q28" s="114">
        <v>0</v>
      </c>
      <c r="R28" s="113">
        <v>0</v>
      </c>
      <c r="S28" s="114">
        <v>0</v>
      </c>
      <c r="T28" s="113">
        <v>0</v>
      </c>
      <c r="U28" s="115">
        <v>0</v>
      </c>
    </row>
    <row r="29" spans="1:21" x14ac:dyDescent="0.25">
      <c r="A29" s="14" t="s">
        <v>1386</v>
      </c>
      <c r="B29" s="116" t="s">
        <v>1387</v>
      </c>
      <c r="C29" s="116" t="s">
        <v>1388</v>
      </c>
      <c r="D29" s="117">
        <v>103</v>
      </c>
      <c r="E29" s="120">
        <v>0</v>
      </c>
      <c r="F29" s="117">
        <v>103</v>
      </c>
      <c r="G29" s="120">
        <v>0</v>
      </c>
      <c r="H29" s="117">
        <v>0</v>
      </c>
      <c r="I29" s="120">
        <v>0</v>
      </c>
      <c r="J29" s="117">
        <v>0</v>
      </c>
      <c r="K29" s="120">
        <v>0</v>
      </c>
      <c r="L29" s="117">
        <v>0</v>
      </c>
      <c r="M29" s="120">
        <v>0</v>
      </c>
      <c r="N29" s="117">
        <v>0</v>
      </c>
      <c r="O29" s="120">
        <v>0</v>
      </c>
      <c r="P29" s="117">
        <v>0</v>
      </c>
      <c r="Q29" s="120">
        <v>0</v>
      </c>
      <c r="R29" s="117">
        <v>0</v>
      </c>
      <c r="S29" s="120">
        <v>0</v>
      </c>
      <c r="T29" s="117">
        <v>0</v>
      </c>
      <c r="U29" s="119">
        <v>0</v>
      </c>
    </row>
    <row r="30" spans="1:21" x14ac:dyDescent="0.25">
      <c r="A30" s="111" t="s">
        <v>520</v>
      </c>
      <c r="B30" s="112" t="s">
        <v>1137</v>
      </c>
      <c r="C30" s="112" t="s">
        <v>57</v>
      </c>
      <c r="D30" s="113">
        <v>0</v>
      </c>
      <c r="E30" s="114">
        <v>0</v>
      </c>
      <c r="F30" s="113">
        <v>0</v>
      </c>
      <c r="G30" s="114">
        <v>0</v>
      </c>
      <c r="H30" s="113">
        <v>0</v>
      </c>
      <c r="I30" s="114">
        <v>0</v>
      </c>
      <c r="J30" s="113">
        <v>0</v>
      </c>
      <c r="K30" s="114">
        <v>0</v>
      </c>
      <c r="L30" s="113">
        <v>0</v>
      </c>
      <c r="M30" s="114">
        <v>0</v>
      </c>
      <c r="N30" s="113">
        <v>0</v>
      </c>
      <c r="O30" s="114">
        <v>0</v>
      </c>
      <c r="P30" s="113">
        <v>0</v>
      </c>
      <c r="Q30" s="114">
        <v>0</v>
      </c>
      <c r="R30" s="113">
        <v>0</v>
      </c>
      <c r="S30" s="114">
        <v>0</v>
      </c>
      <c r="T30" s="113">
        <v>0</v>
      </c>
      <c r="U30" s="115">
        <v>0</v>
      </c>
    </row>
    <row r="31" spans="1:21" x14ac:dyDescent="0.25">
      <c r="A31" s="14" t="s">
        <v>1138</v>
      </c>
      <c r="B31" s="116" t="s">
        <v>1139</v>
      </c>
      <c r="C31" s="116" t="s">
        <v>57</v>
      </c>
      <c r="D31" s="117">
        <v>0</v>
      </c>
      <c r="E31" s="120">
        <v>0</v>
      </c>
      <c r="F31" s="117">
        <v>0</v>
      </c>
      <c r="G31" s="120">
        <v>0</v>
      </c>
      <c r="H31" s="117">
        <v>0</v>
      </c>
      <c r="I31" s="120">
        <v>0</v>
      </c>
      <c r="J31" s="117">
        <v>0</v>
      </c>
      <c r="K31" s="120">
        <v>0</v>
      </c>
      <c r="L31" s="117">
        <v>0</v>
      </c>
      <c r="M31" s="120">
        <v>0</v>
      </c>
      <c r="N31" s="117">
        <v>0</v>
      </c>
      <c r="O31" s="120">
        <v>0</v>
      </c>
      <c r="P31" s="117">
        <v>0</v>
      </c>
      <c r="Q31" s="120">
        <v>0</v>
      </c>
      <c r="R31" s="117">
        <v>0</v>
      </c>
      <c r="S31" s="120">
        <v>0</v>
      </c>
      <c r="T31" s="117">
        <v>0</v>
      </c>
      <c r="U31" s="119">
        <v>0</v>
      </c>
    </row>
    <row r="32" spans="1:21" x14ac:dyDescent="0.25">
      <c r="A32" s="111" t="s">
        <v>1133</v>
      </c>
      <c r="B32" s="112" t="s">
        <v>1158</v>
      </c>
      <c r="C32" s="112" t="s">
        <v>57</v>
      </c>
      <c r="D32" s="113">
        <v>0</v>
      </c>
      <c r="E32" s="114">
        <v>0</v>
      </c>
      <c r="F32" s="113">
        <v>0</v>
      </c>
      <c r="G32" s="114">
        <v>0</v>
      </c>
      <c r="H32" s="113">
        <v>0</v>
      </c>
      <c r="I32" s="114">
        <v>0</v>
      </c>
      <c r="J32" s="113">
        <v>0</v>
      </c>
      <c r="K32" s="114">
        <v>0</v>
      </c>
      <c r="L32" s="113">
        <v>0</v>
      </c>
      <c r="M32" s="114">
        <v>0</v>
      </c>
      <c r="N32" s="113">
        <v>0</v>
      </c>
      <c r="O32" s="114">
        <v>0</v>
      </c>
      <c r="P32" s="113">
        <v>0</v>
      </c>
      <c r="Q32" s="114">
        <v>0</v>
      </c>
      <c r="R32" s="113">
        <v>0</v>
      </c>
      <c r="S32" s="114">
        <v>0</v>
      </c>
      <c r="T32" s="113">
        <v>0</v>
      </c>
      <c r="U32" s="115">
        <v>0</v>
      </c>
    </row>
    <row r="33" spans="1:21" x14ac:dyDescent="0.25">
      <c r="A33" s="14" t="s">
        <v>1135</v>
      </c>
      <c r="B33" s="116" t="s">
        <v>1136</v>
      </c>
      <c r="C33" s="116" t="s">
        <v>57</v>
      </c>
      <c r="D33" s="117">
        <v>0</v>
      </c>
      <c r="E33" s="120">
        <v>0</v>
      </c>
      <c r="F33" s="117">
        <v>0</v>
      </c>
      <c r="G33" s="120">
        <v>0</v>
      </c>
      <c r="H33" s="117">
        <v>0</v>
      </c>
      <c r="I33" s="120">
        <v>0</v>
      </c>
      <c r="J33" s="117">
        <v>0</v>
      </c>
      <c r="K33" s="120">
        <v>0</v>
      </c>
      <c r="L33" s="117">
        <v>0</v>
      </c>
      <c r="M33" s="120">
        <v>0</v>
      </c>
      <c r="N33" s="117">
        <v>0</v>
      </c>
      <c r="O33" s="120">
        <v>0</v>
      </c>
      <c r="P33" s="117">
        <v>0</v>
      </c>
      <c r="Q33" s="120">
        <v>0</v>
      </c>
      <c r="R33" s="117">
        <v>0</v>
      </c>
      <c r="S33" s="120">
        <v>0</v>
      </c>
      <c r="T33" s="117">
        <v>0</v>
      </c>
      <c r="U33" s="119">
        <v>0</v>
      </c>
    </row>
    <row r="34" spans="1:21" x14ac:dyDescent="0.25">
      <c r="A34" s="111" t="s">
        <v>1389</v>
      </c>
      <c r="B34" s="112" t="s">
        <v>1390</v>
      </c>
      <c r="C34" s="112" t="s">
        <v>1391</v>
      </c>
      <c r="D34" s="113">
        <v>518</v>
      </c>
      <c r="E34" s="114">
        <v>0</v>
      </c>
      <c r="F34" s="113">
        <v>518</v>
      </c>
      <c r="G34" s="114">
        <v>0</v>
      </c>
      <c r="H34" s="113">
        <v>0</v>
      </c>
      <c r="I34" s="114">
        <v>0</v>
      </c>
      <c r="J34" s="113">
        <v>0</v>
      </c>
      <c r="K34" s="114">
        <v>0</v>
      </c>
      <c r="L34" s="113">
        <v>0</v>
      </c>
      <c r="M34" s="114">
        <v>0</v>
      </c>
      <c r="N34" s="113">
        <v>0</v>
      </c>
      <c r="O34" s="114">
        <v>0</v>
      </c>
      <c r="P34" s="113">
        <v>0</v>
      </c>
      <c r="Q34" s="114">
        <v>0</v>
      </c>
      <c r="R34" s="113">
        <v>0</v>
      </c>
      <c r="S34" s="114">
        <v>0</v>
      </c>
      <c r="T34" s="113">
        <v>0</v>
      </c>
      <c r="U34" s="115">
        <v>0</v>
      </c>
    </row>
    <row r="35" spans="1:21" x14ac:dyDescent="0.25">
      <c r="A35" s="14" t="s">
        <v>1159</v>
      </c>
      <c r="B35" s="116" t="s">
        <v>1160</v>
      </c>
      <c r="C35" s="116" t="s">
        <v>1161</v>
      </c>
      <c r="D35" s="117">
        <v>0</v>
      </c>
      <c r="E35" s="120">
        <v>0</v>
      </c>
      <c r="F35" s="117">
        <v>0</v>
      </c>
      <c r="G35" s="120">
        <v>120</v>
      </c>
      <c r="H35" s="117">
        <v>0</v>
      </c>
      <c r="I35" s="120">
        <v>118.80000305175781</v>
      </c>
      <c r="J35" s="117">
        <v>0</v>
      </c>
      <c r="K35" s="120">
        <v>118.80000305175781</v>
      </c>
      <c r="L35" s="117">
        <v>0</v>
      </c>
      <c r="M35" s="120">
        <v>118.80000305175781</v>
      </c>
      <c r="N35" s="117">
        <v>0</v>
      </c>
      <c r="O35" s="120">
        <v>0</v>
      </c>
      <c r="P35" s="117">
        <v>0</v>
      </c>
      <c r="Q35" s="120">
        <v>0</v>
      </c>
      <c r="R35" s="117">
        <v>0</v>
      </c>
      <c r="S35" s="120">
        <v>0</v>
      </c>
      <c r="T35" s="117">
        <v>0</v>
      </c>
      <c r="U35" s="119">
        <v>0</v>
      </c>
    </row>
    <row r="36" spans="1:21" x14ac:dyDescent="0.25">
      <c r="A36" s="111" t="s">
        <v>1162</v>
      </c>
      <c r="B36" s="112" t="s">
        <v>1163</v>
      </c>
      <c r="C36" s="112" t="s">
        <v>1164</v>
      </c>
      <c r="D36" s="113">
        <v>0</v>
      </c>
      <c r="E36" s="114">
        <v>0</v>
      </c>
      <c r="F36" s="113">
        <v>0</v>
      </c>
      <c r="G36" s="114">
        <v>171</v>
      </c>
      <c r="H36" s="113">
        <v>0</v>
      </c>
      <c r="I36" s="114">
        <v>0</v>
      </c>
      <c r="J36" s="113">
        <v>0</v>
      </c>
      <c r="K36" s="114">
        <v>0</v>
      </c>
      <c r="L36" s="113">
        <v>4.503270149230957</v>
      </c>
      <c r="M36" s="114">
        <v>4.503270149230957</v>
      </c>
      <c r="N36" s="113">
        <v>0</v>
      </c>
      <c r="O36" s="114">
        <v>0</v>
      </c>
      <c r="P36" s="113">
        <v>0</v>
      </c>
      <c r="Q36" s="114">
        <v>0</v>
      </c>
      <c r="R36" s="113">
        <v>0</v>
      </c>
      <c r="S36" s="114">
        <v>0</v>
      </c>
      <c r="T36" s="113">
        <v>0</v>
      </c>
      <c r="U36" s="115">
        <v>0</v>
      </c>
    </row>
    <row r="37" spans="1:21" x14ac:dyDescent="0.25">
      <c r="A37" s="14" t="s">
        <v>1165</v>
      </c>
      <c r="B37" s="116" t="s">
        <v>1166</v>
      </c>
      <c r="C37" s="116" t="s">
        <v>1167</v>
      </c>
      <c r="D37" s="117">
        <v>0</v>
      </c>
      <c r="E37" s="120">
        <v>0</v>
      </c>
      <c r="F37" s="117">
        <v>0</v>
      </c>
      <c r="G37" s="120">
        <v>17</v>
      </c>
      <c r="H37" s="117">
        <v>0</v>
      </c>
      <c r="I37" s="120">
        <v>15.548649787902832</v>
      </c>
      <c r="J37" s="117">
        <v>0</v>
      </c>
      <c r="K37" s="120">
        <v>15.548649787902832</v>
      </c>
      <c r="L37" s="117">
        <v>0</v>
      </c>
      <c r="M37" s="120">
        <v>15.548649787902832</v>
      </c>
      <c r="N37" s="117">
        <v>0</v>
      </c>
      <c r="O37" s="120">
        <v>0</v>
      </c>
      <c r="P37" s="117">
        <v>0</v>
      </c>
      <c r="Q37" s="120">
        <v>0</v>
      </c>
      <c r="R37" s="117">
        <v>0</v>
      </c>
      <c r="S37" s="120">
        <v>0</v>
      </c>
      <c r="T37" s="117">
        <v>0</v>
      </c>
      <c r="U37" s="119">
        <v>0</v>
      </c>
    </row>
    <row r="38" spans="1:21" x14ac:dyDescent="0.25">
      <c r="A38" s="111" t="s">
        <v>520</v>
      </c>
      <c r="B38" s="112" t="s">
        <v>1168</v>
      </c>
      <c r="C38" s="112" t="s">
        <v>57</v>
      </c>
      <c r="D38" s="113">
        <v>1783</v>
      </c>
      <c r="E38" s="114">
        <v>0</v>
      </c>
      <c r="F38" s="113">
        <v>0</v>
      </c>
      <c r="G38" s="114">
        <v>0</v>
      </c>
      <c r="H38" s="113">
        <v>0</v>
      </c>
      <c r="I38" s="114">
        <v>0</v>
      </c>
      <c r="J38" s="113">
        <v>0</v>
      </c>
      <c r="K38" s="114">
        <v>0</v>
      </c>
      <c r="L38" s="113">
        <v>0</v>
      </c>
      <c r="M38" s="114">
        <v>0</v>
      </c>
      <c r="N38" s="113">
        <v>486</v>
      </c>
      <c r="O38" s="114">
        <v>602</v>
      </c>
      <c r="P38" s="113">
        <v>498</v>
      </c>
      <c r="Q38" s="114">
        <v>197</v>
      </c>
      <c r="R38" s="113">
        <v>0</v>
      </c>
      <c r="S38" s="114">
        <v>0</v>
      </c>
      <c r="T38" s="113">
        <v>0</v>
      </c>
      <c r="U38" s="115">
        <v>0</v>
      </c>
    </row>
    <row r="39" spans="1:21" x14ac:dyDescent="0.25">
      <c r="A39" s="14" t="s">
        <v>1169</v>
      </c>
      <c r="B39" s="116" t="s">
        <v>1170</v>
      </c>
      <c r="C39" s="116" t="s">
        <v>1171</v>
      </c>
      <c r="D39" s="117">
        <v>0</v>
      </c>
      <c r="E39" s="120">
        <v>0</v>
      </c>
      <c r="F39" s="117">
        <v>0</v>
      </c>
      <c r="G39" s="120">
        <v>74</v>
      </c>
      <c r="H39" s="117">
        <v>0</v>
      </c>
      <c r="I39" s="120">
        <v>0</v>
      </c>
      <c r="J39" s="117">
        <v>0</v>
      </c>
      <c r="K39" s="120">
        <v>0</v>
      </c>
      <c r="L39" s="117">
        <v>30.149999618530273</v>
      </c>
      <c r="M39" s="120">
        <v>30.149999618530273</v>
      </c>
      <c r="N39" s="117">
        <v>0</v>
      </c>
      <c r="O39" s="120">
        <v>0</v>
      </c>
      <c r="P39" s="117">
        <v>0</v>
      </c>
      <c r="Q39" s="120">
        <v>0</v>
      </c>
      <c r="R39" s="117">
        <v>0</v>
      </c>
      <c r="S39" s="120">
        <v>0</v>
      </c>
      <c r="T39" s="117">
        <v>0</v>
      </c>
      <c r="U39" s="119">
        <v>0</v>
      </c>
    </row>
    <row r="40" spans="1:21" x14ac:dyDescent="0.25">
      <c r="A40" s="111" t="s">
        <v>1172</v>
      </c>
      <c r="B40" s="112" t="s">
        <v>1173</v>
      </c>
      <c r="C40" s="112" t="s">
        <v>1174</v>
      </c>
      <c r="D40" s="113">
        <v>0</v>
      </c>
      <c r="E40" s="114">
        <v>0</v>
      </c>
      <c r="F40" s="113">
        <v>0</v>
      </c>
      <c r="G40" s="114">
        <v>270</v>
      </c>
      <c r="H40" s="113">
        <v>0</v>
      </c>
      <c r="I40" s="114">
        <v>0</v>
      </c>
      <c r="J40" s="113">
        <v>0</v>
      </c>
      <c r="K40" s="114">
        <v>0</v>
      </c>
      <c r="L40" s="113">
        <v>236.05000114440918</v>
      </c>
      <c r="M40" s="114">
        <v>236.05000114440918</v>
      </c>
      <c r="N40" s="113">
        <v>0</v>
      </c>
      <c r="O40" s="114">
        <v>0</v>
      </c>
      <c r="P40" s="113">
        <v>0</v>
      </c>
      <c r="Q40" s="114">
        <v>0</v>
      </c>
      <c r="R40" s="113">
        <v>0</v>
      </c>
      <c r="S40" s="114">
        <v>0</v>
      </c>
      <c r="T40" s="113">
        <v>0</v>
      </c>
      <c r="U40" s="115">
        <v>0</v>
      </c>
    </row>
    <row r="41" spans="1:21" x14ac:dyDescent="0.25">
      <c r="A41" s="14" t="s">
        <v>1138</v>
      </c>
      <c r="B41" s="116" t="s">
        <v>1139</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row>
    <row r="42" spans="1:21" x14ac:dyDescent="0.25">
      <c r="A42" s="111" t="s">
        <v>1133</v>
      </c>
      <c r="B42" s="112" t="s">
        <v>1134</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row>
    <row r="43" spans="1:21" x14ac:dyDescent="0.25">
      <c r="A43" s="14" t="s">
        <v>1135</v>
      </c>
      <c r="B43" s="116" t="s">
        <v>1136</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row>
    <row r="44" spans="1:21" x14ac:dyDescent="0.25">
      <c r="A44" s="111" t="s">
        <v>1392</v>
      </c>
      <c r="B44" s="112" t="s">
        <v>1393</v>
      </c>
      <c r="C44" s="112" t="s">
        <v>1394</v>
      </c>
      <c r="D44" s="113">
        <v>0</v>
      </c>
      <c r="E44" s="114">
        <v>0</v>
      </c>
      <c r="F44" s="113">
        <v>0</v>
      </c>
      <c r="G44" s="114">
        <v>0</v>
      </c>
      <c r="H44" s="113">
        <v>0</v>
      </c>
      <c r="I44" s="114">
        <v>0</v>
      </c>
      <c r="J44" s="113">
        <v>0</v>
      </c>
      <c r="K44" s="114">
        <v>0</v>
      </c>
      <c r="L44" s="113">
        <v>0</v>
      </c>
      <c r="M44" s="114">
        <v>0</v>
      </c>
      <c r="N44" s="113">
        <v>0</v>
      </c>
      <c r="O44" s="114">
        <v>0</v>
      </c>
      <c r="P44" s="113">
        <v>0</v>
      </c>
      <c r="Q44" s="114">
        <v>0</v>
      </c>
      <c r="R44" s="113">
        <v>0</v>
      </c>
      <c r="S44" s="114">
        <v>0</v>
      </c>
      <c r="T44" s="113">
        <v>0</v>
      </c>
      <c r="U44" s="115">
        <v>0</v>
      </c>
    </row>
    <row r="45" spans="1:21" x14ac:dyDescent="0.25">
      <c r="A45" s="14" t="s">
        <v>520</v>
      </c>
      <c r="B45" s="116" t="s">
        <v>1137</v>
      </c>
      <c r="C45" s="116" t="s">
        <v>57</v>
      </c>
      <c r="D45" s="117">
        <v>1911</v>
      </c>
      <c r="E45" s="120">
        <v>0</v>
      </c>
      <c r="F45" s="117">
        <v>0</v>
      </c>
      <c r="G45" s="120">
        <v>0</v>
      </c>
      <c r="H45" s="117">
        <v>0</v>
      </c>
      <c r="I45" s="120">
        <v>0</v>
      </c>
      <c r="J45" s="117">
        <v>0</v>
      </c>
      <c r="K45" s="120">
        <v>0</v>
      </c>
      <c r="L45" s="117">
        <v>0</v>
      </c>
      <c r="M45" s="120">
        <v>0</v>
      </c>
      <c r="N45" s="117">
        <v>430</v>
      </c>
      <c r="O45" s="120">
        <v>204</v>
      </c>
      <c r="P45" s="117">
        <v>1251</v>
      </c>
      <c r="Q45" s="120">
        <v>26</v>
      </c>
      <c r="R45" s="117">
        <v>0</v>
      </c>
      <c r="S45" s="120">
        <v>0</v>
      </c>
      <c r="T45" s="117">
        <v>0</v>
      </c>
      <c r="U45" s="119">
        <v>0</v>
      </c>
    </row>
    <row r="46" spans="1:21" x14ac:dyDescent="0.25">
      <c r="A46" s="111" t="s">
        <v>1138</v>
      </c>
      <c r="B46" s="112" t="s">
        <v>1139</v>
      </c>
      <c r="C46" s="112" t="s">
        <v>57</v>
      </c>
      <c r="D46" s="113">
        <v>0</v>
      </c>
      <c r="E46" s="114">
        <v>0</v>
      </c>
      <c r="F46" s="113">
        <v>0</v>
      </c>
      <c r="G46" s="114">
        <v>0</v>
      </c>
      <c r="H46" s="113">
        <v>0</v>
      </c>
      <c r="I46" s="114">
        <v>0</v>
      </c>
      <c r="J46" s="113">
        <v>0</v>
      </c>
      <c r="K46" s="114">
        <v>0</v>
      </c>
      <c r="L46" s="113">
        <v>0</v>
      </c>
      <c r="M46" s="114">
        <v>0</v>
      </c>
      <c r="N46" s="113">
        <v>0</v>
      </c>
      <c r="O46" s="114">
        <v>0</v>
      </c>
      <c r="P46" s="113">
        <v>0</v>
      </c>
      <c r="Q46" s="114">
        <v>0</v>
      </c>
      <c r="R46" s="113">
        <v>0</v>
      </c>
      <c r="S46" s="114">
        <v>0</v>
      </c>
      <c r="T46" s="113">
        <v>0</v>
      </c>
      <c r="U46" s="115">
        <v>0</v>
      </c>
    </row>
    <row r="47" spans="1:21" x14ac:dyDescent="0.25">
      <c r="A47" s="14" t="s">
        <v>1175</v>
      </c>
      <c r="B47" s="116" t="s">
        <v>1176</v>
      </c>
      <c r="C47" s="116" t="s">
        <v>1177</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row>
    <row r="48" spans="1:21" x14ac:dyDescent="0.25">
      <c r="A48" s="111" t="s">
        <v>1178</v>
      </c>
      <c r="B48" s="112" t="s">
        <v>1179</v>
      </c>
      <c r="C48" s="112" t="s">
        <v>1180</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row>
    <row r="49" spans="1:21" x14ac:dyDescent="0.25">
      <c r="A49" s="14" t="s">
        <v>1133</v>
      </c>
      <c r="B49" s="116" t="s">
        <v>1140</v>
      </c>
      <c r="C49" s="116" t="s">
        <v>57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row>
    <row r="50" spans="1:21" x14ac:dyDescent="0.25">
      <c r="A50" s="111" t="s">
        <v>1135</v>
      </c>
      <c r="B50" s="112" t="s">
        <v>1136</v>
      </c>
      <c r="C50" s="112" t="s">
        <v>57</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row>
    <row r="51" spans="1:21" x14ac:dyDescent="0.25">
      <c r="A51" s="14" t="s">
        <v>520</v>
      </c>
      <c r="B51" s="116" t="s">
        <v>1137</v>
      </c>
      <c r="C51" s="116" t="s">
        <v>57</v>
      </c>
      <c r="D51" s="117">
        <v>297</v>
      </c>
      <c r="E51" s="120">
        <v>0</v>
      </c>
      <c r="F51" s="117">
        <v>0</v>
      </c>
      <c r="G51" s="120">
        <v>0</v>
      </c>
      <c r="H51" s="117">
        <v>0</v>
      </c>
      <c r="I51" s="120">
        <v>0</v>
      </c>
      <c r="J51" s="117">
        <v>0</v>
      </c>
      <c r="K51" s="120">
        <v>0</v>
      </c>
      <c r="L51" s="117">
        <v>0</v>
      </c>
      <c r="M51" s="120">
        <v>0</v>
      </c>
      <c r="N51" s="117">
        <v>46</v>
      </c>
      <c r="O51" s="120">
        <v>83</v>
      </c>
      <c r="P51" s="117">
        <v>90</v>
      </c>
      <c r="Q51" s="120">
        <v>78</v>
      </c>
      <c r="R51" s="117">
        <v>0</v>
      </c>
      <c r="S51" s="120">
        <v>0</v>
      </c>
      <c r="T51" s="117">
        <v>0</v>
      </c>
      <c r="U51" s="119">
        <v>0</v>
      </c>
    </row>
    <row r="52" spans="1:21" x14ac:dyDescent="0.25">
      <c r="A52" s="111" t="s">
        <v>1138</v>
      </c>
      <c r="B52" s="112" t="s">
        <v>1139</v>
      </c>
      <c r="C52" s="112" t="s">
        <v>57</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row>
    <row r="53" spans="1:21" x14ac:dyDescent="0.25">
      <c r="A53" s="14" t="s">
        <v>1181</v>
      </c>
      <c r="B53" s="116" t="s">
        <v>1182</v>
      </c>
      <c r="C53" s="116" t="s">
        <v>1183</v>
      </c>
      <c r="D53" s="117">
        <v>142</v>
      </c>
      <c r="E53" s="120">
        <v>0</v>
      </c>
      <c r="F53" s="117">
        <v>142</v>
      </c>
      <c r="G53" s="120">
        <v>0</v>
      </c>
      <c r="H53" s="117">
        <v>0</v>
      </c>
      <c r="I53" s="120">
        <v>0</v>
      </c>
      <c r="J53" s="117">
        <v>0</v>
      </c>
      <c r="K53" s="120">
        <v>0</v>
      </c>
      <c r="L53" s="117">
        <v>0</v>
      </c>
      <c r="M53" s="120">
        <v>0</v>
      </c>
      <c r="N53" s="117">
        <v>0</v>
      </c>
      <c r="O53" s="120">
        <v>0</v>
      </c>
      <c r="P53" s="117">
        <v>0</v>
      </c>
      <c r="Q53" s="120">
        <v>0</v>
      </c>
      <c r="R53" s="117">
        <v>0</v>
      </c>
      <c r="S53" s="120">
        <v>0</v>
      </c>
      <c r="T53" s="117">
        <v>0</v>
      </c>
      <c r="U53" s="119">
        <v>0</v>
      </c>
    </row>
    <row r="54" spans="1:21" x14ac:dyDescent="0.25">
      <c r="A54" s="111" t="s">
        <v>1133</v>
      </c>
      <c r="B54" s="112" t="s">
        <v>1184</v>
      </c>
      <c r="C54" s="112" t="s">
        <v>57</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row>
    <row r="55" spans="1:21" x14ac:dyDescent="0.25">
      <c r="A55" s="14" t="s">
        <v>1135</v>
      </c>
      <c r="B55" s="116" t="s">
        <v>1136</v>
      </c>
      <c r="C55" s="116" t="s">
        <v>57</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row>
    <row r="56" spans="1:21" x14ac:dyDescent="0.25">
      <c r="A56" s="111" t="s">
        <v>520</v>
      </c>
      <c r="B56" s="112" t="s">
        <v>1137</v>
      </c>
      <c r="C56" s="112" t="s">
        <v>57</v>
      </c>
      <c r="D56" s="113">
        <v>529</v>
      </c>
      <c r="E56" s="114">
        <v>0</v>
      </c>
      <c r="F56" s="113">
        <v>0</v>
      </c>
      <c r="G56" s="114">
        <v>0</v>
      </c>
      <c r="H56" s="113">
        <v>0</v>
      </c>
      <c r="I56" s="114">
        <v>0</v>
      </c>
      <c r="J56" s="113">
        <v>0</v>
      </c>
      <c r="K56" s="114">
        <v>0</v>
      </c>
      <c r="L56" s="113">
        <v>0</v>
      </c>
      <c r="M56" s="114">
        <v>0</v>
      </c>
      <c r="N56" s="113">
        <v>55</v>
      </c>
      <c r="O56" s="114">
        <v>209</v>
      </c>
      <c r="P56" s="113">
        <v>55</v>
      </c>
      <c r="Q56" s="114">
        <v>210</v>
      </c>
      <c r="R56" s="113">
        <v>0</v>
      </c>
      <c r="S56" s="114">
        <v>0</v>
      </c>
      <c r="T56" s="113">
        <v>0</v>
      </c>
      <c r="U56" s="115">
        <v>0</v>
      </c>
    </row>
    <row r="57" spans="1:21" x14ac:dyDescent="0.25">
      <c r="A57" s="14" t="s">
        <v>1138</v>
      </c>
      <c r="B57" s="116" t="s">
        <v>1139</v>
      </c>
      <c r="C57" s="116" t="s">
        <v>57</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row>
    <row r="58" spans="1:21" x14ac:dyDescent="0.25">
      <c r="A58" s="111" t="s">
        <v>1185</v>
      </c>
      <c r="B58" s="112" t="s">
        <v>1186</v>
      </c>
      <c r="C58" s="112" t="s">
        <v>1187</v>
      </c>
      <c r="D58" s="113">
        <v>415</v>
      </c>
      <c r="E58" s="114">
        <v>0</v>
      </c>
      <c r="F58" s="113">
        <v>415</v>
      </c>
      <c r="G58" s="114">
        <v>0</v>
      </c>
      <c r="H58" s="113">
        <v>0</v>
      </c>
      <c r="I58" s="114">
        <v>0</v>
      </c>
      <c r="J58" s="113">
        <v>0</v>
      </c>
      <c r="K58" s="114">
        <v>0</v>
      </c>
      <c r="L58" s="113">
        <v>0</v>
      </c>
      <c r="M58" s="114">
        <v>0</v>
      </c>
      <c r="N58" s="113">
        <v>0</v>
      </c>
      <c r="O58" s="114">
        <v>0</v>
      </c>
      <c r="P58" s="113">
        <v>0</v>
      </c>
      <c r="Q58" s="114">
        <v>0</v>
      </c>
      <c r="R58" s="113">
        <v>0</v>
      </c>
      <c r="S58" s="114">
        <v>0</v>
      </c>
      <c r="T58" s="113">
        <v>0</v>
      </c>
      <c r="U58" s="115">
        <v>0</v>
      </c>
    </row>
    <row r="59" spans="1:21" x14ac:dyDescent="0.25">
      <c r="A59" s="14" t="s">
        <v>1133</v>
      </c>
      <c r="B59" s="116" t="s">
        <v>1148</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row>
    <row r="60" spans="1:21" x14ac:dyDescent="0.25">
      <c r="A60" s="111" t="s">
        <v>1135</v>
      </c>
      <c r="B60" s="112" t="s">
        <v>1136</v>
      </c>
      <c r="C60" s="112" t="s">
        <v>57</v>
      </c>
      <c r="D60" s="113">
        <v>0</v>
      </c>
      <c r="E60" s="114">
        <v>0</v>
      </c>
      <c r="F60" s="113">
        <v>0</v>
      </c>
      <c r="G60" s="114">
        <v>0</v>
      </c>
      <c r="H60" s="113">
        <v>0</v>
      </c>
      <c r="I60" s="114">
        <v>0</v>
      </c>
      <c r="J60" s="113">
        <v>0</v>
      </c>
      <c r="K60" s="114">
        <v>0</v>
      </c>
      <c r="L60" s="113">
        <v>0</v>
      </c>
      <c r="M60" s="114">
        <v>0</v>
      </c>
      <c r="N60" s="113">
        <v>0</v>
      </c>
      <c r="O60" s="114">
        <v>0</v>
      </c>
      <c r="P60" s="113">
        <v>0</v>
      </c>
      <c r="Q60" s="114">
        <v>0</v>
      </c>
      <c r="R60" s="113">
        <v>0</v>
      </c>
      <c r="S60" s="114">
        <v>0</v>
      </c>
      <c r="T60" s="113">
        <v>0</v>
      </c>
      <c r="U60" s="115">
        <v>0</v>
      </c>
    </row>
    <row r="61" spans="1:21" x14ac:dyDescent="0.25">
      <c r="A61" s="14" t="s">
        <v>520</v>
      </c>
      <c r="B61" s="116" t="s">
        <v>1137</v>
      </c>
      <c r="C61" s="116" t="s">
        <v>57</v>
      </c>
      <c r="D61" s="117">
        <v>514</v>
      </c>
      <c r="E61" s="120">
        <v>0</v>
      </c>
      <c r="F61" s="117">
        <v>0</v>
      </c>
      <c r="G61" s="120">
        <v>0</v>
      </c>
      <c r="H61" s="117">
        <v>0</v>
      </c>
      <c r="I61" s="120">
        <v>0</v>
      </c>
      <c r="J61" s="117">
        <v>0</v>
      </c>
      <c r="K61" s="120">
        <v>0</v>
      </c>
      <c r="L61" s="117">
        <v>0</v>
      </c>
      <c r="M61" s="120">
        <v>0</v>
      </c>
      <c r="N61" s="117">
        <v>128.5</v>
      </c>
      <c r="O61" s="120">
        <v>128.5</v>
      </c>
      <c r="P61" s="117">
        <v>128.5</v>
      </c>
      <c r="Q61" s="120">
        <v>128.5</v>
      </c>
      <c r="R61" s="117">
        <v>0</v>
      </c>
      <c r="S61" s="120">
        <v>0</v>
      </c>
      <c r="T61" s="117">
        <v>0</v>
      </c>
      <c r="U61" s="119">
        <v>0</v>
      </c>
    </row>
    <row r="62" spans="1:21" x14ac:dyDescent="0.25">
      <c r="A62" s="111" t="s">
        <v>1138</v>
      </c>
      <c r="B62" s="112" t="s">
        <v>1139</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row>
    <row r="63" spans="1:21" x14ac:dyDescent="0.25">
      <c r="A63" s="14" t="s">
        <v>1188</v>
      </c>
      <c r="B63" s="116" t="s">
        <v>1189</v>
      </c>
      <c r="C63" s="116" t="s">
        <v>1190</v>
      </c>
      <c r="D63" s="117">
        <v>129</v>
      </c>
      <c r="E63" s="120">
        <v>0</v>
      </c>
      <c r="F63" s="117">
        <v>129</v>
      </c>
      <c r="G63" s="120">
        <v>0</v>
      </c>
      <c r="H63" s="117">
        <v>26</v>
      </c>
      <c r="I63" s="120">
        <v>0</v>
      </c>
      <c r="J63" s="117">
        <v>0</v>
      </c>
      <c r="K63" s="120">
        <v>0</v>
      </c>
      <c r="L63" s="117">
        <v>0</v>
      </c>
      <c r="M63" s="120">
        <v>0</v>
      </c>
      <c r="N63" s="117">
        <v>0</v>
      </c>
      <c r="O63" s="120">
        <v>0</v>
      </c>
      <c r="P63" s="117">
        <v>0</v>
      </c>
      <c r="Q63" s="120">
        <v>0</v>
      </c>
      <c r="R63" s="117">
        <v>0</v>
      </c>
      <c r="S63" s="120">
        <v>0</v>
      </c>
      <c r="T63" s="117">
        <v>0</v>
      </c>
      <c r="U63" s="119">
        <v>0</v>
      </c>
    </row>
    <row r="64" spans="1:21" x14ac:dyDescent="0.25">
      <c r="A64" s="111" t="s">
        <v>1133</v>
      </c>
      <c r="B64" s="112" t="s">
        <v>1157</v>
      </c>
      <c r="C64" s="112" t="s">
        <v>57</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row>
    <row r="65" spans="1:21" x14ac:dyDescent="0.25">
      <c r="A65" s="14" t="s">
        <v>1135</v>
      </c>
      <c r="B65" s="116" t="s">
        <v>1136</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row>
    <row r="66" spans="1:21" x14ac:dyDescent="0.25">
      <c r="A66" s="111" t="s">
        <v>1395</v>
      </c>
      <c r="B66" s="112" t="s">
        <v>1396</v>
      </c>
      <c r="C66" s="112" t="s">
        <v>1397</v>
      </c>
      <c r="D66" s="113">
        <v>1618</v>
      </c>
      <c r="E66" s="114">
        <v>0</v>
      </c>
      <c r="F66" s="113">
        <v>1618</v>
      </c>
      <c r="G66" s="114">
        <v>0</v>
      </c>
      <c r="H66" s="113">
        <v>0</v>
      </c>
      <c r="I66" s="114">
        <v>0</v>
      </c>
      <c r="J66" s="113">
        <v>0</v>
      </c>
      <c r="K66" s="114">
        <v>0</v>
      </c>
      <c r="L66" s="113">
        <v>0</v>
      </c>
      <c r="M66" s="114">
        <v>0</v>
      </c>
      <c r="N66" s="113">
        <v>0</v>
      </c>
      <c r="O66" s="114">
        <v>0</v>
      </c>
      <c r="P66" s="113">
        <v>0</v>
      </c>
      <c r="Q66" s="114">
        <v>0</v>
      </c>
      <c r="R66" s="113">
        <v>0</v>
      </c>
      <c r="S66" s="114">
        <v>0</v>
      </c>
      <c r="T66" s="113">
        <v>0</v>
      </c>
      <c r="U66" s="115">
        <v>0</v>
      </c>
    </row>
    <row r="67" spans="1:21" x14ac:dyDescent="0.25">
      <c r="A67" s="14" t="s">
        <v>520</v>
      </c>
      <c r="B67" s="116" t="s">
        <v>1137</v>
      </c>
      <c r="C67" s="116" t="s">
        <v>57</v>
      </c>
      <c r="D67" s="117">
        <v>2058</v>
      </c>
      <c r="E67" s="120">
        <v>0</v>
      </c>
      <c r="F67" s="117">
        <v>0</v>
      </c>
      <c r="G67" s="120">
        <v>0</v>
      </c>
      <c r="H67" s="117">
        <v>0</v>
      </c>
      <c r="I67" s="120">
        <v>0</v>
      </c>
      <c r="J67" s="117">
        <v>0</v>
      </c>
      <c r="K67" s="120">
        <v>0</v>
      </c>
      <c r="L67" s="117">
        <v>0</v>
      </c>
      <c r="M67" s="120">
        <v>0</v>
      </c>
      <c r="N67" s="117">
        <v>0</v>
      </c>
      <c r="O67" s="120">
        <v>1050</v>
      </c>
      <c r="P67" s="117">
        <v>1008</v>
      </c>
      <c r="Q67" s="120">
        <v>0</v>
      </c>
      <c r="R67" s="117">
        <v>0</v>
      </c>
      <c r="S67" s="120">
        <v>0</v>
      </c>
      <c r="T67" s="117">
        <v>0</v>
      </c>
      <c r="U67" s="119">
        <v>0</v>
      </c>
    </row>
    <row r="68" spans="1:21" x14ac:dyDescent="0.25">
      <c r="A68" s="111" t="s">
        <v>1138</v>
      </c>
      <c r="B68" s="112" t="s">
        <v>1139</v>
      </c>
      <c r="C68" s="112" t="s">
        <v>57</v>
      </c>
      <c r="D68" s="113">
        <v>9.9999999999909106E-2</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row>
    <row r="69" spans="1:21" x14ac:dyDescent="0.25">
      <c r="A69" s="14" t="s">
        <v>1133</v>
      </c>
      <c r="B69" s="116" t="s">
        <v>1191</v>
      </c>
      <c r="C69" s="116" t="s">
        <v>57</v>
      </c>
      <c r="D69" s="117">
        <v>0</v>
      </c>
      <c r="E69" s="120">
        <v>0</v>
      </c>
      <c r="F69" s="117">
        <v>0</v>
      </c>
      <c r="G69" s="120">
        <v>0</v>
      </c>
      <c r="H69" s="117">
        <v>0</v>
      </c>
      <c r="I69" s="120">
        <v>0</v>
      </c>
      <c r="J69" s="117">
        <v>0</v>
      </c>
      <c r="K69" s="120">
        <v>0</v>
      </c>
      <c r="L69" s="117">
        <v>0</v>
      </c>
      <c r="M69" s="120">
        <v>0</v>
      </c>
      <c r="N69" s="117">
        <v>0</v>
      </c>
      <c r="O69" s="120">
        <v>0</v>
      </c>
      <c r="P69" s="117">
        <v>0</v>
      </c>
      <c r="Q69" s="120">
        <v>0</v>
      </c>
      <c r="R69" s="117">
        <v>0</v>
      </c>
      <c r="S69" s="120">
        <v>0</v>
      </c>
      <c r="T69" s="117">
        <v>0</v>
      </c>
      <c r="U69" s="119">
        <v>0</v>
      </c>
    </row>
    <row r="70" spans="1:21" x14ac:dyDescent="0.25">
      <c r="A70" s="111" t="s">
        <v>1135</v>
      </c>
      <c r="B70" s="112" t="s">
        <v>1136</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row>
    <row r="71" spans="1:21" x14ac:dyDescent="0.25">
      <c r="A71" s="14" t="s">
        <v>1398</v>
      </c>
      <c r="B71" s="116" t="s">
        <v>1399</v>
      </c>
      <c r="C71" s="116" t="s">
        <v>1400</v>
      </c>
      <c r="D71" s="117">
        <v>1815</v>
      </c>
      <c r="E71" s="120">
        <v>0</v>
      </c>
      <c r="F71" s="117">
        <v>1815</v>
      </c>
      <c r="G71" s="120">
        <v>0</v>
      </c>
      <c r="H71" s="117">
        <v>0</v>
      </c>
      <c r="I71" s="120">
        <v>0</v>
      </c>
      <c r="J71" s="117">
        <v>0</v>
      </c>
      <c r="K71" s="120">
        <v>0</v>
      </c>
      <c r="L71" s="117">
        <v>0</v>
      </c>
      <c r="M71" s="120">
        <v>0</v>
      </c>
      <c r="N71" s="117">
        <v>0</v>
      </c>
      <c r="O71" s="120">
        <v>0</v>
      </c>
      <c r="P71" s="117">
        <v>0</v>
      </c>
      <c r="Q71" s="120">
        <v>0</v>
      </c>
      <c r="R71" s="117">
        <v>0</v>
      </c>
      <c r="S71" s="120">
        <v>0</v>
      </c>
      <c r="T71" s="117">
        <v>0</v>
      </c>
      <c r="U71" s="119">
        <v>0</v>
      </c>
    </row>
    <row r="72" spans="1:21" x14ac:dyDescent="0.25">
      <c r="A72" s="111" t="s">
        <v>1192</v>
      </c>
      <c r="B72" s="112" t="s">
        <v>1193</v>
      </c>
      <c r="C72" s="112" t="s">
        <v>1194</v>
      </c>
      <c r="D72" s="113">
        <v>0</v>
      </c>
      <c r="E72" s="114">
        <v>0</v>
      </c>
      <c r="F72" s="113">
        <v>0</v>
      </c>
      <c r="G72" s="114">
        <v>5</v>
      </c>
      <c r="H72" s="113">
        <v>0</v>
      </c>
      <c r="I72" s="114">
        <v>3.91975998878479</v>
      </c>
      <c r="J72" s="113">
        <v>0</v>
      </c>
      <c r="K72" s="114">
        <v>3.91975998878479</v>
      </c>
      <c r="L72" s="113">
        <v>0</v>
      </c>
      <c r="M72" s="114">
        <v>3.91975998878479</v>
      </c>
      <c r="N72" s="113">
        <v>0</v>
      </c>
      <c r="O72" s="114">
        <v>0</v>
      </c>
      <c r="P72" s="113">
        <v>0</v>
      </c>
      <c r="Q72" s="114">
        <v>0</v>
      </c>
      <c r="R72" s="113">
        <v>0</v>
      </c>
      <c r="S72" s="114">
        <v>0</v>
      </c>
      <c r="T72" s="113">
        <v>0</v>
      </c>
      <c r="U72" s="115">
        <v>0</v>
      </c>
    </row>
    <row r="73" spans="1:21" x14ac:dyDescent="0.25">
      <c r="A73" s="14" t="s">
        <v>1195</v>
      </c>
      <c r="B73" s="116" t="s">
        <v>1196</v>
      </c>
      <c r="C73" s="116" t="s">
        <v>1197</v>
      </c>
      <c r="D73" s="117">
        <v>0</v>
      </c>
      <c r="E73" s="120">
        <v>0</v>
      </c>
      <c r="F73" s="117">
        <v>0</v>
      </c>
      <c r="G73" s="120">
        <v>1088</v>
      </c>
      <c r="H73" s="117">
        <v>0</v>
      </c>
      <c r="I73" s="120">
        <v>0</v>
      </c>
      <c r="J73" s="117">
        <v>0</v>
      </c>
      <c r="K73" s="120">
        <v>0</v>
      </c>
      <c r="L73" s="117">
        <v>2.5</v>
      </c>
      <c r="M73" s="120">
        <v>2.5</v>
      </c>
      <c r="N73" s="117">
        <v>0</v>
      </c>
      <c r="O73" s="120">
        <v>0</v>
      </c>
      <c r="P73" s="117">
        <v>0</v>
      </c>
      <c r="Q73" s="120">
        <v>0</v>
      </c>
      <c r="R73" s="117">
        <v>0</v>
      </c>
      <c r="S73" s="120">
        <v>0</v>
      </c>
      <c r="T73" s="117">
        <v>0</v>
      </c>
      <c r="U73" s="119">
        <v>0</v>
      </c>
    </row>
    <row r="74" spans="1:21" x14ac:dyDescent="0.25">
      <c r="A74" s="111" t="s">
        <v>520</v>
      </c>
      <c r="B74" s="112" t="s">
        <v>1198</v>
      </c>
      <c r="C74" s="112" t="s">
        <v>57</v>
      </c>
      <c r="D74" s="113">
        <v>4823</v>
      </c>
      <c r="E74" s="114">
        <v>0</v>
      </c>
      <c r="F74" s="113">
        <v>0</v>
      </c>
      <c r="G74" s="114">
        <v>0</v>
      </c>
      <c r="H74" s="113">
        <v>0</v>
      </c>
      <c r="I74" s="114">
        <v>0</v>
      </c>
      <c r="J74" s="113">
        <v>0</v>
      </c>
      <c r="K74" s="114">
        <v>0</v>
      </c>
      <c r="L74" s="113">
        <v>0</v>
      </c>
      <c r="M74" s="114">
        <v>0</v>
      </c>
      <c r="N74" s="113">
        <v>1496</v>
      </c>
      <c r="O74" s="114">
        <v>777</v>
      </c>
      <c r="P74" s="113">
        <v>2550</v>
      </c>
      <c r="Q74" s="114">
        <v>0</v>
      </c>
      <c r="R74" s="113">
        <v>0</v>
      </c>
      <c r="S74" s="114">
        <v>0</v>
      </c>
      <c r="T74" s="113">
        <v>0</v>
      </c>
      <c r="U74" s="115">
        <v>0</v>
      </c>
    </row>
    <row r="75" spans="1:21" x14ac:dyDescent="0.25">
      <c r="A75" s="14" t="s">
        <v>1199</v>
      </c>
      <c r="B75" s="116" t="s">
        <v>1200</v>
      </c>
      <c r="C75" s="116" t="s">
        <v>1201</v>
      </c>
      <c r="D75" s="117">
        <v>0</v>
      </c>
      <c r="E75" s="120">
        <v>0</v>
      </c>
      <c r="F75" s="117">
        <v>0</v>
      </c>
      <c r="G75" s="120">
        <v>126</v>
      </c>
      <c r="H75" s="117">
        <v>0</v>
      </c>
      <c r="I75" s="120">
        <v>0</v>
      </c>
      <c r="J75" s="117">
        <v>0</v>
      </c>
      <c r="K75" s="120">
        <v>0</v>
      </c>
      <c r="L75" s="117">
        <v>106.54799938201904</v>
      </c>
      <c r="M75" s="120">
        <v>106.54799938201904</v>
      </c>
      <c r="N75" s="117">
        <v>0</v>
      </c>
      <c r="O75" s="120">
        <v>0</v>
      </c>
      <c r="P75" s="117">
        <v>0</v>
      </c>
      <c r="Q75" s="120">
        <v>0</v>
      </c>
      <c r="R75" s="117">
        <v>0</v>
      </c>
      <c r="S75" s="120">
        <v>0</v>
      </c>
      <c r="T75" s="117">
        <v>0</v>
      </c>
      <c r="U75" s="119">
        <v>0</v>
      </c>
    </row>
    <row r="76" spans="1:21" x14ac:dyDescent="0.25">
      <c r="A76" s="111" t="s">
        <v>1138</v>
      </c>
      <c r="B76" s="112" t="s">
        <v>1139</v>
      </c>
      <c r="C76" s="112" t="s">
        <v>57</v>
      </c>
      <c r="D76" s="113">
        <v>9.9920072216264089E-16</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row>
    <row r="77" spans="1:21" x14ac:dyDescent="0.25">
      <c r="A77" s="14" t="s">
        <v>1202</v>
      </c>
      <c r="B77" s="116" t="s">
        <v>1203</v>
      </c>
      <c r="C77" s="116" t="s">
        <v>1204</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row>
    <row r="78" spans="1:21" x14ac:dyDescent="0.25">
      <c r="A78" s="111" t="s">
        <v>1205</v>
      </c>
      <c r="B78" s="112" t="s">
        <v>1206</v>
      </c>
      <c r="C78" s="112" t="s">
        <v>1207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row>
    <row r="79" spans="1:21" x14ac:dyDescent="0.25">
      <c r="A79" s="14" t="s">
        <v>1208</v>
      </c>
      <c r="B79" s="116" t="s">
        <v>1209</v>
      </c>
      <c r="C79" s="116" t="s">
        <v>1210</v>
      </c>
      <c r="D79" s="117">
        <v>0</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row>
    <row r="80" spans="1:21" x14ac:dyDescent="0.25">
      <c r="A80" s="111" t="s">
        <v>1211</v>
      </c>
      <c r="B80" s="112" t="s">
        <v>1212</v>
      </c>
      <c r="C80" s="112" t="s">
        <v>1213</v>
      </c>
      <c r="D80" s="113">
        <v>0</v>
      </c>
      <c r="E80" s="114">
        <v>0</v>
      </c>
      <c r="F80" s="113">
        <v>0</v>
      </c>
      <c r="G80" s="114">
        <v>0</v>
      </c>
      <c r="H80" s="113">
        <v>0</v>
      </c>
      <c r="I80" s="114">
        <v>0</v>
      </c>
      <c r="J80" s="113">
        <v>0</v>
      </c>
      <c r="K80" s="114">
        <v>0</v>
      </c>
      <c r="L80" s="113">
        <v>0</v>
      </c>
      <c r="M80" s="114">
        <v>0</v>
      </c>
      <c r="N80" s="113">
        <v>0</v>
      </c>
      <c r="O80" s="114">
        <v>0</v>
      </c>
      <c r="P80" s="113">
        <v>0</v>
      </c>
      <c r="Q80" s="114">
        <v>0</v>
      </c>
      <c r="R80" s="113">
        <v>0</v>
      </c>
      <c r="S80" s="114">
        <v>0</v>
      </c>
      <c r="T80" s="113">
        <v>0</v>
      </c>
      <c r="U80" s="115">
        <v>0</v>
      </c>
    </row>
    <row r="81" spans="1:21" x14ac:dyDescent="0.25">
      <c r="A81" s="14" t="s">
        <v>1214</v>
      </c>
      <c r="B81" s="116" t="s">
        <v>1215</v>
      </c>
      <c r="C81" s="116" t="s">
        <v>1216</v>
      </c>
      <c r="D81" s="117">
        <v>0</v>
      </c>
      <c r="E81" s="120">
        <v>0</v>
      </c>
      <c r="F81" s="117">
        <v>0</v>
      </c>
      <c r="G81" s="120">
        <v>0</v>
      </c>
      <c r="H81" s="117">
        <v>0</v>
      </c>
      <c r="I81" s="120">
        <v>0</v>
      </c>
      <c r="J81" s="117">
        <v>0</v>
      </c>
      <c r="K81" s="120">
        <v>0</v>
      </c>
      <c r="L81" s="117">
        <v>0</v>
      </c>
      <c r="M81" s="120">
        <v>0</v>
      </c>
      <c r="N81" s="117">
        <v>0</v>
      </c>
      <c r="O81" s="120">
        <v>0</v>
      </c>
      <c r="P81" s="117">
        <v>0</v>
      </c>
      <c r="Q81" s="120">
        <v>0</v>
      </c>
      <c r="R81" s="117">
        <v>0</v>
      </c>
      <c r="S81" s="120">
        <v>0</v>
      </c>
      <c r="T81" s="117">
        <v>0</v>
      </c>
      <c r="U81" s="119">
        <v>0</v>
      </c>
    </row>
    <row r="82" spans="1:21" x14ac:dyDescent="0.25">
      <c r="A82" s="111" t="s">
        <v>1217</v>
      </c>
      <c r="B82" s="112" t="s">
        <v>1218</v>
      </c>
      <c r="C82" s="112" t="s">
        <v>1219</v>
      </c>
      <c r="D82" s="113">
        <v>0</v>
      </c>
      <c r="E82" s="114">
        <v>0</v>
      </c>
      <c r="F82" s="113">
        <v>0</v>
      </c>
      <c r="G82" s="114">
        <v>0</v>
      </c>
      <c r="H82" s="113">
        <v>0</v>
      </c>
      <c r="I82" s="114">
        <v>0</v>
      </c>
      <c r="J82" s="113">
        <v>0</v>
      </c>
      <c r="K82" s="114">
        <v>0</v>
      </c>
      <c r="L82" s="113">
        <v>0</v>
      </c>
      <c r="M82" s="114">
        <v>0</v>
      </c>
      <c r="N82" s="113">
        <v>0</v>
      </c>
      <c r="O82" s="114">
        <v>0</v>
      </c>
      <c r="P82" s="113">
        <v>0</v>
      </c>
      <c r="Q82" s="114">
        <v>0</v>
      </c>
      <c r="R82" s="113">
        <v>0</v>
      </c>
      <c r="S82" s="114">
        <v>0</v>
      </c>
      <c r="T82" s="113">
        <v>0</v>
      </c>
      <c r="U82" s="115">
        <v>0</v>
      </c>
    </row>
    <row r="83" spans="1:21" x14ac:dyDescent="0.25">
      <c r="A83" s="14" t="s">
        <v>1220</v>
      </c>
      <c r="B83" s="116" t="s">
        <v>1221</v>
      </c>
      <c r="C83" s="116" t="s">
        <v>1222</v>
      </c>
      <c r="D83" s="117">
        <v>0</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row>
    <row r="84" spans="1:21" x14ac:dyDescent="0.25">
      <c r="A84" s="111" t="s">
        <v>1223</v>
      </c>
      <c r="B84" s="112" t="s">
        <v>1224</v>
      </c>
      <c r="C84" s="112" t="s">
        <v>1225</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row>
    <row r="85" spans="1:21" x14ac:dyDescent="0.25">
      <c r="A85" s="14" t="s">
        <v>1133</v>
      </c>
      <c r="B85" s="116" t="s">
        <v>1226</v>
      </c>
      <c r="C85" s="116" t="s">
        <v>57</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row>
    <row r="86" spans="1:21" x14ac:dyDescent="0.25">
      <c r="A86" s="111" t="s">
        <v>1227</v>
      </c>
      <c r="B86" s="112" t="s">
        <v>1228</v>
      </c>
      <c r="C86" s="112" t="s">
        <v>1229</v>
      </c>
      <c r="D86" s="113">
        <v>0</v>
      </c>
      <c r="E86" s="114">
        <v>0</v>
      </c>
      <c r="F86" s="113">
        <v>0</v>
      </c>
      <c r="G86" s="114">
        <v>0</v>
      </c>
      <c r="H86" s="113">
        <v>0</v>
      </c>
      <c r="I86" s="114">
        <v>0</v>
      </c>
      <c r="J86" s="113">
        <v>0</v>
      </c>
      <c r="K86" s="114">
        <v>0</v>
      </c>
      <c r="L86" s="113">
        <v>0</v>
      </c>
      <c r="M86" s="114">
        <v>0</v>
      </c>
      <c r="N86" s="113">
        <v>0</v>
      </c>
      <c r="O86" s="114">
        <v>0</v>
      </c>
      <c r="P86" s="113">
        <v>0</v>
      </c>
      <c r="Q86" s="114">
        <v>0</v>
      </c>
      <c r="R86" s="113">
        <v>0</v>
      </c>
      <c r="S86" s="114">
        <v>0</v>
      </c>
      <c r="T86" s="113">
        <v>0</v>
      </c>
      <c r="U86" s="115">
        <v>0</v>
      </c>
    </row>
    <row r="87" spans="1:21" x14ac:dyDescent="0.25">
      <c r="A87" s="14" t="s">
        <v>1230</v>
      </c>
      <c r="B87" s="116" t="s">
        <v>1231</v>
      </c>
      <c r="C87" s="116" t="s">
        <v>1232</v>
      </c>
      <c r="D87" s="117">
        <v>0</v>
      </c>
      <c r="E87" s="120">
        <v>0</v>
      </c>
      <c r="F87" s="117">
        <v>0</v>
      </c>
      <c r="G87" s="120">
        <v>13</v>
      </c>
      <c r="H87" s="117">
        <v>0</v>
      </c>
      <c r="I87" s="120">
        <v>12.704649925231934</v>
      </c>
      <c r="J87" s="117">
        <v>0</v>
      </c>
      <c r="K87" s="120">
        <v>12.704649925231934</v>
      </c>
      <c r="L87" s="117">
        <v>0</v>
      </c>
      <c r="M87" s="120">
        <v>12.704649925231934</v>
      </c>
      <c r="N87" s="117">
        <v>0</v>
      </c>
      <c r="O87" s="120">
        <v>0</v>
      </c>
      <c r="P87" s="117">
        <v>0</v>
      </c>
      <c r="Q87" s="120">
        <v>0</v>
      </c>
      <c r="R87" s="117">
        <v>0</v>
      </c>
      <c r="S87" s="120">
        <v>0</v>
      </c>
      <c r="T87" s="117">
        <v>0</v>
      </c>
      <c r="U87" s="119">
        <v>0</v>
      </c>
    </row>
    <row r="88" spans="1:21" x14ac:dyDescent="0.25">
      <c r="A88" s="111" t="s">
        <v>1135</v>
      </c>
      <c r="B88" s="112" t="s">
        <v>1136</v>
      </c>
      <c r="C88" s="112" t="s">
        <v>57</v>
      </c>
      <c r="D88" s="113">
        <v>0</v>
      </c>
      <c r="E88" s="114">
        <v>0</v>
      </c>
      <c r="F88" s="113">
        <v>0</v>
      </c>
      <c r="G88" s="114">
        <v>0</v>
      </c>
      <c r="H88" s="113">
        <v>0</v>
      </c>
      <c r="I88" s="114">
        <v>0</v>
      </c>
      <c r="J88" s="113">
        <v>0</v>
      </c>
      <c r="K88" s="114">
        <v>0</v>
      </c>
      <c r="L88" s="113">
        <v>0</v>
      </c>
      <c r="M88" s="114">
        <v>0</v>
      </c>
      <c r="N88" s="113">
        <v>0</v>
      </c>
      <c r="O88" s="114">
        <v>0</v>
      </c>
      <c r="P88" s="113">
        <v>0</v>
      </c>
      <c r="Q88" s="114">
        <v>0</v>
      </c>
      <c r="R88" s="113">
        <v>0</v>
      </c>
      <c r="S88" s="114">
        <v>0</v>
      </c>
      <c r="T88" s="113">
        <v>0</v>
      </c>
      <c r="U88" s="115">
        <v>0</v>
      </c>
    </row>
    <row r="89" spans="1:21" x14ac:dyDescent="0.25">
      <c r="A89" s="14" t="s">
        <v>1233</v>
      </c>
      <c r="B89" s="116" t="s">
        <v>1234</v>
      </c>
      <c r="C89" s="116" t="s">
        <v>1235</v>
      </c>
      <c r="D89" s="117">
        <v>2417</v>
      </c>
      <c r="E89" s="120">
        <v>0</v>
      </c>
      <c r="F89" s="117">
        <v>2417</v>
      </c>
      <c r="G89" s="120">
        <v>0</v>
      </c>
      <c r="H89" s="117">
        <v>0</v>
      </c>
      <c r="I89" s="120">
        <v>0</v>
      </c>
      <c r="J89" s="117">
        <v>0</v>
      </c>
      <c r="K89" s="120">
        <v>0</v>
      </c>
      <c r="L89" s="117">
        <v>0</v>
      </c>
      <c r="M89" s="120">
        <v>0</v>
      </c>
      <c r="N89" s="117">
        <v>0</v>
      </c>
      <c r="O89" s="120">
        <v>0</v>
      </c>
      <c r="P89" s="117">
        <v>0</v>
      </c>
      <c r="Q89" s="120">
        <v>0</v>
      </c>
      <c r="R89" s="117">
        <v>0</v>
      </c>
      <c r="S89" s="120">
        <v>0</v>
      </c>
      <c r="T89" s="117">
        <v>0</v>
      </c>
      <c r="U89" s="119">
        <v>0</v>
      </c>
    </row>
    <row r="90" spans="1:21" x14ac:dyDescent="0.25">
      <c r="A90" s="111" t="s">
        <v>520</v>
      </c>
      <c r="B90" s="112" t="s">
        <v>1137</v>
      </c>
      <c r="C90" s="112" t="s">
        <v>57</v>
      </c>
      <c r="D90" s="113">
        <v>11667</v>
      </c>
      <c r="E90" s="114">
        <v>0</v>
      </c>
      <c r="F90" s="113">
        <v>0</v>
      </c>
      <c r="G90" s="114">
        <v>0</v>
      </c>
      <c r="H90" s="113">
        <v>0</v>
      </c>
      <c r="I90" s="114">
        <v>0</v>
      </c>
      <c r="J90" s="113">
        <v>0</v>
      </c>
      <c r="K90" s="114">
        <v>0</v>
      </c>
      <c r="L90" s="113">
        <v>0</v>
      </c>
      <c r="M90" s="114">
        <v>0</v>
      </c>
      <c r="N90" s="113">
        <v>2235</v>
      </c>
      <c r="O90" s="114">
        <v>3005</v>
      </c>
      <c r="P90" s="113">
        <v>3898</v>
      </c>
      <c r="Q90" s="114">
        <v>2529</v>
      </c>
      <c r="R90" s="113">
        <v>0</v>
      </c>
      <c r="S90" s="114">
        <v>0</v>
      </c>
      <c r="T90" s="113">
        <v>0</v>
      </c>
      <c r="U90" s="115">
        <v>0</v>
      </c>
    </row>
    <row r="91" spans="1:21" x14ac:dyDescent="0.25">
      <c r="A91" s="14" t="s">
        <v>1138</v>
      </c>
      <c r="B91" s="116" t="s">
        <v>1139</v>
      </c>
      <c r="C91" s="116" t="s">
        <v>57</v>
      </c>
      <c r="D91" s="117">
        <v>0</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row>
    <row r="92" spans="1:21" x14ac:dyDescent="0.25">
      <c r="A92" s="111" t="s">
        <v>1133</v>
      </c>
      <c r="B92" s="112" t="s">
        <v>1134</v>
      </c>
      <c r="C92" s="112" t="s">
        <v>57</v>
      </c>
      <c r="D92" s="113">
        <v>0</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row>
    <row r="93" spans="1:21" x14ac:dyDescent="0.25">
      <c r="A93" s="14" t="s">
        <v>1236</v>
      </c>
      <c r="B93" s="116" t="s">
        <v>1237</v>
      </c>
      <c r="C93" s="116" t="s">
        <v>1238</v>
      </c>
      <c r="D93" s="117">
        <v>0</v>
      </c>
      <c r="E93" s="120">
        <v>0</v>
      </c>
      <c r="F93" s="117">
        <v>0</v>
      </c>
      <c r="G93" s="120">
        <v>0</v>
      </c>
      <c r="H93" s="117">
        <v>0</v>
      </c>
      <c r="I93" s="120">
        <v>0</v>
      </c>
      <c r="J93" s="117">
        <v>0</v>
      </c>
      <c r="K93" s="120">
        <v>0</v>
      </c>
      <c r="L93" s="117">
        <v>0</v>
      </c>
      <c r="M93" s="120">
        <v>0</v>
      </c>
      <c r="N93" s="117">
        <v>0</v>
      </c>
      <c r="O93" s="120">
        <v>0</v>
      </c>
      <c r="P93" s="117">
        <v>0</v>
      </c>
      <c r="Q93" s="120">
        <v>0</v>
      </c>
      <c r="R93" s="117">
        <v>0</v>
      </c>
      <c r="S93" s="120">
        <v>0</v>
      </c>
      <c r="T93" s="117">
        <v>0</v>
      </c>
      <c r="U93" s="119">
        <v>0</v>
      </c>
    </row>
    <row r="94" spans="1:21" x14ac:dyDescent="0.25">
      <c r="A94" s="111" t="s">
        <v>1096</v>
      </c>
      <c r="B94" s="112" t="s">
        <v>1239</v>
      </c>
      <c r="C94" s="112" t="s">
        <v>1097</v>
      </c>
      <c r="D94" s="113">
        <v>0</v>
      </c>
      <c r="E94" s="114">
        <v>0</v>
      </c>
      <c r="F94" s="113">
        <v>0</v>
      </c>
      <c r="G94" s="114">
        <v>56</v>
      </c>
      <c r="H94" s="113">
        <v>0</v>
      </c>
      <c r="I94" s="114">
        <v>54.296999216079712</v>
      </c>
      <c r="J94" s="113">
        <v>0</v>
      </c>
      <c r="K94" s="114">
        <v>54.296999216079712</v>
      </c>
      <c r="L94" s="113">
        <v>0</v>
      </c>
      <c r="M94" s="114">
        <v>54.296999216079712</v>
      </c>
      <c r="N94" s="113">
        <v>0</v>
      </c>
      <c r="O94" s="114">
        <v>0</v>
      </c>
      <c r="P94" s="113">
        <v>0</v>
      </c>
      <c r="Q94" s="114">
        <v>0</v>
      </c>
      <c r="R94" s="113">
        <v>0</v>
      </c>
      <c r="S94" s="114">
        <v>0</v>
      </c>
      <c r="T94" s="113">
        <v>0</v>
      </c>
      <c r="U94" s="115">
        <v>0</v>
      </c>
    </row>
    <row r="95" spans="1:21" x14ac:dyDescent="0.25">
      <c r="A95" s="14" t="s">
        <v>1135</v>
      </c>
      <c r="B95" s="116" t="s">
        <v>1136</v>
      </c>
      <c r="C95" s="116" t="s">
        <v>57</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row>
    <row r="96" spans="1:21" x14ac:dyDescent="0.25">
      <c r="A96" s="111" t="s">
        <v>1100</v>
      </c>
      <c r="B96" s="112" t="s">
        <v>1240</v>
      </c>
      <c r="C96" s="112" t="s">
        <v>1241</v>
      </c>
      <c r="D96" s="113">
        <v>0</v>
      </c>
      <c r="E96" s="114">
        <v>0</v>
      </c>
      <c r="F96" s="113">
        <v>0</v>
      </c>
      <c r="G96" s="114">
        <v>2</v>
      </c>
      <c r="H96" s="113">
        <v>0</v>
      </c>
      <c r="I96" s="114">
        <v>1.7749999761581421</v>
      </c>
      <c r="J96" s="113">
        <v>0</v>
      </c>
      <c r="K96" s="114">
        <v>1.7749999761581421</v>
      </c>
      <c r="L96" s="113">
        <v>0</v>
      </c>
      <c r="M96" s="114">
        <v>1.7749999761581421</v>
      </c>
      <c r="N96" s="113">
        <v>0</v>
      </c>
      <c r="O96" s="114">
        <v>0</v>
      </c>
      <c r="P96" s="113">
        <v>0</v>
      </c>
      <c r="Q96" s="114">
        <v>0</v>
      </c>
      <c r="R96" s="113">
        <v>0</v>
      </c>
      <c r="S96" s="114">
        <v>0</v>
      </c>
      <c r="T96" s="113">
        <v>0</v>
      </c>
      <c r="U96" s="115">
        <v>0</v>
      </c>
    </row>
    <row r="97" spans="1:21" x14ac:dyDescent="0.25">
      <c r="A97" s="14" t="s">
        <v>1242</v>
      </c>
      <c r="B97" s="116" t="s">
        <v>1243</v>
      </c>
      <c r="C97" s="116" t="s">
        <v>1244</v>
      </c>
      <c r="D97" s="117">
        <v>6259</v>
      </c>
      <c r="E97" s="120">
        <v>0</v>
      </c>
      <c r="F97" s="117">
        <v>6259</v>
      </c>
      <c r="G97" s="120">
        <v>0</v>
      </c>
      <c r="H97" s="117">
        <v>62</v>
      </c>
      <c r="I97" s="120">
        <v>0</v>
      </c>
      <c r="J97" s="117">
        <v>0</v>
      </c>
      <c r="K97" s="120">
        <v>0</v>
      </c>
      <c r="L97" s="117">
        <v>0</v>
      </c>
      <c r="M97" s="120">
        <v>0</v>
      </c>
      <c r="N97" s="117">
        <v>0</v>
      </c>
      <c r="O97" s="120">
        <v>0</v>
      </c>
      <c r="P97" s="117">
        <v>0</v>
      </c>
      <c r="Q97" s="120">
        <v>0</v>
      </c>
      <c r="R97" s="117">
        <v>0</v>
      </c>
      <c r="S97" s="120">
        <v>0</v>
      </c>
      <c r="T97" s="117">
        <v>0</v>
      </c>
      <c r="U97" s="119">
        <v>0</v>
      </c>
    </row>
    <row r="98" spans="1:21" x14ac:dyDescent="0.25">
      <c r="A98" s="111" t="s">
        <v>520</v>
      </c>
      <c r="B98" s="112" t="s">
        <v>1137</v>
      </c>
      <c r="C98" s="112" t="s">
        <v>57</v>
      </c>
      <c r="D98" s="113">
        <v>34192</v>
      </c>
      <c r="E98" s="114">
        <v>0</v>
      </c>
      <c r="F98" s="113">
        <v>0</v>
      </c>
      <c r="G98" s="114">
        <v>0</v>
      </c>
      <c r="H98" s="113">
        <v>0</v>
      </c>
      <c r="I98" s="114">
        <v>0</v>
      </c>
      <c r="J98" s="113">
        <v>0</v>
      </c>
      <c r="K98" s="114">
        <v>0</v>
      </c>
      <c r="L98" s="113">
        <v>0</v>
      </c>
      <c r="M98" s="114">
        <v>0</v>
      </c>
      <c r="N98" s="113">
        <v>8703</v>
      </c>
      <c r="O98" s="114">
        <v>9836</v>
      </c>
      <c r="P98" s="113">
        <v>9596</v>
      </c>
      <c r="Q98" s="114">
        <v>6057</v>
      </c>
      <c r="R98" s="113">
        <v>0</v>
      </c>
      <c r="S98" s="114">
        <v>0</v>
      </c>
      <c r="T98" s="113">
        <v>0</v>
      </c>
      <c r="U98" s="115">
        <v>0</v>
      </c>
    </row>
    <row r="99" spans="1:21" x14ac:dyDescent="0.25">
      <c r="A99" s="14" t="s">
        <v>1093</v>
      </c>
      <c r="B99" s="116" t="s">
        <v>443</v>
      </c>
      <c r="C99" s="116" t="s">
        <v>1245</v>
      </c>
      <c r="D99" s="117">
        <v>0</v>
      </c>
      <c r="E99" s="120">
        <v>0</v>
      </c>
      <c r="F99" s="117">
        <v>0</v>
      </c>
      <c r="G99" s="120">
        <v>250</v>
      </c>
      <c r="H99" s="117">
        <v>0</v>
      </c>
      <c r="I99" s="120">
        <v>0</v>
      </c>
      <c r="J99" s="117">
        <v>0</v>
      </c>
      <c r="K99" s="120">
        <v>0</v>
      </c>
      <c r="L99" s="117">
        <v>51.18402099609375</v>
      </c>
      <c r="M99" s="120">
        <v>51.18402099609375</v>
      </c>
      <c r="N99" s="117">
        <v>0</v>
      </c>
      <c r="O99" s="120">
        <v>0</v>
      </c>
      <c r="P99" s="117">
        <v>0</v>
      </c>
      <c r="Q99" s="120">
        <v>0</v>
      </c>
      <c r="R99" s="117">
        <v>0</v>
      </c>
      <c r="S99" s="120">
        <v>0</v>
      </c>
      <c r="T99" s="117">
        <v>0</v>
      </c>
      <c r="U99" s="119">
        <v>0</v>
      </c>
    </row>
    <row r="100" spans="1:21" x14ac:dyDescent="0.25">
      <c r="A100" s="111" t="s">
        <v>1138</v>
      </c>
      <c r="B100" s="112" t="s">
        <v>1139</v>
      </c>
      <c r="C100" s="112" t="s">
        <v>57</v>
      </c>
      <c r="D100" s="113">
        <v>0.5</v>
      </c>
      <c r="E100" s="114">
        <v>0</v>
      </c>
      <c r="F100" s="113">
        <v>0</v>
      </c>
      <c r="G100" s="114">
        <v>0</v>
      </c>
      <c r="H100" s="113">
        <v>0</v>
      </c>
      <c r="I100" s="114">
        <v>0</v>
      </c>
      <c r="J100" s="113">
        <v>0</v>
      </c>
      <c r="K100" s="114">
        <v>0</v>
      </c>
      <c r="L100" s="113">
        <v>0</v>
      </c>
      <c r="M100" s="114">
        <v>0</v>
      </c>
      <c r="N100" s="113">
        <v>0</v>
      </c>
      <c r="O100" s="114">
        <v>0</v>
      </c>
      <c r="P100" s="113">
        <v>0</v>
      </c>
      <c r="Q100" s="114">
        <v>0</v>
      </c>
      <c r="R100" s="113">
        <v>0</v>
      </c>
      <c r="S100" s="114">
        <v>0</v>
      </c>
      <c r="T100" s="113">
        <v>0</v>
      </c>
      <c r="U100" s="115">
        <v>0</v>
      </c>
    </row>
    <row r="101" spans="1:21" x14ac:dyDescent="0.25">
      <c r="A101" s="14" t="s">
        <v>1133</v>
      </c>
      <c r="B101" s="116" t="s">
        <v>1246</v>
      </c>
      <c r="C101" s="116" t="s">
        <v>57</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row>
    <row r="102" spans="1:21" x14ac:dyDescent="0.25">
      <c r="A102" s="111" t="s">
        <v>1135</v>
      </c>
      <c r="B102" s="112" t="s">
        <v>1136</v>
      </c>
      <c r="C102" s="112" t="s">
        <v>57</v>
      </c>
      <c r="D102" s="113">
        <v>0</v>
      </c>
      <c r="E102" s="114">
        <v>0</v>
      </c>
      <c r="F102" s="113">
        <v>0</v>
      </c>
      <c r="G102" s="114">
        <v>0</v>
      </c>
      <c r="H102" s="113">
        <v>0</v>
      </c>
      <c r="I102" s="114">
        <v>0</v>
      </c>
      <c r="J102" s="113">
        <v>0</v>
      </c>
      <c r="K102" s="114">
        <v>0</v>
      </c>
      <c r="L102" s="113">
        <v>0</v>
      </c>
      <c r="M102" s="114">
        <v>0</v>
      </c>
      <c r="N102" s="113">
        <v>0</v>
      </c>
      <c r="O102" s="114">
        <v>0</v>
      </c>
      <c r="P102" s="113">
        <v>0</v>
      </c>
      <c r="Q102" s="114">
        <v>0</v>
      </c>
      <c r="R102" s="113">
        <v>0</v>
      </c>
      <c r="S102" s="114">
        <v>0</v>
      </c>
      <c r="T102" s="113">
        <v>0</v>
      </c>
      <c r="U102" s="115">
        <v>0</v>
      </c>
    </row>
    <row r="103" spans="1:21" x14ac:dyDescent="0.25">
      <c r="A103" s="14" t="s">
        <v>520</v>
      </c>
      <c r="B103" s="116" t="s">
        <v>1137</v>
      </c>
      <c r="C103" s="116" t="s">
        <v>57</v>
      </c>
      <c r="D103" s="117">
        <v>0</v>
      </c>
      <c r="E103" s="120">
        <v>0</v>
      </c>
      <c r="F103" s="117">
        <v>0</v>
      </c>
      <c r="G103" s="120">
        <v>0</v>
      </c>
      <c r="H103" s="117">
        <v>0</v>
      </c>
      <c r="I103" s="120">
        <v>0</v>
      </c>
      <c r="J103" s="117">
        <v>0</v>
      </c>
      <c r="K103" s="120">
        <v>0</v>
      </c>
      <c r="L103" s="117">
        <v>0</v>
      </c>
      <c r="M103" s="120">
        <v>0</v>
      </c>
      <c r="N103" s="117">
        <v>0</v>
      </c>
      <c r="O103" s="120">
        <v>0</v>
      </c>
      <c r="P103" s="117">
        <v>0</v>
      </c>
      <c r="Q103" s="120">
        <v>0</v>
      </c>
      <c r="R103" s="117">
        <v>0</v>
      </c>
      <c r="S103" s="120">
        <v>0</v>
      </c>
      <c r="T103" s="117">
        <v>0</v>
      </c>
      <c r="U103" s="119">
        <v>0</v>
      </c>
    </row>
    <row r="104" spans="1:21" x14ac:dyDescent="0.25">
      <c r="A104" s="111" t="s">
        <v>1138</v>
      </c>
      <c r="B104" s="112" t="s">
        <v>1139</v>
      </c>
      <c r="C104" s="112" t="s">
        <v>57</v>
      </c>
      <c r="D104" s="113">
        <v>-1</v>
      </c>
      <c r="E104" s="114">
        <v>0</v>
      </c>
      <c r="F104" s="113">
        <v>0</v>
      </c>
      <c r="G104" s="114">
        <v>0</v>
      </c>
      <c r="H104" s="113">
        <v>0</v>
      </c>
      <c r="I104" s="114">
        <v>0</v>
      </c>
      <c r="J104" s="113">
        <v>0</v>
      </c>
      <c r="K104" s="114">
        <v>0</v>
      </c>
      <c r="L104" s="113">
        <v>0</v>
      </c>
      <c r="M104" s="114">
        <v>0</v>
      </c>
      <c r="N104" s="113">
        <v>0</v>
      </c>
      <c r="O104" s="114">
        <v>0</v>
      </c>
      <c r="P104" s="113">
        <v>0</v>
      </c>
      <c r="Q104" s="114">
        <v>0</v>
      </c>
      <c r="R104" s="113">
        <v>0</v>
      </c>
      <c r="S104" s="114">
        <v>0</v>
      </c>
      <c r="T104" s="113">
        <v>0</v>
      </c>
      <c r="U104" s="115">
        <v>0</v>
      </c>
    </row>
    <row r="105" spans="1:21" x14ac:dyDescent="0.25">
      <c r="A105" s="14" t="s">
        <v>1247</v>
      </c>
      <c r="B105" s="116" t="s">
        <v>1248</v>
      </c>
      <c r="C105" s="116" t="s">
        <v>1249</v>
      </c>
      <c r="D105" s="117">
        <v>34563</v>
      </c>
      <c r="E105" s="120">
        <v>0</v>
      </c>
      <c r="F105" s="117">
        <v>4112</v>
      </c>
      <c r="G105" s="120">
        <v>0</v>
      </c>
      <c r="H105" s="117">
        <v>0</v>
      </c>
      <c r="I105" s="120">
        <v>0</v>
      </c>
      <c r="J105" s="117">
        <v>0</v>
      </c>
      <c r="K105" s="120">
        <v>0</v>
      </c>
      <c r="L105" s="117">
        <v>0</v>
      </c>
      <c r="M105" s="120">
        <v>0</v>
      </c>
      <c r="N105" s="117">
        <v>5203</v>
      </c>
      <c r="O105" s="120">
        <v>8313</v>
      </c>
      <c r="P105" s="117">
        <v>9847</v>
      </c>
      <c r="Q105" s="120">
        <v>7088</v>
      </c>
      <c r="R105" s="117">
        <v>0</v>
      </c>
      <c r="S105" s="120">
        <v>0</v>
      </c>
      <c r="T105" s="117">
        <v>0</v>
      </c>
      <c r="U105" s="119">
        <v>0</v>
      </c>
    </row>
    <row r="106" spans="1:21" x14ac:dyDescent="0.25">
      <c r="A106" s="111" t="s">
        <v>1131</v>
      </c>
      <c r="B106" s="112" t="s">
        <v>1250</v>
      </c>
      <c r="C106" s="112" t="s">
        <v>1132</v>
      </c>
      <c r="D106" s="113">
        <v>0</v>
      </c>
      <c r="E106" s="114">
        <v>0</v>
      </c>
      <c r="F106" s="113">
        <v>0</v>
      </c>
      <c r="G106" s="114">
        <v>367</v>
      </c>
      <c r="H106" s="113">
        <v>0</v>
      </c>
      <c r="I106" s="114">
        <v>0</v>
      </c>
      <c r="J106" s="113">
        <v>0</v>
      </c>
      <c r="K106" s="114">
        <v>0</v>
      </c>
      <c r="L106" s="113">
        <v>341.78379249572754</v>
      </c>
      <c r="M106" s="114">
        <v>341.78379249572754</v>
      </c>
      <c r="N106" s="113">
        <v>0</v>
      </c>
      <c r="O106" s="114">
        <v>0</v>
      </c>
      <c r="P106" s="113">
        <v>0</v>
      </c>
      <c r="Q106" s="114">
        <v>0</v>
      </c>
      <c r="R106" s="113">
        <v>0</v>
      </c>
      <c r="S106" s="114">
        <v>0</v>
      </c>
      <c r="T106" s="113">
        <v>0</v>
      </c>
      <c r="U106" s="115">
        <v>0</v>
      </c>
    </row>
    <row r="107" spans="1:21" x14ac:dyDescent="0.25">
      <c r="A107" s="14" t="s">
        <v>1251</v>
      </c>
      <c r="B107" s="116" t="s">
        <v>1252</v>
      </c>
      <c r="C107" s="116" t="s">
        <v>1253</v>
      </c>
      <c r="D107" s="117">
        <v>0</v>
      </c>
      <c r="E107" s="120">
        <v>0</v>
      </c>
      <c r="F107" s="117">
        <v>0</v>
      </c>
      <c r="G107" s="120">
        <v>108</v>
      </c>
      <c r="H107" s="117">
        <v>0</v>
      </c>
      <c r="I107" s="120">
        <v>0</v>
      </c>
      <c r="J107" s="117">
        <v>0</v>
      </c>
      <c r="K107" s="120">
        <v>0</v>
      </c>
      <c r="L107" s="117">
        <v>0</v>
      </c>
      <c r="M107" s="120">
        <v>0</v>
      </c>
      <c r="N107" s="117">
        <v>0</v>
      </c>
      <c r="O107" s="120">
        <v>0</v>
      </c>
      <c r="P107" s="117">
        <v>0</v>
      </c>
      <c r="Q107" s="120">
        <v>0</v>
      </c>
      <c r="R107" s="117">
        <v>0</v>
      </c>
      <c r="S107" s="120">
        <v>0</v>
      </c>
      <c r="T107" s="117">
        <v>0</v>
      </c>
      <c r="U107" s="119">
        <v>0</v>
      </c>
    </row>
    <row r="108" spans="1:21" x14ac:dyDescent="0.25">
      <c r="A108" s="111" t="s">
        <v>1133</v>
      </c>
      <c r="B108" s="112" t="s">
        <v>1254</v>
      </c>
      <c r="C108" s="112" t="s">
        <v>57</v>
      </c>
      <c r="D108" s="113">
        <v>0</v>
      </c>
      <c r="E108" s="114">
        <v>0</v>
      </c>
      <c r="F108" s="113">
        <v>0</v>
      </c>
      <c r="G108" s="114">
        <v>0</v>
      </c>
      <c r="H108" s="113">
        <v>0</v>
      </c>
      <c r="I108" s="114">
        <v>0</v>
      </c>
      <c r="J108" s="113">
        <v>0</v>
      </c>
      <c r="K108" s="114">
        <v>0</v>
      </c>
      <c r="L108" s="113">
        <v>0</v>
      </c>
      <c r="M108" s="114">
        <v>0</v>
      </c>
      <c r="N108" s="113">
        <v>0</v>
      </c>
      <c r="O108" s="114">
        <v>0</v>
      </c>
      <c r="P108" s="113">
        <v>0</v>
      </c>
      <c r="Q108" s="114">
        <v>0</v>
      </c>
      <c r="R108" s="113">
        <v>0</v>
      </c>
      <c r="S108" s="114">
        <v>0</v>
      </c>
      <c r="T108" s="113">
        <v>0</v>
      </c>
      <c r="U108" s="115">
        <v>0</v>
      </c>
    </row>
    <row r="109" spans="1:21" x14ac:dyDescent="0.25">
      <c r="A109" s="14" t="s">
        <v>1135</v>
      </c>
      <c r="B109" s="116" t="s">
        <v>1136</v>
      </c>
      <c r="C109" s="116" t="s">
        <v>57</v>
      </c>
      <c r="D109" s="117">
        <v>0</v>
      </c>
      <c r="E109" s="120">
        <v>0</v>
      </c>
      <c r="F109" s="117">
        <v>0</v>
      </c>
      <c r="G109" s="120">
        <v>0</v>
      </c>
      <c r="H109" s="117">
        <v>0</v>
      </c>
      <c r="I109" s="120">
        <v>0</v>
      </c>
      <c r="J109" s="117">
        <v>0</v>
      </c>
      <c r="K109" s="120">
        <v>0</v>
      </c>
      <c r="L109" s="117">
        <v>0</v>
      </c>
      <c r="M109" s="120">
        <v>0</v>
      </c>
      <c r="N109" s="117">
        <v>0</v>
      </c>
      <c r="O109" s="120">
        <v>0</v>
      </c>
      <c r="P109" s="117">
        <v>0</v>
      </c>
      <c r="Q109" s="120">
        <v>0</v>
      </c>
      <c r="R109" s="117">
        <v>0</v>
      </c>
      <c r="S109" s="120">
        <v>0</v>
      </c>
      <c r="T109" s="117">
        <v>0</v>
      </c>
      <c r="U109" s="119">
        <v>0</v>
      </c>
    </row>
    <row r="110" spans="1:21" x14ac:dyDescent="0.25">
      <c r="A110" s="111" t="s">
        <v>520</v>
      </c>
      <c r="B110" s="112" t="s">
        <v>1255</v>
      </c>
      <c r="C110" s="112" t="s">
        <v>57</v>
      </c>
      <c r="D110" s="113">
        <v>0</v>
      </c>
      <c r="E110" s="114">
        <v>0</v>
      </c>
      <c r="F110" s="113">
        <v>0</v>
      </c>
      <c r="G110" s="114">
        <v>0</v>
      </c>
      <c r="H110" s="113">
        <v>0</v>
      </c>
      <c r="I110" s="114">
        <v>0</v>
      </c>
      <c r="J110" s="113">
        <v>0</v>
      </c>
      <c r="K110" s="114">
        <v>0</v>
      </c>
      <c r="L110" s="113">
        <v>0</v>
      </c>
      <c r="M110" s="114">
        <v>0</v>
      </c>
      <c r="N110" s="113">
        <v>0</v>
      </c>
      <c r="O110" s="114">
        <v>0</v>
      </c>
      <c r="P110" s="113">
        <v>0</v>
      </c>
      <c r="Q110" s="114">
        <v>0</v>
      </c>
      <c r="R110" s="113">
        <v>0</v>
      </c>
      <c r="S110" s="114">
        <v>0</v>
      </c>
      <c r="T110" s="113">
        <v>0</v>
      </c>
      <c r="U110" s="115">
        <v>0</v>
      </c>
    </row>
    <row r="111" spans="1:21" x14ac:dyDescent="0.25">
      <c r="A111" s="14" t="s">
        <v>1138</v>
      </c>
      <c r="B111" s="116" t="s">
        <v>1139</v>
      </c>
      <c r="C111" s="116" t="s">
        <v>57</v>
      </c>
      <c r="D111" s="117">
        <v>0</v>
      </c>
      <c r="E111" s="120">
        <v>0</v>
      </c>
      <c r="F111" s="117">
        <v>0</v>
      </c>
      <c r="G111" s="120">
        <v>0</v>
      </c>
      <c r="H111" s="117">
        <v>0</v>
      </c>
      <c r="I111" s="120">
        <v>0</v>
      </c>
      <c r="J111" s="117">
        <v>0</v>
      </c>
      <c r="K111" s="120">
        <v>0</v>
      </c>
      <c r="L111" s="117">
        <v>0</v>
      </c>
      <c r="M111" s="120">
        <v>0</v>
      </c>
      <c r="N111" s="117">
        <v>0</v>
      </c>
      <c r="O111" s="120">
        <v>0</v>
      </c>
      <c r="P111" s="117">
        <v>0</v>
      </c>
      <c r="Q111" s="120">
        <v>0</v>
      </c>
      <c r="R111" s="117">
        <v>0</v>
      </c>
      <c r="S111" s="120">
        <v>0</v>
      </c>
      <c r="T111" s="117">
        <v>0</v>
      </c>
      <c r="U111" s="119">
        <v>0</v>
      </c>
    </row>
    <row r="112" spans="1:21" x14ac:dyDescent="0.25">
      <c r="A112" s="111" t="s">
        <v>1256</v>
      </c>
      <c r="B112" s="112" t="s">
        <v>1257</v>
      </c>
      <c r="C112" s="112" t="s">
        <v>1258</v>
      </c>
      <c r="D112" s="113">
        <v>25864</v>
      </c>
      <c r="E112" s="114">
        <v>0</v>
      </c>
      <c r="F112" s="113">
        <v>4684</v>
      </c>
      <c r="G112" s="114">
        <v>0</v>
      </c>
      <c r="H112" s="113">
        <v>0</v>
      </c>
      <c r="I112" s="114">
        <v>0</v>
      </c>
      <c r="J112" s="113">
        <v>0</v>
      </c>
      <c r="K112" s="114">
        <v>0</v>
      </c>
      <c r="L112" s="113">
        <v>0</v>
      </c>
      <c r="M112" s="114">
        <v>0</v>
      </c>
      <c r="N112" s="113">
        <v>15470</v>
      </c>
      <c r="O112" s="114">
        <v>2660</v>
      </c>
      <c r="P112" s="113">
        <v>390</v>
      </c>
      <c r="Q112" s="114">
        <v>2660</v>
      </c>
      <c r="R112" s="113">
        <v>0</v>
      </c>
      <c r="S112" s="114">
        <v>0</v>
      </c>
      <c r="T112" s="113">
        <v>0</v>
      </c>
      <c r="U112" s="115">
        <v>0</v>
      </c>
    </row>
    <row r="113" spans="1:21" x14ac:dyDescent="0.25">
      <c r="A113" s="14" t="s">
        <v>655</v>
      </c>
      <c r="B113" s="116" t="s">
        <v>1259</v>
      </c>
      <c r="C113" s="116" t="s">
        <v>1260</v>
      </c>
      <c r="D113" s="117">
        <v>0</v>
      </c>
      <c r="E113" s="120">
        <v>0</v>
      </c>
      <c r="F113" s="117">
        <v>0</v>
      </c>
      <c r="G113" s="120">
        <v>280</v>
      </c>
      <c r="H113" s="117">
        <v>0</v>
      </c>
      <c r="I113" s="120">
        <v>0</v>
      </c>
      <c r="J113" s="117">
        <v>0</v>
      </c>
      <c r="K113" s="120">
        <v>0</v>
      </c>
      <c r="L113" s="117">
        <v>0</v>
      </c>
      <c r="M113" s="120">
        <v>0</v>
      </c>
      <c r="N113" s="117">
        <v>0</v>
      </c>
      <c r="O113" s="120">
        <v>0</v>
      </c>
      <c r="P113" s="117">
        <v>0</v>
      </c>
      <c r="Q113" s="120">
        <v>0</v>
      </c>
      <c r="R113" s="117">
        <v>0</v>
      </c>
      <c r="S113" s="120">
        <v>0</v>
      </c>
      <c r="T113" s="117">
        <v>0</v>
      </c>
      <c r="U113" s="119">
        <v>0</v>
      </c>
    </row>
    <row r="114" spans="1:21" x14ac:dyDescent="0.25">
      <c r="A114" s="111" t="s">
        <v>1401</v>
      </c>
      <c r="B114" s="112" t="s">
        <v>1402</v>
      </c>
      <c r="C114" s="112" t="s">
        <v>1403</v>
      </c>
      <c r="D114" s="113">
        <v>0</v>
      </c>
      <c r="E114" s="114">
        <v>0</v>
      </c>
      <c r="F114" s="113">
        <v>0</v>
      </c>
      <c r="G114" s="114">
        <v>4184</v>
      </c>
      <c r="H114" s="113">
        <v>0</v>
      </c>
      <c r="I114" s="114">
        <v>0</v>
      </c>
      <c r="J114" s="113">
        <v>0</v>
      </c>
      <c r="K114" s="114">
        <v>0</v>
      </c>
      <c r="L114" s="113">
        <v>0</v>
      </c>
      <c r="M114" s="114">
        <v>0</v>
      </c>
      <c r="N114" s="113">
        <v>0</v>
      </c>
      <c r="O114" s="114">
        <v>0</v>
      </c>
      <c r="P114" s="113">
        <v>0</v>
      </c>
      <c r="Q114" s="114">
        <v>0</v>
      </c>
      <c r="R114" s="113">
        <v>0</v>
      </c>
      <c r="S114" s="114">
        <v>0</v>
      </c>
      <c r="T114" s="113">
        <v>0</v>
      </c>
      <c r="U114" s="115">
        <v>0</v>
      </c>
    </row>
    <row r="115" spans="1:21" x14ac:dyDescent="0.25">
      <c r="A115" s="14" t="s">
        <v>1133</v>
      </c>
      <c r="B115" s="116" t="s">
        <v>1261</v>
      </c>
      <c r="C115" s="116" t="s">
        <v>57</v>
      </c>
      <c r="D115" s="117">
        <v>0</v>
      </c>
      <c r="E115" s="120">
        <v>0</v>
      </c>
      <c r="F115" s="117">
        <v>0</v>
      </c>
      <c r="G115" s="120">
        <v>0</v>
      </c>
      <c r="H115" s="117">
        <v>0</v>
      </c>
      <c r="I115" s="120">
        <v>0</v>
      </c>
      <c r="J115" s="117">
        <v>0</v>
      </c>
      <c r="K115" s="120">
        <v>0</v>
      </c>
      <c r="L115" s="117">
        <v>0</v>
      </c>
      <c r="M115" s="120">
        <v>0</v>
      </c>
      <c r="N115" s="117">
        <v>0</v>
      </c>
      <c r="O115" s="120">
        <v>0</v>
      </c>
      <c r="P115" s="117">
        <v>0</v>
      </c>
      <c r="Q115" s="120">
        <v>0</v>
      </c>
      <c r="R115" s="117">
        <v>0</v>
      </c>
      <c r="S115" s="120">
        <v>0</v>
      </c>
      <c r="T115" s="117">
        <v>0</v>
      </c>
      <c r="U115" s="119">
        <v>0</v>
      </c>
    </row>
    <row r="116" spans="1:21" x14ac:dyDescent="0.25">
      <c r="A116" s="111" t="s">
        <v>1135</v>
      </c>
      <c r="B116" s="112" t="s">
        <v>1136</v>
      </c>
      <c r="C116" s="112" t="s">
        <v>57</v>
      </c>
      <c r="D116" s="113">
        <v>0</v>
      </c>
      <c r="E116" s="114">
        <v>0</v>
      </c>
      <c r="F116" s="113">
        <v>0</v>
      </c>
      <c r="G116" s="114">
        <v>0</v>
      </c>
      <c r="H116" s="113">
        <v>0</v>
      </c>
      <c r="I116" s="114">
        <v>0</v>
      </c>
      <c r="J116" s="113">
        <v>0</v>
      </c>
      <c r="K116" s="114">
        <v>0</v>
      </c>
      <c r="L116" s="113">
        <v>0</v>
      </c>
      <c r="M116" s="114">
        <v>0</v>
      </c>
      <c r="N116" s="113">
        <v>0</v>
      </c>
      <c r="O116" s="114">
        <v>0</v>
      </c>
      <c r="P116" s="113">
        <v>0</v>
      </c>
      <c r="Q116" s="114">
        <v>0</v>
      </c>
      <c r="R116" s="113">
        <v>0</v>
      </c>
      <c r="S116" s="114">
        <v>0</v>
      </c>
      <c r="T116" s="113">
        <v>0</v>
      </c>
      <c r="U116" s="115">
        <v>0</v>
      </c>
    </row>
    <row r="117" spans="1:21" x14ac:dyDescent="0.25">
      <c r="A117" s="14" t="s">
        <v>520</v>
      </c>
      <c r="B117" s="116" t="s">
        <v>1262</v>
      </c>
      <c r="C117" s="116" t="s">
        <v>57</v>
      </c>
      <c r="D117" s="117">
        <v>146128</v>
      </c>
      <c r="E117" s="120">
        <v>0</v>
      </c>
      <c r="F117" s="117">
        <v>0</v>
      </c>
      <c r="G117" s="120">
        <v>0</v>
      </c>
      <c r="H117" s="117">
        <v>0</v>
      </c>
      <c r="I117" s="120">
        <v>0</v>
      </c>
      <c r="J117" s="117">
        <v>0</v>
      </c>
      <c r="K117" s="120">
        <v>0</v>
      </c>
      <c r="L117" s="117">
        <v>0</v>
      </c>
      <c r="M117" s="120">
        <v>0</v>
      </c>
      <c r="N117" s="117">
        <v>47870</v>
      </c>
      <c r="O117" s="120">
        <v>49321</v>
      </c>
      <c r="P117" s="117">
        <v>22590</v>
      </c>
      <c r="Q117" s="120">
        <v>26347</v>
      </c>
      <c r="R117" s="117">
        <v>0</v>
      </c>
      <c r="S117" s="120">
        <v>0</v>
      </c>
      <c r="T117" s="117">
        <v>0</v>
      </c>
      <c r="U117" s="119">
        <v>0</v>
      </c>
    </row>
    <row r="118" spans="1:21" x14ac:dyDescent="0.25">
      <c r="A118" s="111" t="s">
        <v>1138</v>
      </c>
      <c r="B118" s="112" t="s">
        <v>1139</v>
      </c>
      <c r="C118" s="112" t="s">
        <v>57</v>
      </c>
      <c r="D118" s="113">
        <v>0</v>
      </c>
      <c r="E118" s="114">
        <v>0</v>
      </c>
      <c r="F118" s="113">
        <v>0</v>
      </c>
      <c r="G118" s="114">
        <v>0</v>
      </c>
      <c r="H118" s="113">
        <v>0</v>
      </c>
      <c r="I118" s="114">
        <v>0</v>
      </c>
      <c r="J118" s="113">
        <v>0</v>
      </c>
      <c r="K118" s="114">
        <v>0</v>
      </c>
      <c r="L118" s="113">
        <v>0</v>
      </c>
      <c r="M118" s="114">
        <v>0</v>
      </c>
      <c r="N118" s="113">
        <v>0</v>
      </c>
      <c r="O118" s="114">
        <v>0</v>
      </c>
      <c r="P118" s="113">
        <v>0</v>
      </c>
      <c r="Q118" s="114">
        <v>0</v>
      </c>
      <c r="R118" s="113">
        <v>0</v>
      </c>
      <c r="S118" s="114">
        <v>0</v>
      </c>
      <c r="T118" s="113">
        <v>0</v>
      </c>
      <c r="U118" s="115">
        <v>0</v>
      </c>
    </row>
    <row r="119" spans="1:21" x14ac:dyDescent="0.25">
      <c r="A119" s="14" t="s">
        <v>1077</v>
      </c>
      <c r="B119" s="116" t="s">
        <v>1149</v>
      </c>
      <c r="C119" s="116" t="s">
        <v>1263</v>
      </c>
      <c r="D119" s="117">
        <v>0</v>
      </c>
      <c r="E119" s="120">
        <v>0</v>
      </c>
      <c r="F119" s="117">
        <v>0</v>
      </c>
      <c r="G119" s="120">
        <v>479</v>
      </c>
      <c r="H119" s="117">
        <v>0</v>
      </c>
      <c r="I119" s="120">
        <v>479.32675170898437</v>
      </c>
      <c r="J119" s="117">
        <v>0</v>
      </c>
      <c r="K119" s="120">
        <v>479.32675170898437</v>
      </c>
      <c r="L119" s="117">
        <v>0</v>
      </c>
      <c r="M119" s="120">
        <v>479.32675170898437</v>
      </c>
      <c r="N119" s="117">
        <v>0</v>
      </c>
      <c r="O119" s="120">
        <v>0</v>
      </c>
      <c r="P119" s="117">
        <v>0</v>
      </c>
      <c r="Q119" s="120">
        <v>0</v>
      </c>
      <c r="R119" s="117">
        <v>0</v>
      </c>
      <c r="S119" s="120">
        <v>0</v>
      </c>
      <c r="T119" s="117">
        <v>0</v>
      </c>
      <c r="U119" s="119">
        <v>0</v>
      </c>
    </row>
    <row r="120" spans="1:21" x14ac:dyDescent="0.25">
      <c r="A120" s="111" t="s">
        <v>1116</v>
      </c>
      <c r="B120" s="112" t="s">
        <v>1118</v>
      </c>
      <c r="C120" s="112" t="s">
        <v>1117</v>
      </c>
      <c r="D120" s="113">
        <v>0</v>
      </c>
      <c r="E120" s="114">
        <v>0</v>
      </c>
      <c r="F120" s="113">
        <v>0</v>
      </c>
      <c r="G120" s="114">
        <v>14</v>
      </c>
      <c r="H120" s="113">
        <v>0</v>
      </c>
      <c r="I120" s="114">
        <v>14.010740280151367</v>
      </c>
      <c r="J120" s="113">
        <v>0</v>
      </c>
      <c r="K120" s="114">
        <v>14.010740280151367</v>
      </c>
      <c r="L120" s="113">
        <v>0</v>
      </c>
      <c r="M120" s="114">
        <v>14.010740280151367</v>
      </c>
      <c r="N120" s="113">
        <v>0</v>
      </c>
      <c r="O120" s="114">
        <v>0</v>
      </c>
      <c r="P120" s="113">
        <v>0</v>
      </c>
      <c r="Q120" s="114">
        <v>0</v>
      </c>
      <c r="R120" s="113">
        <v>0</v>
      </c>
      <c r="S120" s="114">
        <v>0</v>
      </c>
      <c r="T120" s="113">
        <v>0</v>
      </c>
      <c r="U120" s="115">
        <v>0</v>
      </c>
    </row>
    <row r="121" spans="1:21" x14ac:dyDescent="0.25">
      <c r="A121" s="14" t="s">
        <v>1124</v>
      </c>
      <c r="B121" s="116" t="s">
        <v>1126</v>
      </c>
      <c r="C121" s="116" t="s">
        <v>1125</v>
      </c>
      <c r="D121" s="117">
        <v>0</v>
      </c>
      <c r="E121" s="120">
        <v>0</v>
      </c>
      <c r="F121" s="117">
        <v>0</v>
      </c>
      <c r="G121" s="120">
        <v>10</v>
      </c>
      <c r="H121" s="117">
        <v>0</v>
      </c>
      <c r="I121" s="120">
        <v>9.5870800018310547</v>
      </c>
      <c r="J121" s="117">
        <v>0</v>
      </c>
      <c r="K121" s="120">
        <v>9.5870800018310547</v>
      </c>
      <c r="L121" s="117">
        <v>0</v>
      </c>
      <c r="M121" s="120">
        <v>9.5870800018310547</v>
      </c>
      <c r="N121" s="117">
        <v>0</v>
      </c>
      <c r="O121" s="120">
        <v>0</v>
      </c>
      <c r="P121" s="117">
        <v>0</v>
      </c>
      <c r="Q121" s="120">
        <v>0</v>
      </c>
      <c r="R121" s="117">
        <v>0</v>
      </c>
      <c r="S121" s="120">
        <v>0</v>
      </c>
      <c r="T121" s="117">
        <v>0</v>
      </c>
      <c r="U121" s="119">
        <v>0</v>
      </c>
    </row>
    <row r="122" spans="1:21" x14ac:dyDescent="0.25">
      <c r="A122" s="111" t="s">
        <v>1120</v>
      </c>
      <c r="B122" s="112" t="s">
        <v>1122</v>
      </c>
      <c r="C122" s="112" t="s">
        <v>1121</v>
      </c>
      <c r="D122" s="113">
        <v>0</v>
      </c>
      <c r="E122" s="114">
        <v>0</v>
      </c>
      <c r="F122" s="113">
        <v>0</v>
      </c>
      <c r="G122" s="114">
        <v>11</v>
      </c>
      <c r="H122" s="113">
        <v>0</v>
      </c>
      <c r="I122" s="114">
        <v>10.502650260925293</v>
      </c>
      <c r="J122" s="113">
        <v>0</v>
      </c>
      <c r="K122" s="114">
        <v>10.502650260925293</v>
      </c>
      <c r="L122" s="113">
        <v>0</v>
      </c>
      <c r="M122" s="114">
        <v>10.502650260925293</v>
      </c>
      <c r="N122" s="113">
        <v>0</v>
      </c>
      <c r="O122" s="114">
        <v>0</v>
      </c>
      <c r="P122" s="113">
        <v>0</v>
      </c>
      <c r="Q122" s="114">
        <v>0</v>
      </c>
      <c r="R122" s="113">
        <v>0</v>
      </c>
      <c r="S122" s="114">
        <v>0</v>
      </c>
      <c r="T122" s="113">
        <v>0</v>
      </c>
      <c r="U122" s="115">
        <v>0</v>
      </c>
    </row>
    <row r="123" spans="1:21" x14ac:dyDescent="0.25">
      <c r="A123" s="14" t="s">
        <v>702</v>
      </c>
      <c r="B123" s="116" t="s">
        <v>1264</v>
      </c>
      <c r="C123" s="116" t="s">
        <v>1265</v>
      </c>
      <c r="D123" s="117">
        <v>0</v>
      </c>
      <c r="E123" s="120">
        <v>0</v>
      </c>
      <c r="F123" s="117">
        <v>0</v>
      </c>
      <c r="G123" s="120">
        <v>51</v>
      </c>
      <c r="H123" s="117">
        <v>0</v>
      </c>
      <c r="I123" s="120">
        <v>50.69175910949707</v>
      </c>
      <c r="J123" s="117">
        <v>0</v>
      </c>
      <c r="K123" s="120">
        <v>50.69175910949707</v>
      </c>
      <c r="L123" s="117">
        <v>0</v>
      </c>
      <c r="M123" s="120">
        <v>50.69175910949707</v>
      </c>
      <c r="N123" s="117">
        <v>0</v>
      </c>
      <c r="O123" s="120">
        <v>0</v>
      </c>
      <c r="P123" s="117">
        <v>0</v>
      </c>
      <c r="Q123" s="120">
        <v>0</v>
      </c>
      <c r="R123" s="117">
        <v>0</v>
      </c>
      <c r="S123" s="120">
        <v>0</v>
      </c>
      <c r="T123" s="117">
        <v>0</v>
      </c>
      <c r="U123" s="119">
        <v>0</v>
      </c>
    </row>
    <row r="124" spans="1:21" x14ac:dyDescent="0.25">
      <c r="A124" s="111" t="s">
        <v>1266</v>
      </c>
      <c r="B124" s="112" t="s">
        <v>1267</v>
      </c>
      <c r="C124" s="112" t="s">
        <v>1268</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row>
    <row r="125" spans="1:21" x14ac:dyDescent="0.25">
      <c r="A125" s="14" t="s">
        <v>701</v>
      </c>
      <c r="B125" s="116" t="s">
        <v>316</v>
      </c>
      <c r="C125" s="116" t="s">
        <v>1269</v>
      </c>
      <c r="D125" s="117">
        <v>0</v>
      </c>
      <c r="E125" s="120">
        <v>0</v>
      </c>
      <c r="F125" s="117">
        <v>0</v>
      </c>
      <c r="G125" s="120">
        <v>38</v>
      </c>
      <c r="H125" s="117">
        <v>0</v>
      </c>
      <c r="I125" s="120">
        <v>38.371688842773438</v>
      </c>
      <c r="J125" s="117">
        <v>0</v>
      </c>
      <c r="K125" s="120">
        <v>38.371688842773438</v>
      </c>
      <c r="L125" s="117">
        <v>0</v>
      </c>
      <c r="M125" s="120">
        <v>38.371688842773438</v>
      </c>
      <c r="N125" s="117">
        <v>0</v>
      </c>
      <c r="O125" s="120">
        <v>0</v>
      </c>
      <c r="P125" s="117">
        <v>0</v>
      </c>
      <c r="Q125" s="120">
        <v>0</v>
      </c>
      <c r="R125" s="117">
        <v>0</v>
      </c>
      <c r="S125" s="120">
        <v>0</v>
      </c>
      <c r="T125" s="117">
        <v>0</v>
      </c>
      <c r="U125" s="119">
        <v>0</v>
      </c>
    </row>
    <row r="126" spans="1:21" x14ac:dyDescent="0.25">
      <c r="A126" s="111" t="s">
        <v>699</v>
      </c>
      <c r="B126" s="112" t="s">
        <v>1270</v>
      </c>
      <c r="C126" s="112" t="s">
        <v>1271</v>
      </c>
      <c r="D126" s="113">
        <v>0</v>
      </c>
      <c r="E126" s="114">
        <v>0</v>
      </c>
      <c r="F126" s="113">
        <v>0</v>
      </c>
      <c r="G126" s="114">
        <v>440</v>
      </c>
      <c r="H126" s="113">
        <v>0</v>
      </c>
      <c r="I126" s="114">
        <v>67.5806884765625</v>
      </c>
      <c r="J126" s="113">
        <v>0</v>
      </c>
      <c r="K126" s="114">
        <v>67.5806884765625</v>
      </c>
      <c r="L126" s="113">
        <v>370.58047485351563</v>
      </c>
      <c r="M126" s="114">
        <v>438.16116333007812</v>
      </c>
      <c r="N126" s="113">
        <v>0</v>
      </c>
      <c r="O126" s="114">
        <v>0</v>
      </c>
      <c r="P126" s="113">
        <v>0</v>
      </c>
      <c r="Q126" s="114">
        <v>0</v>
      </c>
      <c r="R126" s="113">
        <v>0</v>
      </c>
      <c r="S126" s="114">
        <v>0</v>
      </c>
      <c r="T126" s="113">
        <v>0</v>
      </c>
      <c r="U126" s="115">
        <v>0</v>
      </c>
    </row>
    <row r="127" spans="1:21" x14ac:dyDescent="0.25">
      <c r="A127" s="14" t="s">
        <v>1272</v>
      </c>
      <c r="B127" s="116" t="s">
        <v>1273</v>
      </c>
      <c r="C127" s="116" t="s">
        <v>1274</v>
      </c>
      <c r="D127" s="117">
        <v>0</v>
      </c>
      <c r="E127" s="120">
        <v>0</v>
      </c>
      <c r="F127" s="117">
        <v>0</v>
      </c>
      <c r="G127" s="120">
        <v>0</v>
      </c>
      <c r="H127" s="117">
        <v>0</v>
      </c>
      <c r="I127" s="120">
        <v>0</v>
      </c>
      <c r="J127" s="117">
        <v>0</v>
      </c>
      <c r="K127" s="120">
        <v>0</v>
      </c>
      <c r="L127" s="117">
        <v>0</v>
      </c>
      <c r="M127" s="120">
        <v>0</v>
      </c>
      <c r="N127" s="117">
        <v>0</v>
      </c>
      <c r="O127" s="120">
        <v>0</v>
      </c>
      <c r="P127" s="117">
        <v>0</v>
      </c>
      <c r="Q127" s="120">
        <v>0</v>
      </c>
      <c r="R127" s="117">
        <v>0</v>
      </c>
      <c r="S127" s="120">
        <v>0</v>
      </c>
      <c r="T127" s="117">
        <v>0</v>
      </c>
      <c r="U127" s="119">
        <v>0</v>
      </c>
    </row>
    <row r="128" spans="1:21" x14ac:dyDescent="0.25">
      <c r="A128" s="111" t="s">
        <v>1275</v>
      </c>
      <c r="B128" s="112" t="s">
        <v>767</v>
      </c>
      <c r="C128" s="112" t="s">
        <v>1276</v>
      </c>
      <c r="D128" s="113">
        <v>0</v>
      </c>
      <c r="E128" s="114">
        <v>0</v>
      </c>
      <c r="F128" s="113">
        <v>0</v>
      </c>
      <c r="G128" s="114">
        <v>0</v>
      </c>
      <c r="H128" s="113">
        <v>0</v>
      </c>
      <c r="I128" s="114">
        <v>0</v>
      </c>
      <c r="J128" s="113">
        <v>0</v>
      </c>
      <c r="K128" s="114">
        <v>0</v>
      </c>
      <c r="L128" s="113">
        <v>0</v>
      </c>
      <c r="M128" s="114">
        <v>0</v>
      </c>
      <c r="N128" s="113">
        <v>0</v>
      </c>
      <c r="O128" s="114">
        <v>0</v>
      </c>
      <c r="P128" s="113">
        <v>0</v>
      </c>
      <c r="Q128" s="114">
        <v>0</v>
      </c>
      <c r="R128" s="113">
        <v>0</v>
      </c>
      <c r="S128" s="114">
        <v>0</v>
      </c>
      <c r="T128" s="113">
        <v>0</v>
      </c>
      <c r="U128" s="115">
        <v>0</v>
      </c>
    </row>
    <row r="129" spans="1:21" x14ac:dyDescent="0.25">
      <c r="A129" s="14" t="s">
        <v>1128</v>
      </c>
      <c r="B129" s="116" t="s">
        <v>1277</v>
      </c>
      <c r="C129" s="116" t="s">
        <v>1129</v>
      </c>
      <c r="D129" s="117">
        <v>0</v>
      </c>
      <c r="E129" s="120">
        <v>0</v>
      </c>
      <c r="F129" s="117">
        <v>0</v>
      </c>
      <c r="G129" s="120">
        <v>1</v>
      </c>
      <c r="H129" s="117">
        <v>0</v>
      </c>
      <c r="I129" s="120">
        <v>0.70899999141693115</v>
      </c>
      <c r="J129" s="117">
        <v>0</v>
      </c>
      <c r="K129" s="120">
        <v>0.70899999141693115</v>
      </c>
      <c r="L129" s="117">
        <v>0</v>
      </c>
      <c r="M129" s="120">
        <v>0.70899999141693115</v>
      </c>
      <c r="N129" s="117">
        <v>0</v>
      </c>
      <c r="O129" s="120">
        <v>0</v>
      </c>
      <c r="P129" s="117">
        <v>0</v>
      </c>
      <c r="Q129" s="120">
        <v>0</v>
      </c>
      <c r="R129" s="117">
        <v>0</v>
      </c>
      <c r="S129" s="120">
        <v>0</v>
      </c>
      <c r="T129" s="117">
        <v>0</v>
      </c>
      <c r="U129" s="119">
        <v>0</v>
      </c>
    </row>
    <row r="130" spans="1:21" x14ac:dyDescent="0.25">
      <c r="A130" s="111" t="s">
        <v>1278</v>
      </c>
      <c r="B130" s="112" t="s">
        <v>946</v>
      </c>
      <c r="C130" s="112" t="s">
        <v>1279</v>
      </c>
      <c r="D130" s="113">
        <v>0</v>
      </c>
      <c r="E130" s="114">
        <v>0</v>
      </c>
      <c r="F130" s="113">
        <v>0</v>
      </c>
      <c r="G130" s="114">
        <v>0</v>
      </c>
      <c r="H130" s="113">
        <v>0</v>
      </c>
      <c r="I130" s="114">
        <v>0</v>
      </c>
      <c r="J130" s="113">
        <v>0</v>
      </c>
      <c r="K130" s="114">
        <v>0</v>
      </c>
      <c r="L130" s="113">
        <v>0</v>
      </c>
      <c r="M130" s="114">
        <v>0</v>
      </c>
      <c r="N130" s="113">
        <v>0</v>
      </c>
      <c r="O130" s="114">
        <v>0</v>
      </c>
      <c r="P130" s="113">
        <v>0</v>
      </c>
      <c r="Q130" s="114">
        <v>0</v>
      </c>
      <c r="R130" s="113">
        <v>0</v>
      </c>
      <c r="S130" s="114">
        <v>0</v>
      </c>
      <c r="T130" s="113">
        <v>0</v>
      </c>
      <c r="U130" s="115">
        <v>0</v>
      </c>
    </row>
    <row r="131" spans="1:21" x14ac:dyDescent="0.25">
      <c r="A131" s="14" t="s">
        <v>519</v>
      </c>
      <c r="B131" s="116" t="s">
        <v>1280</v>
      </c>
      <c r="C131" s="116" t="s">
        <v>1281</v>
      </c>
      <c r="D131" s="117">
        <v>0</v>
      </c>
      <c r="E131" s="120">
        <v>0</v>
      </c>
      <c r="F131" s="117">
        <v>0</v>
      </c>
      <c r="G131" s="120">
        <v>66</v>
      </c>
      <c r="H131" s="117">
        <v>0</v>
      </c>
      <c r="I131" s="120">
        <v>66.024219512939453</v>
      </c>
      <c r="J131" s="117">
        <v>0</v>
      </c>
      <c r="K131" s="120">
        <v>66.024219512939453</v>
      </c>
      <c r="L131" s="117">
        <v>0</v>
      </c>
      <c r="M131" s="120">
        <v>66.024219512939453</v>
      </c>
      <c r="N131" s="117">
        <v>0</v>
      </c>
      <c r="O131" s="120">
        <v>0</v>
      </c>
      <c r="P131" s="117">
        <v>0</v>
      </c>
      <c r="Q131" s="120">
        <v>0</v>
      </c>
      <c r="R131" s="117">
        <v>0</v>
      </c>
      <c r="S131" s="120">
        <v>0</v>
      </c>
      <c r="T131" s="117">
        <v>0</v>
      </c>
      <c r="U131" s="119">
        <v>0</v>
      </c>
    </row>
    <row r="132" spans="1:21" x14ac:dyDescent="0.25">
      <c r="A132" s="111" t="s">
        <v>1282</v>
      </c>
      <c r="B132" s="112" t="s">
        <v>1283</v>
      </c>
      <c r="C132" s="112" t="s">
        <v>1284</v>
      </c>
      <c r="D132" s="113">
        <v>0</v>
      </c>
      <c r="E132" s="114">
        <v>0</v>
      </c>
      <c r="F132" s="113">
        <v>0</v>
      </c>
      <c r="G132" s="114">
        <v>0</v>
      </c>
      <c r="H132" s="113">
        <v>0</v>
      </c>
      <c r="I132" s="114">
        <v>0</v>
      </c>
      <c r="J132" s="113">
        <v>0</v>
      </c>
      <c r="K132" s="114">
        <v>0</v>
      </c>
      <c r="L132" s="113">
        <v>0</v>
      </c>
      <c r="M132" s="114">
        <v>0</v>
      </c>
      <c r="N132" s="113">
        <v>0</v>
      </c>
      <c r="O132" s="114">
        <v>0</v>
      </c>
      <c r="P132" s="113">
        <v>0</v>
      </c>
      <c r="Q132" s="114">
        <v>0</v>
      </c>
      <c r="R132" s="113">
        <v>0</v>
      </c>
      <c r="S132" s="114">
        <v>0</v>
      </c>
      <c r="T132" s="113">
        <v>0</v>
      </c>
      <c r="U132" s="115">
        <v>0</v>
      </c>
    </row>
    <row r="133" spans="1:21" x14ac:dyDescent="0.25">
      <c r="A133" s="14" t="s">
        <v>1106</v>
      </c>
      <c r="B133" s="116" t="s">
        <v>1285</v>
      </c>
      <c r="C133" s="116" t="s">
        <v>1107</v>
      </c>
      <c r="D133" s="117">
        <v>0</v>
      </c>
      <c r="E133" s="120">
        <v>0</v>
      </c>
      <c r="F133" s="117">
        <v>0</v>
      </c>
      <c r="G133" s="120">
        <v>1606</v>
      </c>
      <c r="H133" s="117">
        <v>0</v>
      </c>
      <c r="I133" s="120">
        <v>0</v>
      </c>
      <c r="J133" s="117">
        <v>0</v>
      </c>
      <c r="K133" s="120">
        <v>0</v>
      </c>
      <c r="L133" s="117">
        <v>1236.459716796875</v>
      </c>
      <c r="M133" s="120">
        <v>1236.459716796875</v>
      </c>
      <c r="N133" s="117">
        <v>0</v>
      </c>
      <c r="O133" s="120">
        <v>0</v>
      </c>
      <c r="P133" s="117">
        <v>0</v>
      </c>
      <c r="Q133" s="120">
        <v>0</v>
      </c>
      <c r="R133" s="117">
        <v>0</v>
      </c>
      <c r="S133" s="120">
        <v>0</v>
      </c>
      <c r="T133" s="117">
        <v>0</v>
      </c>
      <c r="U133" s="119">
        <v>0</v>
      </c>
    </row>
    <row r="134" spans="1:21" x14ac:dyDescent="0.25">
      <c r="A134" s="111" t="s">
        <v>1286</v>
      </c>
      <c r="B134" s="112" t="s">
        <v>1287</v>
      </c>
      <c r="C134" s="112" t="s">
        <v>1288</v>
      </c>
      <c r="D134" s="113">
        <v>0</v>
      </c>
      <c r="E134" s="114">
        <v>0</v>
      </c>
      <c r="F134" s="113">
        <v>0</v>
      </c>
      <c r="G134" s="114">
        <v>0</v>
      </c>
      <c r="H134" s="113">
        <v>0</v>
      </c>
      <c r="I134" s="114">
        <v>-0.51274001598358154</v>
      </c>
      <c r="J134" s="113">
        <v>0</v>
      </c>
      <c r="K134" s="114">
        <v>-0.51274001598358154</v>
      </c>
      <c r="L134" s="113">
        <v>0</v>
      </c>
      <c r="M134" s="114">
        <v>-0.51274001598358154</v>
      </c>
      <c r="N134" s="113">
        <v>0</v>
      </c>
      <c r="O134" s="114">
        <v>0</v>
      </c>
      <c r="P134" s="113">
        <v>0</v>
      </c>
      <c r="Q134" s="114">
        <v>0</v>
      </c>
      <c r="R134" s="113">
        <v>0</v>
      </c>
      <c r="S134" s="114">
        <v>0</v>
      </c>
      <c r="T134" s="113">
        <v>0</v>
      </c>
      <c r="U134" s="115">
        <v>0</v>
      </c>
    </row>
    <row r="135" spans="1:21" x14ac:dyDescent="0.25">
      <c r="A135" s="14" t="s">
        <v>1289</v>
      </c>
      <c r="B135" s="116" t="s">
        <v>1290</v>
      </c>
      <c r="C135" s="116" t="s">
        <v>1291</v>
      </c>
      <c r="D135" s="117">
        <v>0</v>
      </c>
      <c r="E135" s="120">
        <v>0</v>
      </c>
      <c r="F135" s="117">
        <v>0</v>
      </c>
      <c r="G135" s="120">
        <v>0</v>
      </c>
      <c r="H135" s="117">
        <v>0</v>
      </c>
      <c r="I135" s="120">
        <v>0</v>
      </c>
      <c r="J135" s="117">
        <v>0</v>
      </c>
      <c r="K135" s="120">
        <v>0</v>
      </c>
      <c r="L135" s="117">
        <v>0</v>
      </c>
      <c r="M135" s="120">
        <v>0</v>
      </c>
      <c r="N135" s="117">
        <v>0</v>
      </c>
      <c r="O135" s="120">
        <v>0</v>
      </c>
      <c r="P135" s="117">
        <v>0</v>
      </c>
      <c r="Q135" s="120">
        <v>0</v>
      </c>
      <c r="R135" s="117">
        <v>0</v>
      </c>
      <c r="S135" s="120">
        <v>0</v>
      </c>
      <c r="T135" s="117">
        <v>0</v>
      </c>
      <c r="U135" s="119">
        <v>0</v>
      </c>
    </row>
    <row r="136" spans="1:21" x14ac:dyDescent="0.25">
      <c r="A136" s="111" t="s">
        <v>703</v>
      </c>
      <c r="B136" s="112" t="s">
        <v>322</v>
      </c>
      <c r="C136" s="112" t="s">
        <v>1292</v>
      </c>
      <c r="D136" s="113">
        <v>0</v>
      </c>
      <c r="E136" s="114">
        <v>0</v>
      </c>
      <c r="F136" s="113">
        <v>0</v>
      </c>
      <c r="G136" s="114">
        <v>85</v>
      </c>
      <c r="H136" s="113">
        <v>0</v>
      </c>
      <c r="I136" s="114">
        <v>84.535680770874023</v>
      </c>
      <c r="J136" s="113">
        <v>0</v>
      </c>
      <c r="K136" s="114">
        <v>84.535680770874023</v>
      </c>
      <c r="L136" s="113">
        <v>0</v>
      </c>
      <c r="M136" s="114">
        <v>84.535680770874023</v>
      </c>
      <c r="N136" s="113">
        <v>0</v>
      </c>
      <c r="O136" s="114">
        <v>0</v>
      </c>
      <c r="P136" s="113">
        <v>0</v>
      </c>
      <c r="Q136" s="114">
        <v>0</v>
      </c>
      <c r="R136" s="113">
        <v>0</v>
      </c>
      <c r="S136" s="114">
        <v>0</v>
      </c>
      <c r="T136" s="113">
        <v>0</v>
      </c>
      <c r="U136" s="115">
        <v>0</v>
      </c>
    </row>
    <row r="137" spans="1:21" x14ac:dyDescent="0.25">
      <c r="A137" s="14" t="s">
        <v>1293</v>
      </c>
      <c r="B137" s="116" t="s">
        <v>1294</v>
      </c>
      <c r="C137" s="116" t="s">
        <v>1295</v>
      </c>
      <c r="D137" s="117">
        <v>57967</v>
      </c>
      <c r="E137" s="120">
        <v>0</v>
      </c>
      <c r="F137" s="117">
        <v>54226</v>
      </c>
      <c r="G137" s="120">
        <v>0</v>
      </c>
      <c r="H137" s="117">
        <v>4242</v>
      </c>
      <c r="I137" s="120">
        <v>0</v>
      </c>
      <c r="J137" s="117">
        <v>0</v>
      </c>
      <c r="K137" s="120">
        <v>0</v>
      </c>
      <c r="L137" s="117">
        <v>0</v>
      </c>
      <c r="M137" s="120">
        <v>0</v>
      </c>
      <c r="N137" s="117">
        <v>3441</v>
      </c>
      <c r="O137" s="120">
        <v>300</v>
      </c>
      <c r="P137" s="117">
        <v>0</v>
      </c>
      <c r="Q137" s="120">
        <v>0</v>
      </c>
      <c r="R137" s="117">
        <v>0</v>
      </c>
      <c r="S137" s="120">
        <v>0</v>
      </c>
      <c r="T137" s="117">
        <v>0</v>
      </c>
      <c r="U137" s="119">
        <v>0</v>
      </c>
    </row>
    <row r="138" spans="1:21" x14ac:dyDescent="0.25">
      <c r="A138" s="111" t="s">
        <v>1296</v>
      </c>
      <c r="B138" s="112" t="s">
        <v>1297</v>
      </c>
      <c r="C138" s="112" t="s">
        <v>1298</v>
      </c>
      <c r="D138" s="113">
        <v>0</v>
      </c>
      <c r="E138" s="114">
        <v>0</v>
      </c>
      <c r="F138" s="113">
        <v>0</v>
      </c>
      <c r="G138" s="114">
        <v>0</v>
      </c>
      <c r="H138" s="113">
        <v>0</v>
      </c>
      <c r="I138" s="114">
        <v>0</v>
      </c>
      <c r="J138" s="113">
        <v>0</v>
      </c>
      <c r="K138" s="114">
        <v>0</v>
      </c>
      <c r="L138" s="113">
        <v>0</v>
      </c>
      <c r="M138" s="114">
        <v>0</v>
      </c>
      <c r="N138" s="113">
        <v>0</v>
      </c>
      <c r="O138" s="114">
        <v>0</v>
      </c>
      <c r="P138" s="113">
        <v>0</v>
      </c>
      <c r="Q138" s="114">
        <v>0</v>
      </c>
      <c r="R138" s="113">
        <v>0</v>
      </c>
      <c r="S138" s="114">
        <v>0</v>
      </c>
      <c r="T138" s="113">
        <v>0</v>
      </c>
      <c r="U138" s="115">
        <v>0</v>
      </c>
    </row>
    <row r="139" spans="1:21" x14ac:dyDescent="0.25">
      <c r="A139" s="14" t="s">
        <v>696</v>
      </c>
      <c r="B139" s="116" t="s">
        <v>304</v>
      </c>
      <c r="C139" s="116" t="s">
        <v>1299</v>
      </c>
      <c r="D139" s="117">
        <v>0</v>
      </c>
      <c r="E139" s="120">
        <v>0</v>
      </c>
      <c r="F139" s="117">
        <v>0</v>
      </c>
      <c r="G139" s="120">
        <v>1800</v>
      </c>
      <c r="H139" s="117">
        <v>0</v>
      </c>
      <c r="I139" s="120">
        <v>1705.1062276363373</v>
      </c>
      <c r="J139" s="117">
        <v>0</v>
      </c>
      <c r="K139" s="120">
        <v>1705.1062276363373</v>
      </c>
      <c r="L139" s="117">
        <v>0</v>
      </c>
      <c r="M139" s="120">
        <v>1705.1062276363373</v>
      </c>
      <c r="N139" s="117">
        <v>0</v>
      </c>
      <c r="O139" s="120">
        <v>0</v>
      </c>
      <c r="P139" s="117">
        <v>0</v>
      </c>
      <c r="Q139" s="120">
        <v>0</v>
      </c>
      <c r="R139" s="117">
        <v>0</v>
      </c>
      <c r="S139" s="120">
        <v>0</v>
      </c>
      <c r="T139" s="117">
        <v>0</v>
      </c>
      <c r="U139" s="119">
        <v>0</v>
      </c>
    </row>
    <row r="140" spans="1:21" x14ac:dyDescent="0.25">
      <c r="A140" s="111" t="s">
        <v>707</v>
      </c>
      <c r="B140" s="112" t="s">
        <v>1300</v>
      </c>
      <c r="C140" s="112" t="s">
        <v>1301</v>
      </c>
      <c r="D140" s="113">
        <v>0</v>
      </c>
      <c r="E140" s="114">
        <v>0</v>
      </c>
      <c r="F140" s="113">
        <v>0</v>
      </c>
      <c r="G140" s="114">
        <v>23</v>
      </c>
      <c r="H140" s="113">
        <v>0</v>
      </c>
      <c r="I140" s="114">
        <v>23.278350830078125</v>
      </c>
      <c r="J140" s="113">
        <v>0</v>
      </c>
      <c r="K140" s="114">
        <v>23.278350830078125</v>
      </c>
      <c r="L140" s="113">
        <v>0</v>
      </c>
      <c r="M140" s="114">
        <v>23.278350830078125</v>
      </c>
      <c r="N140" s="113">
        <v>0</v>
      </c>
      <c r="O140" s="114">
        <v>0</v>
      </c>
      <c r="P140" s="113">
        <v>0</v>
      </c>
      <c r="Q140" s="114">
        <v>0</v>
      </c>
      <c r="R140" s="113">
        <v>0</v>
      </c>
      <c r="S140" s="114">
        <v>0</v>
      </c>
      <c r="T140" s="113">
        <v>0</v>
      </c>
      <c r="U140" s="115">
        <v>0</v>
      </c>
    </row>
    <row r="141" spans="1:21" x14ac:dyDescent="0.25">
      <c r="A141" s="14" t="s">
        <v>518</v>
      </c>
      <c r="B141" s="116" t="s">
        <v>1302</v>
      </c>
      <c r="C141" s="116" t="s">
        <v>1303</v>
      </c>
      <c r="D141" s="117">
        <v>0</v>
      </c>
      <c r="E141" s="120">
        <v>0</v>
      </c>
      <c r="F141" s="117">
        <v>0</v>
      </c>
      <c r="G141" s="120">
        <v>163</v>
      </c>
      <c r="H141" s="117">
        <v>0</v>
      </c>
      <c r="I141" s="120">
        <v>160.23846435546875</v>
      </c>
      <c r="J141" s="117">
        <v>0</v>
      </c>
      <c r="K141" s="120">
        <v>160.23846435546875</v>
      </c>
      <c r="L141" s="117">
        <v>2.3477599620819092</v>
      </c>
      <c r="M141" s="120">
        <v>162.58622431755066</v>
      </c>
      <c r="N141" s="117">
        <v>0</v>
      </c>
      <c r="O141" s="120">
        <v>0</v>
      </c>
      <c r="P141" s="117">
        <v>0</v>
      </c>
      <c r="Q141" s="120">
        <v>0</v>
      </c>
      <c r="R141" s="117">
        <v>0</v>
      </c>
      <c r="S141" s="120">
        <v>0</v>
      </c>
      <c r="T141" s="117">
        <v>0</v>
      </c>
      <c r="U141" s="119">
        <v>0</v>
      </c>
    </row>
    <row r="142" spans="1:21" x14ac:dyDescent="0.25">
      <c r="A142" s="111" t="s">
        <v>711</v>
      </c>
      <c r="B142" s="112" t="s">
        <v>712</v>
      </c>
      <c r="C142" s="112" t="s">
        <v>1304</v>
      </c>
      <c r="D142" s="113">
        <v>0</v>
      </c>
      <c r="E142" s="114">
        <v>0</v>
      </c>
      <c r="F142" s="113">
        <v>0</v>
      </c>
      <c r="G142" s="114">
        <v>0</v>
      </c>
      <c r="H142" s="113">
        <v>0</v>
      </c>
      <c r="I142" s="114">
        <v>0</v>
      </c>
      <c r="J142" s="113">
        <v>0</v>
      </c>
      <c r="K142" s="114">
        <v>0</v>
      </c>
      <c r="L142" s="113">
        <v>0</v>
      </c>
      <c r="M142" s="114">
        <v>0</v>
      </c>
      <c r="N142" s="113">
        <v>0</v>
      </c>
      <c r="O142" s="114">
        <v>0</v>
      </c>
      <c r="P142" s="113">
        <v>0</v>
      </c>
      <c r="Q142" s="114">
        <v>0</v>
      </c>
      <c r="R142" s="113">
        <v>0</v>
      </c>
      <c r="S142" s="114">
        <v>0</v>
      </c>
      <c r="T142" s="113">
        <v>0</v>
      </c>
      <c r="U142" s="115">
        <v>0</v>
      </c>
    </row>
    <row r="143" spans="1:21" x14ac:dyDescent="0.25">
      <c r="A143" s="14" t="s">
        <v>698</v>
      </c>
      <c r="B143" s="116" t="s">
        <v>1305</v>
      </c>
      <c r="C143" s="116" t="s">
        <v>1306</v>
      </c>
      <c r="D143" s="117">
        <v>0</v>
      </c>
      <c r="E143" s="120">
        <v>0</v>
      </c>
      <c r="F143" s="117">
        <v>0</v>
      </c>
      <c r="G143" s="120">
        <v>0</v>
      </c>
      <c r="H143" s="117">
        <v>0</v>
      </c>
      <c r="I143" s="120">
        <v>0</v>
      </c>
      <c r="J143" s="117">
        <v>0</v>
      </c>
      <c r="K143" s="120">
        <v>0</v>
      </c>
      <c r="L143" s="117">
        <v>0</v>
      </c>
      <c r="M143" s="120">
        <v>0</v>
      </c>
      <c r="N143" s="117">
        <v>0</v>
      </c>
      <c r="O143" s="120">
        <v>0</v>
      </c>
      <c r="P143" s="117">
        <v>0</v>
      </c>
      <c r="Q143" s="120">
        <v>0</v>
      </c>
      <c r="R143" s="117">
        <v>0</v>
      </c>
      <c r="S143" s="120">
        <v>0</v>
      </c>
      <c r="T143" s="117">
        <v>0</v>
      </c>
      <c r="U143" s="119">
        <v>0</v>
      </c>
    </row>
    <row r="144" spans="1:21" x14ac:dyDescent="0.25">
      <c r="A144" s="111" t="s">
        <v>1114</v>
      </c>
      <c r="B144" s="112" t="s">
        <v>1112</v>
      </c>
      <c r="C144" s="112" t="s">
        <v>1115</v>
      </c>
      <c r="D144" s="113">
        <v>0</v>
      </c>
      <c r="E144" s="114">
        <v>0</v>
      </c>
      <c r="F144" s="113">
        <v>0</v>
      </c>
      <c r="G144" s="114">
        <v>300</v>
      </c>
      <c r="H144" s="113">
        <v>0</v>
      </c>
      <c r="I144" s="114">
        <v>0</v>
      </c>
      <c r="J144" s="113">
        <v>0</v>
      </c>
      <c r="K144" s="114">
        <v>0</v>
      </c>
      <c r="L144" s="113">
        <v>0</v>
      </c>
      <c r="M144" s="114">
        <v>0</v>
      </c>
      <c r="N144" s="113">
        <v>0</v>
      </c>
      <c r="O144" s="114">
        <v>0</v>
      </c>
      <c r="P144" s="113">
        <v>0</v>
      </c>
      <c r="Q144" s="114">
        <v>0</v>
      </c>
      <c r="R144" s="113">
        <v>0</v>
      </c>
      <c r="S144" s="114">
        <v>0</v>
      </c>
      <c r="T144" s="113">
        <v>0</v>
      </c>
      <c r="U144" s="115">
        <v>0</v>
      </c>
    </row>
    <row r="145" spans="1:21" x14ac:dyDescent="0.25">
      <c r="A145" s="14" t="s">
        <v>1307</v>
      </c>
      <c r="B145" s="116" t="s">
        <v>1308</v>
      </c>
      <c r="C145" s="116" t="s">
        <v>1309</v>
      </c>
      <c r="D145" s="117">
        <v>0</v>
      </c>
      <c r="E145" s="120">
        <v>0</v>
      </c>
      <c r="F145" s="117">
        <v>0</v>
      </c>
      <c r="G145" s="120">
        <v>373</v>
      </c>
      <c r="H145" s="117">
        <v>0</v>
      </c>
      <c r="I145" s="120">
        <v>22.68235969543457</v>
      </c>
      <c r="J145" s="117">
        <v>0</v>
      </c>
      <c r="K145" s="120">
        <v>22.68235969543457</v>
      </c>
      <c r="L145" s="117">
        <v>176.40750122070312</v>
      </c>
      <c r="M145" s="120">
        <v>199.0898609161377</v>
      </c>
      <c r="N145" s="117">
        <v>0</v>
      </c>
      <c r="O145" s="120">
        <v>0</v>
      </c>
      <c r="P145" s="117">
        <v>0</v>
      </c>
      <c r="Q145" s="120">
        <v>0</v>
      </c>
      <c r="R145" s="117">
        <v>0</v>
      </c>
      <c r="S145" s="120">
        <v>0</v>
      </c>
      <c r="T145" s="117">
        <v>0</v>
      </c>
      <c r="U145" s="119">
        <v>0</v>
      </c>
    </row>
    <row r="146" spans="1:21" x14ac:dyDescent="0.25">
      <c r="A146" s="111" t="s">
        <v>1110</v>
      </c>
      <c r="B146" s="112" t="s">
        <v>708</v>
      </c>
      <c r="C146" s="112" t="s">
        <v>1111</v>
      </c>
      <c r="D146" s="113">
        <v>0</v>
      </c>
      <c r="E146" s="114">
        <v>0</v>
      </c>
      <c r="F146" s="113">
        <v>0</v>
      </c>
      <c r="G146" s="114">
        <v>693</v>
      </c>
      <c r="H146" s="113">
        <v>0</v>
      </c>
      <c r="I146" s="114">
        <v>0</v>
      </c>
      <c r="J146" s="113">
        <v>0</v>
      </c>
      <c r="K146" s="114">
        <v>0</v>
      </c>
      <c r="L146" s="113">
        <v>693.4403076171875</v>
      </c>
      <c r="M146" s="114">
        <v>693.4403076171875</v>
      </c>
      <c r="N146" s="113">
        <v>0</v>
      </c>
      <c r="O146" s="114">
        <v>0</v>
      </c>
      <c r="P146" s="113">
        <v>0</v>
      </c>
      <c r="Q146" s="114">
        <v>0</v>
      </c>
      <c r="R146" s="113">
        <v>0</v>
      </c>
      <c r="S146" s="114">
        <v>0</v>
      </c>
      <c r="T146" s="113">
        <v>0</v>
      </c>
      <c r="U146" s="115">
        <v>0</v>
      </c>
    </row>
    <row r="147" spans="1:21" x14ac:dyDescent="0.25">
      <c r="A147" s="14" t="s">
        <v>697</v>
      </c>
      <c r="B147" s="116" t="s">
        <v>1310</v>
      </c>
      <c r="C147" s="116" t="s">
        <v>1311</v>
      </c>
      <c r="D147" s="117">
        <v>0</v>
      </c>
      <c r="E147" s="120">
        <v>0</v>
      </c>
      <c r="F147" s="117">
        <v>0</v>
      </c>
      <c r="G147" s="120">
        <v>350</v>
      </c>
      <c r="H147" s="117">
        <v>0</v>
      </c>
      <c r="I147" s="120">
        <v>0</v>
      </c>
      <c r="J147" s="117">
        <v>0</v>
      </c>
      <c r="K147" s="120">
        <v>0</v>
      </c>
      <c r="L147" s="117">
        <v>0</v>
      </c>
      <c r="M147" s="120">
        <v>0</v>
      </c>
      <c r="N147" s="117">
        <v>0</v>
      </c>
      <c r="O147" s="120">
        <v>0</v>
      </c>
      <c r="P147" s="117">
        <v>0</v>
      </c>
      <c r="Q147" s="120">
        <v>0</v>
      </c>
      <c r="R147" s="117">
        <v>0</v>
      </c>
      <c r="S147" s="120">
        <v>0</v>
      </c>
      <c r="T147" s="117">
        <v>0</v>
      </c>
      <c r="U147" s="119">
        <v>0</v>
      </c>
    </row>
    <row r="148" spans="1:21" x14ac:dyDescent="0.25">
      <c r="A148" s="111" t="s">
        <v>521</v>
      </c>
      <c r="B148" s="112" t="s">
        <v>1312</v>
      </c>
      <c r="C148" s="112" t="s">
        <v>1313</v>
      </c>
      <c r="D148" s="113">
        <v>0</v>
      </c>
      <c r="E148" s="114">
        <v>0</v>
      </c>
      <c r="F148" s="113">
        <v>0</v>
      </c>
      <c r="G148" s="114">
        <v>0</v>
      </c>
      <c r="H148" s="113">
        <v>0</v>
      </c>
      <c r="I148" s="114">
        <v>0</v>
      </c>
      <c r="J148" s="113">
        <v>0</v>
      </c>
      <c r="K148" s="114">
        <v>0</v>
      </c>
      <c r="L148" s="113">
        <v>0</v>
      </c>
      <c r="M148" s="114">
        <v>0</v>
      </c>
      <c r="N148" s="113">
        <v>0</v>
      </c>
      <c r="O148" s="114">
        <v>0</v>
      </c>
      <c r="P148" s="113">
        <v>0</v>
      </c>
      <c r="Q148" s="114">
        <v>0</v>
      </c>
      <c r="R148" s="113">
        <v>0</v>
      </c>
      <c r="S148" s="114">
        <v>0</v>
      </c>
      <c r="T148" s="113">
        <v>0</v>
      </c>
      <c r="U148" s="115">
        <v>0</v>
      </c>
    </row>
    <row r="149" spans="1:21" x14ac:dyDescent="0.25">
      <c r="A149" s="14" t="s">
        <v>523</v>
      </c>
      <c r="B149" s="116" t="s">
        <v>522</v>
      </c>
      <c r="C149" s="116" t="s">
        <v>1314</v>
      </c>
      <c r="D149" s="117">
        <v>0</v>
      </c>
      <c r="E149" s="120">
        <v>0</v>
      </c>
      <c r="F149" s="117">
        <v>0</v>
      </c>
      <c r="G149" s="120">
        <v>0</v>
      </c>
      <c r="H149" s="117">
        <v>0</v>
      </c>
      <c r="I149" s="120">
        <v>0</v>
      </c>
      <c r="J149" s="117">
        <v>0</v>
      </c>
      <c r="K149" s="120">
        <v>0</v>
      </c>
      <c r="L149" s="117">
        <v>0</v>
      </c>
      <c r="M149" s="120">
        <v>0</v>
      </c>
      <c r="N149" s="117">
        <v>0</v>
      </c>
      <c r="O149" s="120">
        <v>0</v>
      </c>
      <c r="P149" s="117">
        <v>0</v>
      </c>
      <c r="Q149" s="120">
        <v>0</v>
      </c>
      <c r="R149" s="117">
        <v>0</v>
      </c>
      <c r="S149" s="120">
        <v>0</v>
      </c>
      <c r="T149" s="117">
        <v>0</v>
      </c>
      <c r="U149" s="119">
        <v>0</v>
      </c>
    </row>
    <row r="150" spans="1:21" x14ac:dyDescent="0.25">
      <c r="A150" s="111" t="s">
        <v>1103</v>
      </c>
      <c r="B150" s="112" t="s">
        <v>1315</v>
      </c>
      <c r="C150" s="112" t="s">
        <v>1104</v>
      </c>
      <c r="D150" s="113">
        <v>0</v>
      </c>
      <c r="E150" s="114">
        <v>0</v>
      </c>
      <c r="F150" s="113">
        <v>0</v>
      </c>
      <c r="G150" s="114">
        <v>1080</v>
      </c>
      <c r="H150" s="113">
        <v>0</v>
      </c>
      <c r="I150" s="114">
        <v>0</v>
      </c>
      <c r="J150" s="113">
        <v>0</v>
      </c>
      <c r="K150" s="114">
        <v>0</v>
      </c>
      <c r="L150" s="113">
        <v>1080</v>
      </c>
      <c r="M150" s="114">
        <v>1080</v>
      </c>
      <c r="N150" s="113">
        <v>0</v>
      </c>
      <c r="O150" s="114">
        <v>0</v>
      </c>
      <c r="P150" s="113">
        <v>0</v>
      </c>
      <c r="Q150" s="114">
        <v>0</v>
      </c>
      <c r="R150" s="113">
        <v>0</v>
      </c>
      <c r="S150" s="114">
        <v>0</v>
      </c>
      <c r="T150" s="113">
        <v>0</v>
      </c>
      <c r="U150" s="115">
        <v>0</v>
      </c>
    </row>
    <row r="151" spans="1:21" x14ac:dyDescent="0.25">
      <c r="A151" s="14" t="s">
        <v>1316</v>
      </c>
      <c r="B151" s="116" t="s">
        <v>1317</v>
      </c>
      <c r="C151" s="116" t="s">
        <v>1318</v>
      </c>
      <c r="D151" s="117">
        <v>0</v>
      </c>
      <c r="E151" s="120">
        <v>0</v>
      </c>
      <c r="F151" s="117">
        <v>0</v>
      </c>
      <c r="G151" s="120">
        <v>2841</v>
      </c>
      <c r="H151" s="117">
        <v>0</v>
      </c>
      <c r="I151" s="120">
        <v>0</v>
      </c>
      <c r="J151" s="117">
        <v>0</v>
      </c>
      <c r="K151" s="120">
        <v>0</v>
      </c>
      <c r="L151" s="117">
        <v>2841</v>
      </c>
      <c r="M151" s="120">
        <v>2841</v>
      </c>
      <c r="N151" s="117">
        <v>0</v>
      </c>
      <c r="O151" s="120">
        <v>0</v>
      </c>
      <c r="P151" s="117">
        <v>0</v>
      </c>
      <c r="Q151" s="120">
        <v>0</v>
      </c>
      <c r="R151" s="117">
        <v>0</v>
      </c>
      <c r="S151" s="120">
        <v>0</v>
      </c>
      <c r="T151" s="117">
        <v>0</v>
      </c>
      <c r="U151" s="119">
        <v>0</v>
      </c>
    </row>
    <row r="152" spans="1:21" x14ac:dyDescent="0.25">
      <c r="A152" s="111" t="s">
        <v>953</v>
      </c>
      <c r="B152" s="112" t="s">
        <v>954</v>
      </c>
      <c r="C152" s="112" t="s">
        <v>1319</v>
      </c>
      <c r="D152" s="113">
        <v>0</v>
      </c>
      <c r="E152" s="114">
        <v>0</v>
      </c>
      <c r="F152" s="113">
        <v>0</v>
      </c>
      <c r="G152" s="114">
        <v>600</v>
      </c>
      <c r="H152" s="113">
        <v>0</v>
      </c>
      <c r="I152" s="114">
        <v>599.97772216796875</v>
      </c>
      <c r="J152" s="113">
        <v>0</v>
      </c>
      <c r="K152" s="114">
        <v>599.97772216796875</v>
      </c>
      <c r="L152" s="113">
        <v>0</v>
      </c>
      <c r="M152" s="114">
        <v>599.97772216796875</v>
      </c>
      <c r="N152" s="113">
        <v>0</v>
      </c>
      <c r="O152" s="114">
        <v>0</v>
      </c>
      <c r="P152" s="113">
        <v>0</v>
      </c>
      <c r="Q152" s="114">
        <v>0</v>
      </c>
      <c r="R152" s="113">
        <v>0</v>
      </c>
      <c r="S152" s="114">
        <v>0</v>
      </c>
      <c r="T152" s="113">
        <v>0</v>
      </c>
      <c r="U152" s="115">
        <v>0</v>
      </c>
    </row>
    <row r="153" spans="1:21" x14ac:dyDescent="0.25">
      <c r="A153" s="14" t="s">
        <v>1102</v>
      </c>
      <c r="B153" s="116" t="s">
        <v>310</v>
      </c>
      <c r="C153" s="116" t="s">
        <v>1320</v>
      </c>
      <c r="D153" s="117">
        <v>0</v>
      </c>
      <c r="E153" s="120">
        <v>0</v>
      </c>
      <c r="F153" s="117">
        <v>0</v>
      </c>
      <c r="G153" s="120">
        <v>52</v>
      </c>
      <c r="H153" s="117">
        <v>0</v>
      </c>
      <c r="I153" s="120">
        <v>52.127998352050781</v>
      </c>
      <c r="J153" s="117">
        <v>0</v>
      </c>
      <c r="K153" s="120">
        <v>52.127998352050781</v>
      </c>
      <c r="L153" s="117">
        <v>0</v>
      </c>
      <c r="M153" s="120">
        <v>52.127998352050781</v>
      </c>
      <c r="N153" s="117">
        <v>0</v>
      </c>
      <c r="O153" s="120">
        <v>0</v>
      </c>
      <c r="P153" s="117">
        <v>0</v>
      </c>
      <c r="Q153" s="120">
        <v>0</v>
      </c>
      <c r="R153" s="117">
        <v>0</v>
      </c>
      <c r="S153" s="120">
        <v>0</v>
      </c>
      <c r="T153" s="117">
        <v>0</v>
      </c>
      <c r="U153" s="119">
        <v>0</v>
      </c>
    </row>
    <row r="154" spans="1:21" x14ac:dyDescent="0.25">
      <c r="A154" s="111" t="s">
        <v>1084</v>
      </c>
      <c r="B154" s="112" t="s">
        <v>1321</v>
      </c>
      <c r="C154" s="112" t="s">
        <v>1322</v>
      </c>
      <c r="D154" s="113">
        <v>0</v>
      </c>
      <c r="E154" s="114">
        <v>0</v>
      </c>
      <c r="F154" s="113">
        <v>0</v>
      </c>
      <c r="G154" s="114">
        <v>216</v>
      </c>
      <c r="H154" s="113">
        <v>0</v>
      </c>
      <c r="I154" s="114">
        <v>0</v>
      </c>
      <c r="J154" s="113">
        <v>0</v>
      </c>
      <c r="K154" s="114">
        <v>0</v>
      </c>
      <c r="L154" s="113">
        <v>216</v>
      </c>
      <c r="M154" s="114">
        <v>216</v>
      </c>
      <c r="N154" s="113">
        <v>0</v>
      </c>
      <c r="O154" s="114">
        <v>0</v>
      </c>
      <c r="P154" s="113">
        <v>0</v>
      </c>
      <c r="Q154" s="114">
        <v>0</v>
      </c>
      <c r="R154" s="113">
        <v>0</v>
      </c>
      <c r="S154" s="114">
        <v>0</v>
      </c>
      <c r="T154" s="113">
        <v>0</v>
      </c>
      <c r="U154" s="115">
        <v>0</v>
      </c>
    </row>
    <row r="155" spans="1:21" x14ac:dyDescent="0.25">
      <c r="A155" s="14" t="s">
        <v>990</v>
      </c>
      <c r="B155" s="116" t="s">
        <v>1277</v>
      </c>
      <c r="C155" s="116" t="s">
        <v>1323</v>
      </c>
      <c r="D155" s="117">
        <v>0</v>
      </c>
      <c r="E155" s="120">
        <v>0</v>
      </c>
      <c r="F155" s="117">
        <v>0</v>
      </c>
      <c r="G155" s="120">
        <v>1500</v>
      </c>
      <c r="H155" s="117">
        <v>0</v>
      </c>
      <c r="I155" s="120">
        <v>0</v>
      </c>
      <c r="J155" s="117">
        <v>0</v>
      </c>
      <c r="K155" s="120">
        <v>0</v>
      </c>
      <c r="L155" s="117">
        <v>1460.2259750366211</v>
      </c>
      <c r="M155" s="120">
        <v>1460.2259750366211</v>
      </c>
      <c r="N155" s="117">
        <v>0</v>
      </c>
      <c r="O155" s="120">
        <v>0</v>
      </c>
      <c r="P155" s="117">
        <v>0</v>
      </c>
      <c r="Q155" s="120">
        <v>0</v>
      </c>
      <c r="R155" s="117">
        <v>0</v>
      </c>
      <c r="S155" s="120">
        <v>0</v>
      </c>
      <c r="T155" s="117">
        <v>0</v>
      </c>
      <c r="U155" s="119">
        <v>0</v>
      </c>
    </row>
    <row r="156" spans="1:21" x14ac:dyDescent="0.25">
      <c r="A156" s="111" t="s">
        <v>992</v>
      </c>
      <c r="B156" s="112" t="s">
        <v>967</v>
      </c>
      <c r="C156" s="112" t="s">
        <v>1324</v>
      </c>
      <c r="D156" s="113">
        <v>0</v>
      </c>
      <c r="E156" s="114">
        <v>0</v>
      </c>
      <c r="F156" s="113">
        <v>0</v>
      </c>
      <c r="G156" s="114">
        <v>45</v>
      </c>
      <c r="H156" s="113">
        <v>0</v>
      </c>
      <c r="I156" s="114">
        <v>44.575801849365234</v>
      </c>
      <c r="J156" s="113">
        <v>0</v>
      </c>
      <c r="K156" s="114">
        <v>44.575801849365234</v>
      </c>
      <c r="L156" s="113">
        <v>0</v>
      </c>
      <c r="M156" s="114">
        <v>44.575801849365234</v>
      </c>
      <c r="N156" s="113">
        <v>0</v>
      </c>
      <c r="O156" s="114">
        <v>0</v>
      </c>
      <c r="P156" s="113">
        <v>0</v>
      </c>
      <c r="Q156" s="114">
        <v>0</v>
      </c>
      <c r="R156" s="113">
        <v>0</v>
      </c>
      <c r="S156" s="114">
        <v>0</v>
      </c>
      <c r="T156" s="113">
        <v>0</v>
      </c>
      <c r="U156" s="115">
        <v>0</v>
      </c>
    </row>
    <row r="157" spans="1:21" x14ac:dyDescent="0.25">
      <c r="A157" s="14" t="s">
        <v>1404</v>
      </c>
      <c r="B157" s="116" t="s">
        <v>1405</v>
      </c>
      <c r="C157" s="116" t="s">
        <v>1406</v>
      </c>
      <c r="D157" s="117">
        <v>0</v>
      </c>
      <c r="E157" s="120">
        <v>0</v>
      </c>
      <c r="F157" s="117">
        <v>0</v>
      </c>
      <c r="G157" s="120">
        <v>245</v>
      </c>
      <c r="H157" s="117">
        <v>0</v>
      </c>
      <c r="I157" s="120">
        <v>0</v>
      </c>
      <c r="J157" s="117">
        <v>0</v>
      </c>
      <c r="K157" s="120">
        <v>0</v>
      </c>
      <c r="L157" s="117">
        <v>244.84255981445312</v>
      </c>
      <c r="M157" s="120">
        <v>244.84255981445312</v>
      </c>
      <c r="N157" s="117">
        <v>0</v>
      </c>
      <c r="O157" s="120">
        <v>0</v>
      </c>
      <c r="P157" s="117">
        <v>0</v>
      </c>
      <c r="Q157" s="120">
        <v>0</v>
      </c>
      <c r="R157" s="117">
        <v>0</v>
      </c>
      <c r="S157" s="120">
        <v>0</v>
      </c>
      <c r="T157" s="117">
        <v>0</v>
      </c>
      <c r="U157" s="119">
        <v>0</v>
      </c>
    </row>
    <row r="158" spans="1:21" x14ac:dyDescent="0.25">
      <c r="A158" s="111" t="s">
        <v>1080</v>
      </c>
      <c r="B158" s="112" t="s">
        <v>1325</v>
      </c>
      <c r="C158" s="112" t="s">
        <v>1326</v>
      </c>
      <c r="D158" s="113">
        <v>0</v>
      </c>
      <c r="E158" s="114">
        <v>0</v>
      </c>
      <c r="F158" s="113">
        <v>0</v>
      </c>
      <c r="G158" s="114">
        <v>814</v>
      </c>
      <c r="H158" s="113">
        <v>0</v>
      </c>
      <c r="I158" s="114">
        <v>813.67767333984375</v>
      </c>
      <c r="J158" s="113">
        <v>0</v>
      </c>
      <c r="K158" s="114">
        <v>813.67767333984375</v>
      </c>
      <c r="L158" s="113">
        <v>0</v>
      </c>
      <c r="M158" s="114">
        <v>813.67767333984375</v>
      </c>
      <c r="N158" s="113">
        <v>0</v>
      </c>
      <c r="O158" s="114">
        <v>0</v>
      </c>
      <c r="P158" s="113">
        <v>0</v>
      </c>
      <c r="Q158" s="114">
        <v>0</v>
      </c>
      <c r="R158" s="113">
        <v>0</v>
      </c>
      <c r="S158" s="114">
        <v>0</v>
      </c>
      <c r="T158" s="113">
        <v>0</v>
      </c>
      <c r="U158" s="115">
        <v>0</v>
      </c>
    </row>
    <row r="159" spans="1:21" x14ac:dyDescent="0.25">
      <c r="A159" s="14" t="s">
        <v>1087</v>
      </c>
      <c r="B159" s="116" t="s">
        <v>966</v>
      </c>
      <c r="C159" s="116" t="s">
        <v>1327</v>
      </c>
      <c r="D159" s="117">
        <v>0</v>
      </c>
      <c r="E159" s="120">
        <v>0</v>
      </c>
      <c r="F159" s="117">
        <v>0</v>
      </c>
      <c r="G159" s="120">
        <v>0</v>
      </c>
      <c r="H159" s="117">
        <v>0</v>
      </c>
      <c r="I159" s="120">
        <v>0</v>
      </c>
      <c r="J159" s="117">
        <v>0</v>
      </c>
      <c r="K159" s="120">
        <v>0</v>
      </c>
      <c r="L159" s="117">
        <v>0</v>
      </c>
      <c r="M159" s="120">
        <v>0</v>
      </c>
      <c r="N159" s="117">
        <v>0</v>
      </c>
      <c r="O159" s="120">
        <v>0</v>
      </c>
      <c r="P159" s="117">
        <v>0</v>
      </c>
      <c r="Q159" s="120">
        <v>0</v>
      </c>
      <c r="R159" s="117">
        <v>0</v>
      </c>
      <c r="S159" s="120">
        <v>0</v>
      </c>
      <c r="T159" s="117">
        <v>0</v>
      </c>
      <c r="U159" s="119">
        <v>0</v>
      </c>
    </row>
    <row r="160" spans="1:21" x14ac:dyDescent="0.25">
      <c r="A160" s="111" t="s">
        <v>991</v>
      </c>
      <c r="B160" s="112" t="s">
        <v>965</v>
      </c>
      <c r="C160" s="112" t="s">
        <v>1328</v>
      </c>
      <c r="D160" s="113">
        <v>0</v>
      </c>
      <c r="E160" s="114">
        <v>0</v>
      </c>
      <c r="F160" s="113">
        <v>0</v>
      </c>
      <c r="G160" s="114">
        <v>0</v>
      </c>
      <c r="H160" s="113">
        <v>0</v>
      </c>
      <c r="I160" s="114">
        <v>0</v>
      </c>
      <c r="J160" s="113">
        <v>0</v>
      </c>
      <c r="K160" s="114">
        <v>0</v>
      </c>
      <c r="L160" s="113">
        <v>0</v>
      </c>
      <c r="M160" s="114">
        <v>0</v>
      </c>
      <c r="N160" s="113">
        <v>0</v>
      </c>
      <c r="O160" s="114">
        <v>0</v>
      </c>
      <c r="P160" s="113">
        <v>0</v>
      </c>
      <c r="Q160" s="114">
        <v>0</v>
      </c>
      <c r="R160" s="113">
        <v>0</v>
      </c>
      <c r="S160" s="114">
        <v>0</v>
      </c>
      <c r="T160" s="113">
        <v>0</v>
      </c>
      <c r="U160" s="115">
        <v>0</v>
      </c>
    </row>
    <row r="161" spans="1:21" x14ac:dyDescent="0.25">
      <c r="A161" s="14" t="s">
        <v>1083</v>
      </c>
      <c r="B161" s="116" t="s">
        <v>1329</v>
      </c>
      <c r="C161" s="116" t="s">
        <v>1330</v>
      </c>
      <c r="D161" s="117">
        <v>0</v>
      </c>
      <c r="E161" s="120">
        <v>0</v>
      </c>
      <c r="F161" s="117">
        <v>0</v>
      </c>
      <c r="G161" s="120">
        <v>871</v>
      </c>
      <c r="H161" s="117">
        <v>0</v>
      </c>
      <c r="I161" s="120">
        <v>0</v>
      </c>
      <c r="J161" s="117">
        <v>0</v>
      </c>
      <c r="K161" s="120">
        <v>0</v>
      </c>
      <c r="L161" s="117">
        <v>384.39999389648437</v>
      </c>
      <c r="M161" s="120">
        <v>384.39999389648437</v>
      </c>
      <c r="N161" s="117">
        <v>0</v>
      </c>
      <c r="O161" s="120">
        <v>0</v>
      </c>
      <c r="P161" s="117">
        <v>0</v>
      </c>
      <c r="Q161" s="120">
        <v>0</v>
      </c>
      <c r="R161" s="117">
        <v>0</v>
      </c>
      <c r="S161" s="120">
        <v>0</v>
      </c>
      <c r="T161" s="117">
        <v>0</v>
      </c>
      <c r="U161" s="119">
        <v>0</v>
      </c>
    </row>
    <row r="162" spans="1:21" x14ac:dyDescent="0.25">
      <c r="A162" s="111" t="s">
        <v>1133</v>
      </c>
      <c r="B162" s="112" t="s">
        <v>1331</v>
      </c>
      <c r="C162" s="112" t="s">
        <v>57</v>
      </c>
      <c r="D162" s="113">
        <v>0</v>
      </c>
      <c r="E162" s="114">
        <v>0</v>
      </c>
      <c r="F162" s="113">
        <v>0</v>
      </c>
      <c r="G162" s="114">
        <v>0</v>
      </c>
      <c r="H162" s="113">
        <v>0</v>
      </c>
      <c r="I162" s="114">
        <v>0</v>
      </c>
      <c r="J162" s="113">
        <v>0</v>
      </c>
      <c r="K162" s="114">
        <v>0</v>
      </c>
      <c r="L162" s="113">
        <v>0</v>
      </c>
      <c r="M162" s="114">
        <v>0</v>
      </c>
      <c r="N162" s="113">
        <v>0</v>
      </c>
      <c r="O162" s="114">
        <v>0</v>
      </c>
      <c r="P162" s="113">
        <v>0</v>
      </c>
      <c r="Q162" s="114">
        <v>0</v>
      </c>
      <c r="R162" s="113">
        <v>0</v>
      </c>
      <c r="S162" s="114">
        <v>0</v>
      </c>
      <c r="T162" s="113">
        <v>0</v>
      </c>
      <c r="U162" s="115">
        <v>0</v>
      </c>
    </row>
    <row r="163" spans="1:21" x14ac:dyDescent="0.25">
      <c r="A163" s="14" t="s">
        <v>1135</v>
      </c>
      <c r="B163" s="116" t="s">
        <v>1136</v>
      </c>
      <c r="C163" s="116" t="s">
        <v>57</v>
      </c>
      <c r="D163" s="117">
        <v>0</v>
      </c>
      <c r="E163" s="120">
        <v>0</v>
      </c>
      <c r="F163" s="117">
        <v>0</v>
      </c>
      <c r="G163" s="120">
        <v>0</v>
      </c>
      <c r="H163" s="117">
        <v>0</v>
      </c>
      <c r="I163" s="120">
        <v>0</v>
      </c>
      <c r="J163" s="117">
        <v>0</v>
      </c>
      <c r="K163" s="120">
        <v>0</v>
      </c>
      <c r="L163" s="117">
        <v>0</v>
      </c>
      <c r="M163" s="120">
        <v>0</v>
      </c>
      <c r="N163" s="117">
        <v>0</v>
      </c>
      <c r="O163" s="120">
        <v>0</v>
      </c>
      <c r="P163" s="117">
        <v>0</v>
      </c>
      <c r="Q163" s="120">
        <v>0</v>
      </c>
      <c r="R163" s="117">
        <v>0</v>
      </c>
      <c r="S163" s="120">
        <v>0</v>
      </c>
      <c r="T163" s="117">
        <v>0</v>
      </c>
      <c r="U163" s="119">
        <v>0</v>
      </c>
    </row>
    <row r="164" spans="1:21" x14ac:dyDescent="0.25">
      <c r="A164" s="111" t="s">
        <v>1332</v>
      </c>
      <c r="B164" s="112" t="s">
        <v>1333</v>
      </c>
      <c r="C164" s="112" t="s">
        <v>1334</v>
      </c>
      <c r="D164" s="113">
        <v>3182</v>
      </c>
      <c r="E164" s="114">
        <v>0</v>
      </c>
      <c r="F164" s="113">
        <v>3182</v>
      </c>
      <c r="G164" s="114">
        <v>0</v>
      </c>
      <c r="H164" s="113">
        <v>0</v>
      </c>
      <c r="I164" s="114">
        <v>0</v>
      </c>
      <c r="J164" s="113">
        <v>0</v>
      </c>
      <c r="K164" s="114">
        <v>0</v>
      </c>
      <c r="L164" s="113">
        <v>0</v>
      </c>
      <c r="M164" s="114">
        <v>0</v>
      </c>
      <c r="N164" s="113">
        <v>0</v>
      </c>
      <c r="O164" s="114">
        <v>0</v>
      </c>
      <c r="P164" s="113">
        <v>0</v>
      </c>
      <c r="Q164" s="114">
        <v>0</v>
      </c>
      <c r="R164" s="113">
        <v>0</v>
      </c>
      <c r="S164" s="114">
        <v>0</v>
      </c>
      <c r="T164" s="113">
        <v>0</v>
      </c>
      <c r="U164" s="115">
        <v>0</v>
      </c>
    </row>
    <row r="165" spans="1:21" x14ac:dyDescent="0.25">
      <c r="A165" s="14" t="s">
        <v>520</v>
      </c>
      <c r="B165" s="116" t="s">
        <v>1137</v>
      </c>
      <c r="C165" s="116" t="s">
        <v>57</v>
      </c>
      <c r="D165" s="117">
        <v>5366</v>
      </c>
      <c r="E165" s="120">
        <v>0</v>
      </c>
      <c r="F165" s="117">
        <v>0</v>
      </c>
      <c r="G165" s="120">
        <v>0</v>
      </c>
      <c r="H165" s="117">
        <v>0</v>
      </c>
      <c r="I165" s="120">
        <v>0</v>
      </c>
      <c r="J165" s="117">
        <v>0</v>
      </c>
      <c r="K165" s="120">
        <v>0</v>
      </c>
      <c r="L165" s="117">
        <v>0</v>
      </c>
      <c r="M165" s="120">
        <v>0</v>
      </c>
      <c r="N165" s="117">
        <v>1864</v>
      </c>
      <c r="O165" s="120">
        <v>2982</v>
      </c>
      <c r="P165" s="117">
        <v>350</v>
      </c>
      <c r="Q165" s="120">
        <v>170</v>
      </c>
      <c r="R165" s="117">
        <v>0</v>
      </c>
      <c r="S165" s="120">
        <v>0</v>
      </c>
      <c r="T165" s="117">
        <v>0</v>
      </c>
      <c r="U165" s="119">
        <v>0</v>
      </c>
    </row>
    <row r="166" spans="1:21" x14ac:dyDescent="0.25">
      <c r="A166" s="111" t="s">
        <v>1138</v>
      </c>
      <c r="B166" s="112" t="s">
        <v>1139</v>
      </c>
      <c r="C166" s="112" t="s">
        <v>57</v>
      </c>
      <c r="D166" s="113">
        <v>0</v>
      </c>
      <c r="E166" s="114">
        <v>0</v>
      </c>
      <c r="F166" s="113">
        <v>0</v>
      </c>
      <c r="G166" s="114">
        <v>0</v>
      </c>
      <c r="H166" s="113">
        <v>0</v>
      </c>
      <c r="I166" s="114">
        <v>0</v>
      </c>
      <c r="J166" s="113">
        <v>0</v>
      </c>
      <c r="K166" s="114">
        <v>0</v>
      </c>
      <c r="L166" s="113">
        <v>0</v>
      </c>
      <c r="M166" s="114">
        <v>0</v>
      </c>
      <c r="N166" s="113">
        <v>0</v>
      </c>
      <c r="O166" s="114">
        <v>0</v>
      </c>
      <c r="P166" s="113">
        <v>0</v>
      </c>
      <c r="Q166" s="114">
        <v>0</v>
      </c>
      <c r="R166" s="113">
        <v>0</v>
      </c>
      <c r="S166" s="114">
        <v>0</v>
      </c>
      <c r="T166" s="113">
        <v>0</v>
      </c>
      <c r="U166" s="115">
        <v>0</v>
      </c>
    </row>
    <row r="167" spans="1:21" x14ac:dyDescent="0.25">
      <c r="A167" s="14" t="s">
        <v>1133</v>
      </c>
      <c r="B167" s="116" t="s">
        <v>1254</v>
      </c>
      <c r="C167" s="116" t="s">
        <v>57</v>
      </c>
      <c r="D167" s="117">
        <v>0</v>
      </c>
      <c r="E167" s="120">
        <v>0</v>
      </c>
      <c r="F167" s="117">
        <v>0</v>
      </c>
      <c r="G167" s="120">
        <v>0</v>
      </c>
      <c r="H167" s="117">
        <v>0</v>
      </c>
      <c r="I167" s="120">
        <v>0</v>
      </c>
      <c r="J167" s="117">
        <v>0</v>
      </c>
      <c r="K167" s="120">
        <v>0</v>
      </c>
      <c r="L167" s="117">
        <v>0</v>
      </c>
      <c r="M167" s="120">
        <v>0</v>
      </c>
      <c r="N167" s="117">
        <v>0</v>
      </c>
      <c r="O167" s="120">
        <v>0</v>
      </c>
      <c r="P167" s="117">
        <v>0</v>
      </c>
      <c r="Q167" s="120">
        <v>0</v>
      </c>
      <c r="R167" s="117">
        <v>0</v>
      </c>
      <c r="S167" s="120">
        <v>0</v>
      </c>
      <c r="T167" s="117">
        <v>0</v>
      </c>
      <c r="U167" s="119">
        <v>0</v>
      </c>
    </row>
    <row r="168" spans="1:21" x14ac:dyDescent="0.25">
      <c r="A168" s="111" t="s">
        <v>1135</v>
      </c>
      <c r="B168" s="112" t="s">
        <v>1136</v>
      </c>
      <c r="C168" s="112" t="s">
        <v>57</v>
      </c>
      <c r="D168" s="113">
        <v>0</v>
      </c>
      <c r="E168" s="114">
        <v>0</v>
      </c>
      <c r="F168" s="113">
        <v>0</v>
      </c>
      <c r="G168" s="114">
        <v>0</v>
      </c>
      <c r="H168" s="113">
        <v>0</v>
      </c>
      <c r="I168" s="114">
        <v>0</v>
      </c>
      <c r="J168" s="113">
        <v>0</v>
      </c>
      <c r="K168" s="114">
        <v>0</v>
      </c>
      <c r="L168" s="113">
        <v>0</v>
      </c>
      <c r="M168" s="114">
        <v>0</v>
      </c>
      <c r="N168" s="113">
        <v>0</v>
      </c>
      <c r="O168" s="114">
        <v>0</v>
      </c>
      <c r="P168" s="113">
        <v>0</v>
      </c>
      <c r="Q168" s="114">
        <v>0</v>
      </c>
      <c r="R168" s="113">
        <v>0</v>
      </c>
      <c r="S168" s="114">
        <v>0</v>
      </c>
      <c r="T168" s="113">
        <v>0</v>
      </c>
      <c r="U168" s="115">
        <v>0</v>
      </c>
    </row>
    <row r="169" spans="1:21" x14ac:dyDescent="0.25">
      <c r="A169" s="14" t="s">
        <v>520</v>
      </c>
      <c r="B169" s="116" t="s">
        <v>1335</v>
      </c>
      <c r="C169" s="116" t="s">
        <v>57</v>
      </c>
      <c r="D169" s="117">
        <v>625</v>
      </c>
      <c r="E169" s="120">
        <v>0</v>
      </c>
      <c r="F169" s="117">
        <v>0</v>
      </c>
      <c r="G169" s="120">
        <v>0</v>
      </c>
      <c r="H169" s="117">
        <v>0</v>
      </c>
      <c r="I169" s="120">
        <v>0</v>
      </c>
      <c r="J169" s="117">
        <v>0</v>
      </c>
      <c r="K169" s="120">
        <v>0</v>
      </c>
      <c r="L169" s="117">
        <v>0</v>
      </c>
      <c r="M169" s="120">
        <v>0</v>
      </c>
      <c r="N169" s="117">
        <v>75</v>
      </c>
      <c r="O169" s="120">
        <v>150</v>
      </c>
      <c r="P169" s="117">
        <v>150</v>
      </c>
      <c r="Q169" s="120">
        <v>250</v>
      </c>
      <c r="R169" s="117">
        <v>0</v>
      </c>
      <c r="S169" s="120">
        <v>0</v>
      </c>
      <c r="T169" s="117">
        <v>0</v>
      </c>
      <c r="U169" s="119">
        <v>0</v>
      </c>
    </row>
    <row r="170" spans="1:21" x14ac:dyDescent="0.25">
      <c r="A170" s="111" t="s">
        <v>1138</v>
      </c>
      <c r="B170" s="112" t="s">
        <v>1139</v>
      </c>
      <c r="C170" s="112" t="s">
        <v>57</v>
      </c>
      <c r="D170" s="113">
        <v>0</v>
      </c>
      <c r="E170" s="114">
        <v>0</v>
      </c>
      <c r="F170" s="113">
        <v>0</v>
      </c>
      <c r="G170" s="114">
        <v>0</v>
      </c>
      <c r="H170" s="113">
        <v>0</v>
      </c>
      <c r="I170" s="114">
        <v>0</v>
      </c>
      <c r="J170" s="113">
        <v>0</v>
      </c>
      <c r="K170" s="114">
        <v>0</v>
      </c>
      <c r="L170" s="113">
        <v>0</v>
      </c>
      <c r="M170" s="114">
        <v>0</v>
      </c>
      <c r="N170" s="113">
        <v>0</v>
      </c>
      <c r="O170" s="114">
        <v>0</v>
      </c>
      <c r="P170" s="113">
        <v>0</v>
      </c>
      <c r="Q170" s="114">
        <v>0</v>
      </c>
      <c r="R170" s="113">
        <v>0</v>
      </c>
      <c r="S170" s="114">
        <v>0</v>
      </c>
      <c r="T170" s="113">
        <v>0</v>
      </c>
      <c r="U170" s="115">
        <v>0</v>
      </c>
    </row>
    <row r="171" spans="1:21" x14ac:dyDescent="0.25">
      <c r="A171" s="14" t="s">
        <v>1336</v>
      </c>
      <c r="B171" s="116" t="s">
        <v>1337</v>
      </c>
      <c r="C171" s="116" t="s">
        <v>1338</v>
      </c>
      <c r="D171" s="117">
        <v>75</v>
      </c>
      <c r="E171" s="120">
        <v>0</v>
      </c>
      <c r="F171" s="117">
        <v>75</v>
      </c>
      <c r="G171" s="120">
        <v>0</v>
      </c>
      <c r="H171" s="117">
        <v>0</v>
      </c>
      <c r="I171" s="120">
        <v>0</v>
      </c>
      <c r="J171" s="117">
        <v>0</v>
      </c>
      <c r="K171" s="120">
        <v>0</v>
      </c>
      <c r="L171" s="117">
        <v>0</v>
      </c>
      <c r="M171" s="120">
        <v>0</v>
      </c>
      <c r="N171" s="117">
        <v>0</v>
      </c>
      <c r="O171" s="120">
        <v>0</v>
      </c>
      <c r="P171" s="117">
        <v>0</v>
      </c>
      <c r="Q171" s="120">
        <v>0</v>
      </c>
      <c r="R171" s="117">
        <v>0</v>
      </c>
      <c r="S171" s="120">
        <v>0</v>
      </c>
      <c r="T171" s="117">
        <v>0</v>
      </c>
      <c r="U171" s="119">
        <v>0</v>
      </c>
    </row>
    <row r="172" spans="1:21" x14ac:dyDescent="0.25">
      <c r="A172" s="111" t="s">
        <v>1133</v>
      </c>
      <c r="B172" s="112" t="s">
        <v>1339</v>
      </c>
      <c r="C172" s="112" t="s">
        <v>57</v>
      </c>
      <c r="D172" s="113">
        <v>0</v>
      </c>
      <c r="E172" s="114">
        <v>0</v>
      </c>
      <c r="F172" s="113">
        <v>0</v>
      </c>
      <c r="G172" s="114">
        <v>0</v>
      </c>
      <c r="H172" s="113">
        <v>0</v>
      </c>
      <c r="I172" s="114">
        <v>0</v>
      </c>
      <c r="J172" s="113">
        <v>0</v>
      </c>
      <c r="K172" s="114">
        <v>0</v>
      </c>
      <c r="L172" s="113">
        <v>0</v>
      </c>
      <c r="M172" s="114">
        <v>0</v>
      </c>
      <c r="N172" s="113">
        <v>0</v>
      </c>
      <c r="O172" s="114">
        <v>0</v>
      </c>
      <c r="P172" s="113">
        <v>0</v>
      </c>
      <c r="Q172" s="114">
        <v>0</v>
      </c>
      <c r="R172" s="113">
        <v>0</v>
      </c>
      <c r="S172" s="114">
        <v>0</v>
      </c>
      <c r="T172" s="113">
        <v>0</v>
      </c>
      <c r="U172" s="115">
        <v>0</v>
      </c>
    </row>
    <row r="173" spans="1:21" x14ac:dyDescent="0.25">
      <c r="A173" s="14" t="s">
        <v>1135</v>
      </c>
      <c r="B173" s="116" t="s">
        <v>1136</v>
      </c>
      <c r="C173" s="116" t="s">
        <v>57</v>
      </c>
      <c r="D173" s="117">
        <v>0</v>
      </c>
      <c r="E173" s="120">
        <v>0</v>
      </c>
      <c r="F173" s="117">
        <v>0</v>
      </c>
      <c r="G173" s="120">
        <v>0</v>
      </c>
      <c r="H173" s="117">
        <v>0</v>
      </c>
      <c r="I173" s="120">
        <v>0</v>
      </c>
      <c r="J173" s="117">
        <v>0</v>
      </c>
      <c r="K173" s="120">
        <v>0</v>
      </c>
      <c r="L173" s="117">
        <v>0</v>
      </c>
      <c r="M173" s="120">
        <v>0</v>
      </c>
      <c r="N173" s="117">
        <v>0</v>
      </c>
      <c r="O173" s="120">
        <v>0</v>
      </c>
      <c r="P173" s="117">
        <v>0</v>
      </c>
      <c r="Q173" s="120">
        <v>0</v>
      </c>
      <c r="R173" s="117">
        <v>0</v>
      </c>
      <c r="S173" s="120">
        <v>0</v>
      </c>
      <c r="T173" s="117">
        <v>0</v>
      </c>
      <c r="U173" s="119">
        <v>0</v>
      </c>
    </row>
    <row r="174" spans="1:21" x14ac:dyDescent="0.25">
      <c r="A174" s="111" t="s">
        <v>520</v>
      </c>
      <c r="B174" s="112" t="s">
        <v>1340</v>
      </c>
      <c r="C174" s="112" t="s">
        <v>57</v>
      </c>
      <c r="D174" s="113">
        <v>600</v>
      </c>
      <c r="E174" s="114">
        <v>0</v>
      </c>
      <c r="F174" s="113">
        <v>0</v>
      </c>
      <c r="G174" s="114">
        <v>0</v>
      </c>
      <c r="H174" s="113">
        <v>0</v>
      </c>
      <c r="I174" s="114">
        <v>0</v>
      </c>
      <c r="J174" s="113">
        <v>0</v>
      </c>
      <c r="K174" s="114">
        <v>0</v>
      </c>
      <c r="L174" s="113">
        <v>0</v>
      </c>
      <c r="M174" s="114">
        <v>0</v>
      </c>
      <c r="N174" s="113">
        <v>150</v>
      </c>
      <c r="O174" s="114">
        <v>150</v>
      </c>
      <c r="P174" s="113">
        <v>150</v>
      </c>
      <c r="Q174" s="114">
        <v>150</v>
      </c>
      <c r="R174" s="113">
        <v>0</v>
      </c>
      <c r="S174" s="114">
        <v>0</v>
      </c>
      <c r="T174" s="113">
        <v>0</v>
      </c>
      <c r="U174" s="115">
        <v>0</v>
      </c>
    </row>
    <row r="175" spans="1:21" x14ac:dyDescent="0.25">
      <c r="A175" s="14" t="s">
        <v>1138</v>
      </c>
      <c r="B175" s="116" t="s">
        <v>1139</v>
      </c>
      <c r="C175" s="116" t="s">
        <v>57</v>
      </c>
      <c r="D175" s="117">
        <v>0</v>
      </c>
      <c r="E175" s="120">
        <v>0</v>
      </c>
      <c r="F175" s="117">
        <v>0</v>
      </c>
      <c r="G175" s="120">
        <v>0</v>
      </c>
      <c r="H175" s="117">
        <v>0</v>
      </c>
      <c r="I175" s="120">
        <v>0</v>
      </c>
      <c r="J175" s="117">
        <v>0</v>
      </c>
      <c r="K175" s="120">
        <v>0</v>
      </c>
      <c r="L175" s="117">
        <v>0</v>
      </c>
      <c r="M175" s="120">
        <v>0</v>
      </c>
      <c r="N175" s="117">
        <v>0</v>
      </c>
      <c r="O175" s="120">
        <v>0</v>
      </c>
      <c r="P175" s="117">
        <v>0</v>
      </c>
      <c r="Q175" s="120">
        <v>0</v>
      </c>
      <c r="R175" s="117">
        <v>0</v>
      </c>
      <c r="S175" s="120">
        <v>0</v>
      </c>
      <c r="T175" s="117">
        <v>0</v>
      </c>
      <c r="U175" s="119">
        <v>0</v>
      </c>
    </row>
    <row r="176" spans="1:21" x14ac:dyDescent="0.25">
      <c r="A176" s="111" t="s">
        <v>1341</v>
      </c>
      <c r="B176" s="112" t="s">
        <v>1342</v>
      </c>
      <c r="C176" s="112" t="s">
        <v>1343</v>
      </c>
      <c r="D176" s="113">
        <v>0</v>
      </c>
      <c r="E176" s="114">
        <v>0</v>
      </c>
      <c r="F176" s="113">
        <v>0</v>
      </c>
      <c r="G176" s="114">
        <v>0</v>
      </c>
      <c r="H176" s="113">
        <v>0</v>
      </c>
      <c r="I176" s="114">
        <v>0</v>
      </c>
      <c r="J176" s="113">
        <v>0</v>
      </c>
      <c r="K176" s="114">
        <v>0</v>
      </c>
      <c r="L176" s="113">
        <v>0</v>
      </c>
      <c r="M176" s="114">
        <v>0</v>
      </c>
      <c r="N176" s="113">
        <v>0</v>
      </c>
      <c r="O176" s="114">
        <v>0</v>
      </c>
      <c r="P176" s="113">
        <v>0</v>
      </c>
      <c r="Q176" s="114">
        <v>0</v>
      </c>
      <c r="R176" s="113">
        <v>0</v>
      </c>
      <c r="S176" s="114">
        <v>0</v>
      </c>
      <c r="T176" s="113">
        <v>0</v>
      </c>
      <c r="U176" s="115">
        <v>0</v>
      </c>
    </row>
    <row r="177" spans="1:21" x14ac:dyDescent="0.25">
      <c r="A177" s="14" t="s">
        <v>745</v>
      </c>
      <c r="B177" s="116" t="s">
        <v>1344</v>
      </c>
      <c r="C177" s="116" t="s">
        <v>1345</v>
      </c>
      <c r="D177" s="117">
        <v>0</v>
      </c>
      <c r="E177" s="120">
        <v>0</v>
      </c>
      <c r="F177" s="117">
        <v>0</v>
      </c>
      <c r="G177" s="120">
        <v>8</v>
      </c>
      <c r="H177" s="117">
        <v>0</v>
      </c>
      <c r="I177" s="120">
        <v>7.60504150390625</v>
      </c>
      <c r="J177" s="117">
        <v>0</v>
      </c>
      <c r="K177" s="120">
        <v>7.60504150390625</v>
      </c>
      <c r="L177" s="117">
        <v>0</v>
      </c>
      <c r="M177" s="120">
        <v>7.60504150390625</v>
      </c>
      <c r="N177" s="117">
        <v>0</v>
      </c>
      <c r="O177" s="120">
        <v>0</v>
      </c>
      <c r="P177" s="117">
        <v>0</v>
      </c>
      <c r="Q177" s="120">
        <v>0</v>
      </c>
      <c r="R177" s="117">
        <v>0</v>
      </c>
      <c r="S177" s="120">
        <v>0</v>
      </c>
      <c r="T177" s="117">
        <v>0</v>
      </c>
      <c r="U177" s="119">
        <v>0</v>
      </c>
    </row>
    <row r="178" spans="1:21" x14ac:dyDescent="0.25">
      <c r="A178" s="111" t="s">
        <v>1336</v>
      </c>
      <c r="B178" s="112" t="s">
        <v>1346</v>
      </c>
      <c r="C178" s="112" t="s">
        <v>1347</v>
      </c>
      <c r="D178" s="113">
        <v>1289</v>
      </c>
      <c r="E178" s="114">
        <v>0</v>
      </c>
      <c r="F178" s="113">
        <v>1289</v>
      </c>
      <c r="G178" s="114">
        <v>0</v>
      </c>
      <c r="H178" s="113">
        <v>8</v>
      </c>
      <c r="I178" s="114">
        <v>0</v>
      </c>
      <c r="J178" s="113">
        <v>0</v>
      </c>
      <c r="K178" s="114">
        <v>0</v>
      </c>
      <c r="L178" s="113">
        <v>0</v>
      </c>
      <c r="M178" s="114">
        <v>0</v>
      </c>
      <c r="N178" s="113">
        <v>0</v>
      </c>
      <c r="O178" s="114">
        <v>0</v>
      </c>
      <c r="P178" s="113">
        <v>0</v>
      </c>
      <c r="Q178" s="114">
        <v>0</v>
      </c>
      <c r="R178" s="113">
        <v>0</v>
      </c>
      <c r="S178" s="114">
        <v>0</v>
      </c>
      <c r="T178" s="113">
        <v>0</v>
      </c>
      <c r="U178" s="115">
        <v>0</v>
      </c>
    </row>
    <row r="179" spans="1:21" x14ac:dyDescent="0.25">
      <c r="D179" s="135">
        <f t="shared" ref="D179:U179" si="0">SUBTOTAL(9,D4:D178)</f>
        <v>356727.6</v>
      </c>
      <c r="E179" s="135">
        <f t="shared" si="0"/>
        <v>0</v>
      </c>
      <c r="F179" s="135">
        <f t="shared" si="0"/>
        <v>83740</v>
      </c>
      <c r="G179" s="135">
        <f t="shared" si="0"/>
        <v>22630</v>
      </c>
      <c r="H179" s="135">
        <f t="shared" si="0"/>
        <v>4505</v>
      </c>
      <c r="I179" s="135">
        <f t="shared" si="0"/>
        <v>4624.553650021553</v>
      </c>
      <c r="J179" s="135">
        <f t="shared" si="0"/>
        <v>0</v>
      </c>
      <c r="K179" s="135">
        <f t="shared" si="0"/>
        <v>4624.553650021553</v>
      </c>
      <c r="L179" s="135">
        <f t="shared" si="0"/>
        <v>9913.8983333110809</v>
      </c>
      <c r="M179" s="135">
        <f t="shared" si="0"/>
        <v>14538.451983332634</v>
      </c>
      <c r="N179" s="135">
        <f t="shared" si="0"/>
        <v>89792</v>
      </c>
      <c r="O179" s="135">
        <f t="shared" si="0"/>
        <v>81660</v>
      </c>
      <c r="P179" s="135">
        <f t="shared" si="0"/>
        <v>54136</v>
      </c>
      <c r="Q179" s="135">
        <f t="shared" si="0"/>
        <v>47400</v>
      </c>
      <c r="R179" s="135">
        <f t="shared" si="0"/>
        <v>0</v>
      </c>
      <c r="S179" s="135">
        <f t="shared" si="0"/>
        <v>0</v>
      </c>
      <c r="T179" s="135">
        <f t="shared" si="0"/>
        <v>0</v>
      </c>
      <c r="U179" s="135">
        <f t="shared" si="0"/>
        <v>0</v>
      </c>
    </row>
  </sheetData>
  <autoFilter ref="A3:U17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00"/>
  <sheetViews>
    <sheetView showGridLines="0" workbookViewId="0">
      <pane ySplit="3" topLeftCell="A133" activePane="bottomLeft" state="frozen"/>
      <selection pane="bottomLeft" activeCell="I201" sqref="I201"/>
    </sheetView>
  </sheetViews>
  <sheetFormatPr defaultRowHeight="15" x14ac:dyDescent="0.25"/>
  <cols>
    <col min="1" max="1" width="11" bestFit="1" customWidth="1"/>
    <col min="2" max="2" width="47" customWidth="1"/>
    <col min="3" max="3" width="19.85546875" bestFit="1" customWidth="1"/>
    <col min="4" max="4" width="12.5703125" hidden="1" customWidth="1"/>
    <col min="5" max="5" width="11" hidden="1" customWidth="1"/>
    <col min="6" max="6" width="7.5703125" hidden="1" customWidth="1"/>
    <col min="7" max="7" width="12.85546875" hidden="1" customWidth="1"/>
    <col min="8" max="8" width="10.140625" hidden="1" customWidth="1"/>
    <col min="9" max="9" width="17" customWidth="1"/>
    <col min="10" max="10" width="12" customWidth="1"/>
    <col min="11" max="11" width="9.140625" customWidth="1"/>
    <col min="12" max="12" width="13.5703125" bestFit="1" customWidth="1"/>
    <col min="13" max="13" width="17"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468" t="s">
        <v>1348</v>
      </c>
      <c r="B2" s="468" t="s">
        <v>1349</v>
      </c>
      <c r="C2" s="468" t="s">
        <v>1350</v>
      </c>
      <c r="D2" s="470" t="s">
        <v>1351</v>
      </c>
      <c r="E2" s="142" t="s">
        <v>1352</v>
      </c>
      <c r="F2" s="122"/>
      <c r="G2" s="123"/>
      <c r="H2" s="122"/>
      <c r="I2" s="124" t="s">
        <v>1353</v>
      </c>
      <c r="J2" s="125">
        <v>43220</v>
      </c>
      <c r="K2" s="124"/>
      <c r="L2" s="124"/>
      <c r="M2" s="126"/>
      <c r="N2" s="127"/>
      <c r="O2" s="124"/>
      <c r="P2" s="124" t="s">
        <v>1354</v>
      </c>
      <c r="Q2" s="124"/>
      <c r="R2" s="124"/>
      <c r="S2" s="124"/>
      <c r="T2" s="124"/>
      <c r="U2" s="128"/>
    </row>
    <row r="3" spans="1:22"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2"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c r="V4" t="e">
        <f>VLOOKUP(A4,Projetos_Ciclo!$H$3:$H$124,1,FALSE)</f>
        <v>#N/A</v>
      </c>
    </row>
    <row r="5" spans="1:22"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c r="V5" t="e">
        <f>VLOOKUP(A5,Projetos_Ciclo!$H$3:$H$124,1,FALSE)</f>
        <v>#N/A</v>
      </c>
    </row>
    <row r="6" spans="1:22" x14ac:dyDescent="0.25">
      <c r="A6" s="111" t="s">
        <v>1383</v>
      </c>
      <c r="B6" s="112" t="s">
        <v>1384</v>
      </c>
      <c r="C6" s="112" t="s">
        <v>1385</v>
      </c>
      <c r="D6" s="113">
        <v>782</v>
      </c>
      <c r="E6" s="114">
        <v>0</v>
      </c>
      <c r="F6" s="113">
        <v>782</v>
      </c>
      <c r="G6" s="114">
        <v>0</v>
      </c>
      <c r="H6" s="113">
        <v>0</v>
      </c>
      <c r="I6" s="114">
        <v>0</v>
      </c>
      <c r="J6" s="113">
        <v>0</v>
      </c>
      <c r="K6" s="114">
        <v>0</v>
      </c>
      <c r="L6" s="113">
        <v>0</v>
      </c>
      <c r="M6" s="114">
        <v>0</v>
      </c>
      <c r="N6" s="113">
        <v>0</v>
      </c>
      <c r="O6" s="114">
        <v>0</v>
      </c>
      <c r="P6" s="113">
        <v>0</v>
      </c>
      <c r="Q6" s="114">
        <v>0</v>
      </c>
      <c r="R6" s="113">
        <v>0</v>
      </c>
      <c r="S6" s="114">
        <v>0</v>
      </c>
      <c r="T6" s="113">
        <v>0</v>
      </c>
      <c r="U6" s="115">
        <v>0</v>
      </c>
      <c r="V6" t="e">
        <f>VLOOKUP(A6,Projetos_Ciclo!$H$3:$H$124,1,FALSE)</f>
        <v>#N/A</v>
      </c>
    </row>
    <row r="7" spans="1:22" x14ac:dyDescent="0.25">
      <c r="A7" s="14" t="s">
        <v>520</v>
      </c>
      <c r="B7" s="116" t="s">
        <v>1137</v>
      </c>
      <c r="C7" s="116" t="s">
        <v>57</v>
      </c>
      <c r="D7" s="117">
        <v>1854</v>
      </c>
      <c r="E7" s="120">
        <v>0</v>
      </c>
      <c r="F7" s="117">
        <v>0</v>
      </c>
      <c r="G7" s="120">
        <v>0</v>
      </c>
      <c r="H7" s="117">
        <v>0</v>
      </c>
      <c r="I7" s="120">
        <v>0</v>
      </c>
      <c r="J7" s="117">
        <v>0</v>
      </c>
      <c r="K7" s="120">
        <v>0</v>
      </c>
      <c r="L7" s="117">
        <v>0</v>
      </c>
      <c r="M7" s="120">
        <v>0</v>
      </c>
      <c r="N7" s="117">
        <v>634</v>
      </c>
      <c r="O7" s="120">
        <v>435</v>
      </c>
      <c r="P7" s="117">
        <v>360</v>
      </c>
      <c r="Q7" s="120">
        <v>425</v>
      </c>
      <c r="R7" s="117">
        <v>0</v>
      </c>
      <c r="S7" s="120">
        <v>0</v>
      </c>
      <c r="T7" s="117">
        <v>0</v>
      </c>
      <c r="U7" s="119">
        <v>0</v>
      </c>
      <c r="V7" t="str">
        <f>VLOOKUP(A7,Projetos_Ciclo!$H$3:$H$124,1,FALSE)</f>
        <v>NA</v>
      </c>
    </row>
    <row r="8" spans="1:22" x14ac:dyDescent="0.25">
      <c r="A8" s="111" t="s">
        <v>1469</v>
      </c>
      <c r="B8" s="112" t="s">
        <v>1517</v>
      </c>
      <c r="C8" s="112" t="s">
        <v>1470</v>
      </c>
      <c r="D8" s="113">
        <v>0</v>
      </c>
      <c r="E8" s="114">
        <v>0</v>
      </c>
      <c r="F8" s="113">
        <v>0</v>
      </c>
      <c r="G8" s="114">
        <v>132</v>
      </c>
      <c r="H8" s="113">
        <v>0</v>
      </c>
      <c r="I8" s="114">
        <v>0</v>
      </c>
      <c r="J8" s="113">
        <v>0</v>
      </c>
      <c r="K8" s="114">
        <v>0</v>
      </c>
      <c r="L8" s="113">
        <v>131.25634658336639</v>
      </c>
      <c r="M8" s="114">
        <v>131.25634658336639</v>
      </c>
      <c r="N8" s="113">
        <v>0</v>
      </c>
      <c r="O8" s="114">
        <v>0</v>
      </c>
      <c r="P8" s="113">
        <v>0</v>
      </c>
      <c r="Q8" s="114">
        <v>0</v>
      </c>
      <c r="R8" s="113">
        <v>0</v>
      </c>
      <c r="S8" s="114">
        <v>0</v>
      </c>
      <c r="T8" s="113">
        <v>0</v>
      </c>
      <c r="U8" s="115">
        <v>0</v>
      </c>
      <c r="V8" t="str">
        <f>VLOOKUP(A8,Projetos_Ciclo!$H$3:$H$124,1,FALSE)</f>
        <v>SC00318</v>
      </c>
    </row>
    <row r="9" spans="1:22" x14ac:dyDescent="0.25">
      <c r="A9" s="14" t="s">
        <v>1138</v>
      </c>
      <c r="B9" s="116" t="s">
        <v>1139</v>
      </c>
      <c r="C9" s="116" t="s">
        <v>57</v>
      </c>
      <c r="D9" s="117">
        <v>0</v>
      </c>
      <c r="E9" s="120">
        <v>0</v>
      </c>
      <c r="F9" s="117">
        <v>0</v>
      </c>
      <c r="G9" s="120">
        <v>0</v>
      </c>
      <c r="H9" s="117">
        <v>0</v>
      </c>
      <c r="I9" s="120">
        <v>0</v>
      </c>
      <c r="J9" s="117">
        <v>0</v>
      </c>
      <c r="K9" s="120">
        <v>0</v>
      </c>
      <c r="L9" s="117">
        <v>0</v>
      </c>
      <c r="M9" s="120">
        <v>0</v>
      </c>
      <c r="N9" s="117">
        <v>0</v>
      </c>
      <c r="O9" s="120">
        <v>0</v>
      </c>
      <c r="P9" s="117">
        <v>0</v>
      </c>
      <c r="Q9" s="120">
        <v>0</v>
      </c>
      <c r="R9" s="117">
        <v>0</v>
      </c>
      <c r="S9" s="120">
        <v>0</v>
      </c>
      <c r="T9" s="117">
        <v>0</v>
      </c>
      <c r="U9" s="119">
        <v>0</v>
      </c>
      <c r="V9" t="e">
        <f>VLOOKUP(A9,Projetos_Ciclo!$H$3:$H$124,1,FALSE)</f>
        <v>#N/A</v>
      </c>
    </row>
    <row r="10" spans="1:22" x14ac:dyDescent="0.25">
      <c r="A10" s="111" t="s">
        <v>1133</v>
      </c>
      <c r="B10" s="112" t="s">
        <v>1518</v>
      </c>
      <c r="C10" s="112" t="s">
        <v>57</v>
      </c>
      <c r="D10" s="113">
        <v>1408.5332552744051</v>
      </c>
      <c r="E10" s="114">
        <v>1408.5332552744051</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c r="V10" t="e">
        <f>VLOOKUP(A10,Projetos_Ciclo!$H$3:$H$124,1,FALSE)</f>
        <v>#N/A</v>
      </c>
    </row>
    <row r="11" spans="1:22" x14ac:dyDescent="0.25">
      <c r="A11" s="14" t="s">
        <v>1135</v>
      </c>
      <c r="B11" s="116" t="s">
        <v>1136</v>
      </c>
      <c r="C11" s="116" t="s">
        <v>57</v>
      </c>
      <c r="D11" s="117">
        <v>0</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c r="V11" t="e">
        <f>VLOOKUP(A11,Projetos_Ciclo!$H$3:$H$124,1,FALSE)</f>
        <v>#N/A</v>
      </c>
    </row>
    <row r="12" spans="1:22" hidden="1" x14ac:dyDescent="0.25">
      <c r="A12" s="111" t="s">
        <v>1519</v>
      </c>
      <c r="B12" s="112" t="s">
        <v>1520</v>
      </c>
      <c r="C12" s="112" t="s">
        <v>1521</v>
      </c>
      <c r="D12" s="113">
        <v>21530.140476887114</v>
      </c>
      <c r="E12" s="114">
        <v>12089.140476887114</v>
      </c>
      <c r="F12" s="113">
        <v>2028</v>
      </c>
      <c r="G12" s="114">
        <v>2028</v>
      </c>
      <c r="H12" s="113">
        <v>633</v>
      </c>
      <c r="I12" s="114">
        <v>655.06703650951385</v>
      </c>
      <c r="J12" s="113">
        <v>0</v>
      </c>
      <c r="K12" s="114">
        <v>655.06703650951385</v>
      </c>
      <c r="L12" s="113">
        <v>1056.2577248653397</v>
      </c>
      <c r="M12" s="114">
        <v>1711.3247613748536</v>
      </c>
      <c r="N12" s="113">
        <v>1927</v>
      </c>
      <c r="O12" s="114">
        <v>1882</v>
      </c>
      <c r="P12" s="113">
        <v>1812</v>
      </c>
      <c r="Q12" s="114">
        <v>1792</v>
      </c>
      <c r="R12" s="113">
        <v>0</v>
      </c>
      <c r="S12" s="114">
        <v>0</v>
      </c>
      <c r="T12" s="113">
        <v>0</v>
      </c>
      <c r="U12" s="115">
        <v>0</v>
      </c>
      <c r="V12" t="e">
        <f>VLOOKUP(A12,Projetos_Ciclo!$H$3:$H$124,1,FALSE)</f>
        <v>#N/A</v>
      </c>
    </row>
    <row r="13" spans="1:22" x14ac:dyDescent="0.25">
      <c r="A13" s="14" t="s">
        <v>520</v>
      </c>
      <c r="B13" s="116" t="s">
        <v>1137</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c r="V13" t="str">
        <f>VLOOKUP(A13,Projetos_Ciclo!$H$3:$H$124,1,FALSE)</f>
        <v>NA</v>
      </c>
    </row>
    <row r="14" spans="1:22" x14ac:dyDescent="0.25">
      <c r="A14" s="111" t="s">
        <v>1138</v>
      </c>
      <c r="B14" s="112" t="s">
        <v>1139</v>
      </c>
      <c r="C14" s="112" t="s">
        <v>57</v>
      </c>
      <c r="D14" s="113">
        <v>248.326267838478</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c r="V14" t="e">
        <f>VLOOKUP(A14,Projetos_Ciclo!$H$3:$H$124,1,FALSE)</f>
        <v>#N/A</v>
      </c>
    </row>
    <row r="15" spans="1:22" x14ac:dyDescent="0.25">
      <c r="A15" s="14" t="s">
        <v>1133</v>
      </c>
      <c r="B15" s="116" t="s">
        <v>1140</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c r="V15" t="e">
        <f>VLOOKUP(A15,Projetos_Ciclo!$H$3:$H$124,1,FALSE)</f>
        <v>#N/A</v>
      </c>
    </row>
    <row r="16" spans="1:22" x14ac:dyDescent="0.25">
      <c r="A16" s="111" t="s">
        <v>1135</v>
      </c>
      <c r="B16" s="112" t="s">
        <v>1136</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c r="V16" t="e">
        <f>VLOOKUP(A16,Projetos_Ciclo!$H$3:$H$124,1,FALSE)</f>
        <v>#N/A</v>
      </c>
    </row>
    <row r="17" spans="1:22" x14ac:dyDescent="0.25">
      <c r="A17" s="14" t="s">
        <v>520</v>
      </c>
      <c r="B17" s="116" t="s">
        <v>1137</v>
      </c>
      <c r="C17" s="116" t="s">
        <v>57</v>
      </c>
      <c r="D17" s="117">
        <v>139</v>
      </c>
      <c r="E17" s="120">
        <v>0</v>
      </c>
      <c r="F17" s="117">
        <v>0</v>
      </c>
      <c r="G17" s="120">
        <v>0</v>
      </c>
      <c r="H17" s="117">
        <v>0</v>
      </c>
      <c r="I17" s="120">
        <v>0</v>
      </c>
      <c r="J17" s="117">
        <v>0</v>
      </c>
      <c r="K17" s="120">
        <v>0</v>
      </c>
      <c r="L17" s="117">
        <v>0</v>
      </c>
      <c r="M17" s="120">
        <v>0</v>
      </c>
      <c r="N17" s="117">
        <v>16</v>
      </c>
      <c r="O17" s="120">
        <v>30</v>
      </c>
      <c r="P17" s="117">
        <v>50</v>
      </c>
      <c r="Q17" s="120">
        <v>43</v>
      </c>
      <c r="R17" s="117">
        <v>0</v>
      </c>
      <c r="S17" s="120">
        <v>0</v>
      </c>
      <c r="T17" s="117">
        <v>0</v>
      </c>
      <c r="U17" s="119">
        <v>0</v>
      </c>
      <c r="V17" t="str">
        <f>VLOOKUP(A17,Projetos_Ciclo!$H$3:$H$124,1,FALSE)</f>
        <v>NA</v>
      </c>
    </row>
    <row r="18" spans="1:22" x14ac:dyDescent="0.25">
      <c r="A18" s="111" t="s">
        <v>1138</v>
      </c>
      <c r="B18" s="112" t="s">
        <v>1139</v>
      </c>
      <c r="C18" s="112" t="s">
        <v>57</v>
      </c>
      <c r="D18" s="113">
        <v>0</v>
      </c>
      <c r="E18" s="114">
        <v>0</v>
      </c>
      <c r="F18" s="113">
        <v>0</v>
      </c>
      <c r="G18" s="114">
        <v>0</v>
      </c>
      <c r="H18" s="113">
        <v>0</v>
      </c>
      <c r="I18" s="114">
        <v>0</v>
      </c>
      <c r="J18" s="113">
        <v>0</v>
      </c>
      <c r="K18" s="114">
        <v>0</v>
      </c>
      <c r="L18" s="113">
        <v>0</v>
      </c>
      <c r="M18" s="114">
        <v>0</v>
      </c>
      <c r="N18" s="113">
        <v>0</v>
      </c>
      <c r="O18" s="114">
        <v>0</v>
      </c>
      <c r="P18" s="113">
        <v>0</v>
      </c>
      <c r="Q18" s="114">
        <v>0</v>
      </c>
      <c r="R18" s="113">
        <v>0</v>
      </c>
      <c r="S18" s="114">
        <v>0</v>
      </c>
      <c r="T18" s="113">
        <v>0</v>
      </c>
      <c r="U18" s="115">
        <v>0</v>
      </c>
      <c r="V18" t="e">
        <f>VLOOKUP(A18,Projetos_Ciclo!$H$3:$H$124,1,FALSE)</f>
        <v>#N/A</v>
      </c>
    </row>
    <row r="19" spans="1:22" x14ac:dyDescent="0.25">
      <c r="A19" s="14" t="s">
        <v>1141</v>
      </c>
      <c r="B19" s="116" t="s">
        <v>1142</v>
      </c>
      <c r="C19" s="116" t="s">
        <v>1143</v>
      </c>
      <c r="D19" s="117">
        <v>29</v>
      </c>
      <c r="E19" s="120">
        <v>0</v>
      </c>
      <c r="F19" s="117">
        <v>29</v>
      </c>
      <c r="G19" s="120">
        <v>0</v>
      </c>
      <c r="H19" s="117">
        <v>0</v>
      </c>
      <c r="I19" s="120">
        <v>0</v>
      </c>
      <c r="J19" s="117">
        <v>0</v>
      </c>
      <c r="K19" s="120">
        <v>0</v>
      </c>
      <c r="L19" s="117">
        <v>0</v>
      </c>
      <c r="M19" s="120">
        <v>0</v>
      </c>
      <c r="N19" s="117">
        <v>0</v>
      </c>
      <c r="O19" s="120">
        <v>0</v>
      </c>
      <c r="P19" s="117">
        <v>0</v>
      </c>
      <c r="Q19" s="120">
        <v>0</v>
      </c>
      <c r="R19" s="117">
        <v>0</v>
      </c>
      <c r="S19" s="120">
        <v>0</v>
      </c>
      <c r="T19" s="117">
        <v>0</v>
      </c>
      <c r="U19" s="119">
        <v>0</v>
      </c>
      <c r="V19" t="e">
        <f>VLOOKUP(A19,Projetos_Ciclo!$H$3:$H$124,1,FALSE)</f>
        <v>#N/A</v>
      </c>
    </row>
    <row r="20" spans="1:22" x14ac:dyDescent="0.25">
      <c r="A20" s="111" t="s">
        <v>1133</v>
      </c>
      <c r="B20" s="112" t="s">
        <v>1144</v>
      </c>
      <c r="C20" s="112" t="s">
        <v>57</v>
      </c>
      <c r="D20" s="113">
        <v>0</v>
      </c>
      <c r="E20" s="114">
        <v>0</v>
      </c>
      <c r="F20" s="113">
        <v>0</v>
      </c>
      <c r="G20" s="114">
        <v>0</v>
      </c>
      <c r="H20" s="113">
        <v>0</v>
      </c>
      <c r="I20" s="114">
        <v>0</v>
      </c>
      <c r="J20" s="113">
        <v>0</v>
      </c>
      <c r="K20" s="114">
        <v>0</v>
      </c>
      <c r="L20" s="113">
        <v>0</v>
      </c>
      <c r="M20" s="114">
        <v>0</v>
      </c>
      <c r="N20" s="113">
        <v>0</v>
      </c>
      <c r="O20" s="114">
        <v>0</v>
      </c>
      <c r="P20" s="113">
        <v>0</v>
      </c>
      <c r="Q20" s="114">
        <v>0</v>
      </c>
      <c r="R20" s="113">
        <v>0</v>
      </c>
      <c r="S20" s="114">
        <v>0</v>
      </c>
      <c r="T20" s="113">
        <v>0</v>
      </c>
      <c r="U20" s="115">
        <v>0</v>
      </c>
      <c r="V20" t="e">
        <f>VLOOKUP(A20,Projetos_Ciclo!$H$3:$H$124,1,FALSE)</f>
        <v>#N/A</v>
      </c>
    </row>
    <row r="21" spans="1:22" x14ac:dyDescent="0.25">
      <c r="A21" s="14" t="s">
        <v>1135</v>
      </c>
      <c r="B21" s="116" t="s">
        <v>1136</v>
      </c>
      <c r="C21" s="116" t="s">
        <v>57</v>
      </c>
      <c r="D21" s="117">
        <v>0</v>
      </c>
      <c r="E21" s="120">
        <v>0</v>
      </c>
      <c r="F21" s="117">
        <v>0</v>
      </c>
      <c r="G21" s="120">
        <v>0</v>
      </c>
      <c r="H21" s="117">
        <v>0</v>
      </c>
      <c r="I21" s="120">
        <v>0</v>
      </c>
      <c r="J21" s="117">
        <v>0</v>
      </c>
      <c r="K21" s="120">
        <v>0</v>
      </c>
      <c r="L21" s="117">
        <v>0</v>
      </c>
      <c r="M21" s="120">
        <v>0</v>
      </c>
      <c r="N21" s="117">
        <v>0</v>
      </c>
      <c r="O21" s="120">
        <v>0</v>
      </c>
      <c r="P21" s="117">
        <v>0</v>
      </c>
      <c r="Q21" s="120">
        <v>0</v>
      </c>
      <c r="R21" s="117">
        <v>0</v>
      </c>
      <c r="S21" s="120">
        <v>0</v>
      </c>
      <c r="T21" s="117">
        <v>0</v>
      </c>
      <c r="U21" s="119">
        <v>0</v>
      </c>
      <c r="V21" t="e">
        <f>VLOOKUP(A21,Projetos_Ciclo!$H$3:$H$124,1,FALSE)</f>
        <v>#N/A</v>
      </c>
    </row>
    <row r="22" spans="1:22" x14ac:dyDescent="0.25">
      <c r="A22" s="111" t="s">
        <v>520</v>
      </c>
      <c r="B22" s="112" t="s">
        <v>1137</v>
      </c>
      <c r="C22" s="112" t="s">
        <v>57</v>
      </c>
      <c r="D22" s="113">
        <v>896</v>
      </c>
      <c r="E22" s="114">
        <v>0</v>
      </c>
      <c r="F22" s="113">
        <v>0</v>
      </c>
      <c r="G22" s="114">
        <v>0</v>
      </c>
      <c r="H22" s="113">
        <v>0</v>
      </c>
      <c r="I22" s="114">
        <v>0</v>
      </c>
      <c r="J22" s="113">
        <v>0</v>
      </c>
      <c r="K22" s="114">
        <v>0</v>
      </c>
      <c r="L22" s="113">
        <v>0</v>
      </c>
      <c r="M22" s="114">
        <v>0</v>
      </c>
      <c r="N22" s="113">
        <v>351.5</v>
      </c>
      <c r="O22" s="114">
        <v>214.5</v>
      </c>
      <c r="P22" s="113">
        <v>51.5</v>
      </c>
      <c r="Q22" s="114">
        <v>278.5</v>
      </c>
      <c r="R22" s="113">
        <v>0</v>
      </c>
      <c r="S22" s="114">
        <v>0</v>
      </c>
      <c r="T22" s="113">
        <v>0</v>
      </c>
      <c r="U22" s="115">
        <v>0</v>
      </c>
      <c r="V22" t="str">
        <f>VLOOKUP(A22,Projetos_Ciclo!$H$3:$H$124,1,FALSE)</f>
        <v>NA</v>
      </c>
    </row>
    <row r="23" spans="1:22" x14ac:dyDescent="0.25">
      <c r="A23" s="14" t="s">
        <v>1138</v>
      </c>
      <c r="B23" s="116" t="s">
        <v>1139</v>
      </c>
      <c r="C23" s="116" t="s">
        <v>57</v>
      </c>
      <c r="D23" s="117">
        <v>0</v>
      </c>
      <c r="E23" s="120">
        <v>0</v>
      </c>
      <c r="F23" s="117">
        <v>0</v>
      </c>
      <c r="G23" s="120">
        <v>0</v>
      </c>
      <c r="H23" s="117">
        <v>0</v>
      </c>
      <c r="I23" s="120">
        <v>0</v>
      </c>
      <c r="J23" s="117">
        <v>0</v>
      </c>
      <c r="K23" s="120">
        <v>0</v>
      </c>
      <c r="L23" s="117">
        <v>0</v>
      </c>
      <c r="M23" s="120">
        <v>0</v>
      </c>
      <c r="N23" s="117">
        <v>0</v>
      </c>
      <c r="O23" s="120">
        <v>0</v>
      </c>
      <c r="P23" s="117">
        <v>0</v>
      </c>
      <c r="Q23" s="120">
        <v>0</v>
      </c>
      <c r="R23" s="117">
        <v>0</v>
      </c>
      <c r="S23" s="120">
        <v>0</v>
      </c>
      <c r="T23" s="117">
        <v>0</v>
      </c>
      <c r="U23" s="119">
        <v>0</v>
      </c>
      <c r="V23" t="e">
        <f>VLOOKUP(A23,Projetos_Ciclo!$H$3:$H$124,1,FALSE)</f>
        <v>#N/A</v>
      </c>
    </row>
    <row r="24" spans="1:22" x14ac:dyDescent="0.25">
      <c r="A24" s="111" t="s">
        <v>1407</v>
      </c>
      <c r="B24" s="112" t="s">
        <v>1408</v>
      </c>
      <c r="C24" s="112" t="s">
        <v>1409</v>
      </c>
      <c r="D24" s="113">
        <v>0</v>
      </c>
      <c r="E24" s="114">
        <v>0</v>
      </c>
      <c r="F24" s="113">
        <v>0</v>
      </c>
      <c r="G24" s="114">
        <v>59</v>
      </c>
      <c r="H24" s="113">
        <v>0</v>
      </c>
      <c r="I24" s="114">
        <v>0</v>
      </c>
      <c r="J24" s="113">
        <v>0</v>
      </c>
      <c r="K24" s="114">
        <v>0</v>
      </c>
      <c r="L24" s="113">
        <v>0</v>
      </c>
      <c r="M24" s="114">
        <v>0</v>
      </c>
      <c r="N24" s="113">
        <v>0</v>
      </c>
      <c r="O24" s="114">
        <v>0</v>
      </c>
      <c r="P24" s="113">
        <v>0</v>
      </c>
      <c r="Q24" s="114">
        <v>0</v>
      </c>
      <c r="R24" s="113">
        <v>0</v>
      </c>
      <c r="S24" s="114">
        <v>0</v>
      </c>
      <c r="T24" s="113">
        <v>0</v>
      </c>
      <c r="U24" s="115">
        <v>0</v>
      </c>
      <c r="V24" t="e">
        <f>VLOOKUP(A24,Projetos_Ciclo!$H$3:$H$124,1,FALSE)</f>
        <v>#N/A</v>
      </c>
    </row>
    <row r="25" spans="1:22" x14ac:dyDescent="0.25">
      <c r="A25" s="14" t="s">
        <v>1145</v>
      </c>
      <c r="B25" s="116" t="s">
        <v>1146</v>
      </c>
      <c r="C25" s="116" t="s">
        <v>1147</v>
      </c>
      <c r="D25" s="117">
        <v>59</v>
      </c>
      <c r="E25" s="120">
        <v>0</v>
      </c>
      <c r="F25" s="117">
        <v>59</v>
      </c>
      <c r="G25" s="120">
        <v>0</v>
      </c>
      <c r="H25" s="117">
        <v>0</v>
      </c>
      <c r="I25" s="120">
        <v>0</v>
      </c>
      <c r="J25" s="117">
        <v>0</v>
      </c>
      <c r="K25" s="120">
        <v>0</v>
      </c>
      <c r="L25" s="117">
        <v>0</v>
      </c>
      <c r="M25" s="120">
        <v>0</v>
      </c>
      <c r="N25" s="117">
        <v>0</v>
      </c>
      <c r="O25" s="120">
        <v>0</v>
      </c>
      <c r="P25" s="117">
        <v>0</v>
      </c>
      <c r="Q25" s="120">
        <v>0</v>
      </c>
      <c r="R25" s="117">
        <v>0</v>
      </c>
      <c r="S25" s="120">
        <v>0</v>
      </c>
      <c r="T25" s="117">
        <v>0</v>
      </c>
      <c r="U25" s="119">
        <v>0</v>
      </c>
      <c r="V25" t="e">
        <f>VLOOKUP(A25,Projetos_Ciclo!$H$3:$H$124,1,FALSE)</f>
        <v>#N/A</v>
      </c>
    </row>
    <row r="26" spans="1:22" x14ac:dyDescent="0.25">
      <c r="A26" s="111" t="s">
        <v>1133</v>
      </c>
      <c r="B26" s="112" t="s">
        <v>1148</v>
      </c>
      <c r="C26" s="112" t="s">
        <v>57</v>
      </c>
      <c r="D26" s="113">
        <v>0</v>
      </c>
      <c r="E26" s="114">
        <v>0</v>
      </c>
      <c r="F26" s="113">
        <v>0</v>
      </c>
      <c r="G26" s="114">
        <v>0</v>
      </c>
      <c r="H26" s="113">
        <v>0</v>
      </c>
      <c r="I26" s="114">
        <v>0</v>
      </c>
      <c r="J26" s="113">
        <v>0</v>
      </c>
      <c r="K26" s="114">
        <v>0</v>
      </c>
      <c r="L26" s="113">
        <v>0</v>
      </c>
      <c r="M26" s="114">
        <v>0</v>
      </c>
      <c r="N26" s="113">
        <v>0</v>
      </c>
      <c r="O26" s="114">
        <v>0</v>
      </c>
      <c r="P26" s="113">
        <v>0</v>
      </c>
      <c r="Q26" s="114">
        <v>0</v>
      </c>
      <c r="R26" s="113">
        <v>0</v>
      </c>
      <c r="S26" s="114">
        <v>0</v>
      </c>
      <c r="T26" s="113">
        <v>0</v>
      </c>
      <c r="U26" s="115">
        <v>0</v>
      </c>
      <c r="V26" t="e">
        <f>VLOOKUP(A26,Projetos_Ciclo!$H$3:$H$124,1,FALSE)</f>
        <v>#N/A</v>
      </c>
    </row>
    <row r="27" spans="1:22" x14ac:dyDescent="0.25">
      <c r="A27" s="14" t="s">
        <v>1135</v>
      </c>
      <c r="B27" s="116" t="s">
        <v>1136</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c r="V27" t="e">
        <f>VLOOKUP(A27,Projetos_Ciclo!$H$3:$H$124,1,FALSE)</f>
        <v>#N/A</v>
      </c>
    </row>
    <row r="28" spans="1:22" x14ac:dyDescent="0.25">
      <c r="A28" s="111" t="s">
        <v>520</v>
      </c>
      <c r="B28" s="112" t="s">
        <v>1137</v>
      </c>
      <c r="C28" s="112" t="s">
        <v>57</v>
      </c>
      <c r="D28" s="113">
        <v>4234</v>
      </c>
      <c r="E28" s="114">
        <v>0</v>
      </c>
      <c r="F28" s="113">
        <v>0</v>
      </c>
      <c r="G28" s="114">
        <v>0</v>
      </c>
      <c r="H28" s="113">
        <v>0</v>
      </c>
      <c r="I28" s="114">
        <v>0</v>
      </c>
      <c r="J28" s="113">
        <v>0</v>
      </c>
      <c r="K28" s="114">
        <v>0</v>
      </c>
      <c r="L28" s="113">
        <v>0</v>
      </c>
      <c r="M28" s="114">
        <v>0</v>
      </c>
      <c r="N28" s="113">
        <v>1138</v>
      </c>
      <c r="O28" s="114">
        <v>1210</v>
      </c>
      <c r="P28" s="113">
        <v>1123</v>
      </c>
      <c r="Q28" s="114">
        <v>763</v>
      </c>
      <c r="R28" s="113">
        <v>0</v>
      </c>
      <c r="S28" s="114">
        <v>0</v>
      </c>
      <c r="T28" s="113">
        <v>0</v>
      </c>
      <c r="U28" s="115">
        <v>0</v>
      </c>
      <c r="V28" t="str">
        <f>VLOOKUP(A28,Projetos_Ciclo!$H$3:$H$124,1,FALSE)</f>
        <v>NA</v>
      </c>
    </row>
    <row r="29" spans="1:22" x14ac:dyDescent="0.25">
      <c r="A29" s="14" t="s">
        <v>1138</v>
      </c>
      <c r="B29" s="116" t="s">
        <v>1139</v>
      </c>
      <c r="C29" s="116" t="s">
        <v>57</v>
      </c>
      <c r="D29" s="117">
        <v>0</v>
      </c>
      <c r="E29" s="120">
        <v>0</v>
      </c>
      <c r="F29" s="117">
        <v>0</v>
      </c>
      <c r="G29" s="120">
        <v>0</v>
      </c>
      <c r="H29" s="117">
        <v>0</v>
      </c>
      <c r="I29" s="120">
        <v>0</v>
      </c>
      <c r="J29" s="117">
        <v>0</v>
      </c>
      <c r="K29" s="120">
        <v>0</v>
      </c>
      <c r="L29" s="117">
        <v>0</v>
      </c>
      <c r="M29" s="120">
        <v>0</v>
      </c>
      <c r="N29" s="117">
        <v>0</v>
      </c>
      <c r="O29" s="120">
        <v>0</v>
      </c>
      <c r="P29" s="117">
        <v>0</v>
      </c>
      <c r="Q29" s="120">
        <v>0</v>
      </c>
      <c r="R29" s="117">
        <v>0</v>
      </c>
      <c r="S29" s="120">
        <v>0</v>
      </c>
      <c r="T29" s="117">
        <v>0</v>
      </c>
      <c r="U29" s="119">
        <v>0</v>
      </c>
      <c r="V29" t="e">
        <f>VLOOKUP(A29,Projetos_Ciclo!$H$3:$H$124,1,FALSE)</f>
        <v>#N/A</v>
      </c>
    </row>
    <row r="30" spans="1:22" x14ac:dyDescent="0.25">
      <c r="A30" s="111" t="s">
        <v>1058</v>
      </c>
      <c r="B30" s="112" t="s">
        <v>1149</v>
      </c>
      <c r="C30" s="112" t="s">
        <v>1150</v>
      </c>
      <c r="D30" s="113">
        <v>0</v>
      </c>
      <c r="E30" s="114">
        <v>0</v>
      </c>
      <c r="F30" s="113">
        <v>0</v>
      </c>
      <c r="G30" s="114">
        <v>119</v>
      </c>
      <c r="H30" s="113">
        <v>0</v>
      </c>
      <c r="I30" s="114">
        <v>119.11103057861328</v>
      </c>
      <c r="J30" s="113">
        <v>0</v>
      </c>
      <c r="K30" s="114">
        <v>119.11103057861328</v>
      </c>
      <c r="L30" s="113">
        <v>0</v>
      </c>
      <c r="M30" s="114">
        <v>119.11103057861328</v>
      </c>
      <c r="N30" s="113">
        <v>0</v>
      </c>
      <c r="O30" s="114">
        <v>0</v>
      </c>
      <c r="P30" s="113">
        <v>0</v>
      </c>
      <c r="Q30" s="114">
        <v>0</v>
      </c>
      <c r="R30" s="113">
        <v>0</v>
      </c>
      <c r="S30" s="114">
        <v>0</v>
      </c>
      <c r="T30" s="113">
        <v>0</v>
      </c>
      <c r="U30" s="115">
        <v>0</v>
      </c>
      <c r="V30" t="e">
        <f>VLOOKUP(A30,Projetos_Ciclo!$H$3:$H$124,1,FALSE)</f>
        <v>#N/A</v>
      </c>
    </row>
    <row r="31" spans="1:22" x14ac:dyDescent="0.25">
      <c r="A31" s="14" t="s">
        <v>744</v>
      </c>
      <c r="B31" s="116" t="s">
        <v>378</v>
      </c>
      <c r="C31" s="116" t="s">
        <v>1151</v>
      </c>
      <c r="D31" s="117">
        <v>0</v>
      </c>
      <c r="E31" s="120">
        <v>0</v>
      </c>
      <c r="F31" s="117">
        <v>0</v>
      </c>
      <c r="G31" s="120">
        <v>490</v>
      </c>
      <c r="H31" s="117">
        <v>0</v>
      </c>
      <c r="I31" s="120">
        <v>48.300398826599121</v>
      </c>
      <c r="J31" s="117">
        <v>0</v>
      </c>
      <c r="K31" s="120">
        <v>48.300398826599121</v>
      </c>
      <c r="L31" s="117">
        <v>435.47285461425781</v>
      </c>
      <c r="M31" s="120">
        <v>483.77325344085693</v>
      </c>
      <c r="N31" s="117">
        <v>0</v>
      </c>
      <c r="O31" s="120">
        <v>0</v>
      </c>
      <c r="P31" s="117">
        <v>0</v>
      </c>
      <c r="Q31" s="120">
        <v>0</v>
      </c>
      <c r="R31" s="117">
        <v>0</v>
      </c>
      <c r="S31" s="120">
        <v>0</v>
      </c>
      <c r="T31" s="117">
        <v>0</v>
      </c>
      <c r="U31" s="119">
        <v>0</v>
      </c>
      <c r="V31" t="e">
        <f>VLOOKUP(A31,Projetos_Ciclo!$H$3:$H$124,1,FALSE)</f>
        <v>#N/A</v>
      </c>
    </row>
    <row r="32" spans="1:22" x14ac:dyDescent="0.25">
      <c r="A32" s="111" t="s">
        <v>1152</v>
      </c>
      <c r="B32" s="112" t="s">
        <v>1149</v>
      </c>
      <c r="C32" s="112" t="s">
        <v>1153</v>
      </c>
      <c r="D32" s="113">
        <v>0</v>
      </c>
      <c r="E32" s="114">
        <v>0</v>
      </c>
      <c r="F32" s="113">
        <v>0</v>
      </c>
      <c r="G32" s="114">
        <v>115</v>
      </c>
      <c r="H32" s="113">
        <v>0</v>
      </c>
      <c r="I32" s="114">
        <v>0</v>
      </c>
      <c r="J32" s="113">
        <v>0</v>
      </c>
      <c r="K32" s="114">
        <v>0</v>
      </c>
      <c r="L32" s="113">
        <v>115.19999694824219</v>
      </c>
      <c r="M32" s="114">
        <v>115.19999694824219</v>
      </c>
      <c r="N32" s="113">
        <v>0</v>
      </c>
      <c r="O32" s="114">
        <v>0</v>
      </c>
      <c r="P32" s="113">
        <v>0</v>
      </c>
      <c r="Q32" s="114">
        <v>0</v>
      </c>
      <c r="R32" s="113">
        <v>0</v>
      </c>
      <c r="S32" s="114">
        <v>0</v>
      </c>
      <c r="T32" s="113">
        <v>0</v>
      </c>
      <c r="U32" s="115">
        <v>0</v>
      </c>
      <c r="V32" t="e">
        <f>VLOOKUP(A32,Projetos_Ciclo!$H$3:$H$124,1,FALSE)</f>
        <v>#N/A</v>
      </c>
    </row>
    <row r="33" spans="1:22" x14ac:dyDescent="0.25">
      <c r="A33" s="14" t="s">
        <v>1154</v>
      </c>
      <c r="B33" s="116" t="s">
        <v>1155</v>
      </c>
      <c r="C33" s="116" t="s">
        <v>1156</v>
      </c>
      <c r="D33" s="117">
        <v>1886</v>
      </c>
      <c r="E33" s="120">
        <v>0</v>
      </c>
      <c r="F33" s="117">
        <v>1886</v>
      </c>
      <c r="G33" s="120">
        <v>0</v>
      </c>
      <c r="H33" s="117">
        <v>217</v>
      </c>
      <c r="I33" s="120">
        <v>0</v>
      </c>
      <c r="J33" s="117">
        <v>0</v>
      </c>
      <c r="K33" s="120">
        <v>0</v>
      </c>
      <c r="L33" s="117">
        <v>0</v>
      </c>
      <c r="M33" s="120">
        <v>0</v>
      </c>
      <c r="N33" s="117">
        <v>0</v>
      </c>
      <c r="O33" s="120">
        <v>0</v>
      </c>
      <c r="P33" s="117">
        <v>0</v>
      </c>
      <c r="Q33" s="120">
        <v>0</v>
      </c>
      <c r="R33" s="117">
        <v>0</v>
      </c>
      <c r="S33" s="120">
        <v>0</v>
      </c>
      <c r="T33" s="117">
        <v>0</v>
      </c>
      <c r="U33" s="119">
        <v>0</v>
      </c>
      <c r="V33" t="e">
        <f>VLOOKUP(A33,Projetos_Ciclo!$H$3:$H$124,1,FALSE)</f>
        <v>#N/A</v>
      </c>
    </row>
    <row r="34" spans="1:22" x14ac:dyDescent="0.25">
      <c r="A34" s="111" t="s">
        <v>1410</v>
      </c>
      <c r="B34" s="112" t="s">
        <v>1411</v>
      </c>
      <c r="C34" s="112" t="s">
        <v>1412</v>
      </c>
      <c r="D34" s="113">
        <v>0</v>
      </c>
      <c r="E34" s="114">
        <v>0</v>
      </c>
      <c r="F34" s="113">
        <v>0</v>
      </c>
      <c r="G34" s="114">
        <v>27</v>
      </c>
      <c r="H34" s="113">
        <v>0</v>
      </c>
      <c r="I34" s="114">
        <v>0</v>
      </c>
      <c r="J34" s="113">
        <v>0</v>
      </c>
      <c r="K34" s="114">
        <v>0</v>
      </c>
      <c r="L34" s="113">
        <v>27.339330673217773</v>
      </c>
      <c r="M34" s="114">
        <v>27.339330673217773</v>
      </c>
      <c r="N34" s="113">
        <v>0</v>
      </c>
      <c r="O34" s="114">
        <v>0</v>
      </c>
      <c r="P34" s="113">
        <v>0</v>
      </c>
      <c r="Q34" s="114">
        <v>0</v>
      </c>
      <c r="R34" s="113">
        <v>0</v>
      </c>
      <c r="S34" s="114">
        <v>0</v>
      </c>
      <c r="T34" s="113">
        <v>0</v>
      </c>
      <c r="U34" s="115">
        <v>0</v>
      </c>
      <c r="V34" t="e">
        <f>VLOOKUP(A34,Projetos_Ciclo!$H$3:$H$124,1,FALSE)</f>
        <v>#N/A</v>
      </c>
    </row>
    <row r="35" spans="1:22" x14ac:dyDescent="0.25">
      <c r="A35" s="14" t="s">
        <v>1413</v>
      </c>
      <c r="B35" s="116" t="s">
        <v>1414</v>
      </c>
      <c r="C35" s="116" t="s">
        <v>1415</v>
      </c>
      <c r="D35" s="117">
        <v>0</v>
      </c>
      <c r="E35" s="120">
        <v>0</v>
      </c>
      <c r="F35" s="117">
        <v>0</v>
      </c>
      <c r="G35" s="120">
        <v>32</v>
      </c>
      <c r="H35" s="117">
        <v>0</v>
      </c>
      <c r="I35" s="120">
        <v>0</v>
      </c>
      <c r="J35" s="117">
        <v>0</v>
      </c>
      <c r="K35" s="120">
        <v>0</v>
      </c>
      <c r="L35" s="117">
        <v>32.383308410644531</v>
      </c>
      <c r="M35" s="120">
        <v>32.383308410644531</v>
      </c>
      <c r="N35" s="117">
        <v>0</v>
      </c>
      <c r="O35" s="120">
        <v>0</v>
      </c>
      <c r="P35" s="117">
        <v>0</v>
      </c>
      <c r="Q35" s="120">
        <v>0</v>
      </c>
      <c r="R35" s="117">
        <v>0</v>
      </c>
      <c r="S35" s="120">
        <v>0</v>
      </c>
      <c r="T35" s="117">
        <v>0</v>
      </c>
      <c r="U35" s="119">
        <v>0</v>
      </c>
      <c r="V35" t="e">
        <f>VLOOKUP(A35,Projetos_Ciclo!$H$3:$H$124,1,FALSE)</f>
        <v>#N/A</v>
      </c>
    </row>
    <row r="36" spans="1:22" x14ac:dyDescent="0.25">
      <c r="A36" s="111" t="s">
        <v>1133</v>
      </c>
      <c r="B36" s="112" t="s">
        <v>1157</v>
      </c>
      <c r="C36" s="112" t="s">
        <v>57</v>
      </c>
      <c r="D36" s="113">
        <v>0</v>
      </c>
      <c r="E36" s="114">
        <v>0</v>
      </c>
      <c r="F36" s="113">
        <v>0</v>
      </c>
      <c r="G36" s="114">
        <v>0</v>
      </c>
      <c r="H36" s="113">
        <v>0</v>
      </c>
      <c r="I36" s="114">
        <v>0</v>
      </c>
      <c r="J36" s="113">
        <v>0</v>
      </c>
      <c r="K36" s="114">
        <v>0</v>
      </c>
      <c r="L36" s="113">
        <v>0</v>
      </c>
      <c r="M36" s="114">
        <v>0</v>
      </c>
      <c r="N36" s="113">
        <v>0</v>
      </c>
      <c r="O36" s="114">
        <v>0</v>
      </c>
      <c r="P36" s="113">
        <v>0</v>
      </c>
      <c r="Q36" s="114">
        <v>0</v>
      </c>
      <c r="R36" s="113">
        <v>0</v>
      </c>
      <c r="S36" s="114">
        <v>0</v>
      </c>
      <c r="T36" s="113">
        <v>0</v>
      </c>
      <c r="U36" s="115">
        <v>0</v>
      </c>
      <c r="V36" t="e">
        <f>VLOOKUP(A36,Projetos_Ciclo!$H$3:$H$124,1,FALSE)</f>
        <v>#N/A</v>
      </c>
    </row>
    <row r="37" spans="1:22" x14ac:dyDescent="0.25">
      <c r="A37" s="14" t="s">
        <v>1135</v>
      </c>
      <c r="B37" s="116" t="s">
        <v>1136</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c r="V37" t="e">
        <f>VLOOKUP(A37,Projetos_Ciclo!$H$3:$H$124,1,FALSE)</f>
        <v>#N/A</v>
      </c>
    </row>
    <row r="38" spans="1:22" x14ac:dyDescent="0.25">
      <c r="A38" s="111" t="s">
        <v>1386</v>
      </c>
      <c r="B38" s="112" t="s">
        <v>1387</v>
      </c>
      <c r="C38" s="112" t="s">
        <v>1388</v>
      </c>
      <c r="D38" s="113">
        <v>103</v>
      </c>
      <c r="E38" s="114">
        <v>0</v>
      </c>
      <c r="F38" s="113">
        <v>103</v>
      </c>
      <c r="G38" s="114">
        <v>0</v>
      </c>
      <c r="H38" s="113">
        <v>0</v>
      </c>
      <c r="I38" s="114">
        <v>0</v>
      </c>
      <c r="J38" s="113">
        <v>0</v>
      </c>
      <c r="K38" s="114">
        <v>0</v>
      </c>
      <c r="L38" s="113">
        <v>0</v>
      </c>
      <c r="M38" s="114">
        <v>0</v>
      </c>
      <c r="N38" s="113">
        <v>0</v>
      </c>
      <c r="O38" s="114">
        <v>0</v>
      </c>
      <c r="P38" s="113">
        <v>0</v>
      </c>
      <c r="Q38" s="114">
        <v>0</v>
      </c>
      <c r="R38" s="113">
        <v>0</v>
      </c>
      <c r="S38" s="114">
        <v>0</v>
      </c>
      <c r="T38" s="113">
        <v>0</v>
      </c>
      <c r="U38" s="115">
        <v>0</v>
      </c>
      <c r="V38" t="e">
        <f>VLOOKUP(A38,Projetos_Ciclo!$H$3:$H$124,1,FALSE)</f>
        <v>#N/A</v>
      </c>
    </row>
    <row r="39" spans="1:22" x14ac:dyDescent="0.25">
      <c r="A39" s="14" t="s">
        <v>520</v>
      </c>
      <c r="B39" s="116" t="s">
        <v>1137</v>
      </c>
      <c r="C39" s="116" t="s">
        <v>57</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c r="V39" t="str">
        <f>VLOOKUP(A39,Projetos_Ciclo!$H$3:$H$124,1,FALSE)</f>
        <v>NA</v>
      </c>
    </row>
    <row r="40" spans="1:22" x14ac:dyDescent="0.25">
      <c r="A40" s="111" t="s">
        <v>1138</v>
      </c>
      <c r="B40" s="112" t="s">
        <v>1139</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c r="V40" t="e">
        <f>VLOOKUP(A40,Projetos_Ciclo!$H$3:$H$124,1,FALSE)</f>
        <v>#N/A</v>
      </c>
    </row>
    <row r="41" spans="1:22" x14ac:dyDescent="0.25">
      <c r="A41" s="14" t="s">
        <v>1133</v>
      </c>
      <c r="B41" s="116" t="s">
        <v>1158</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c r="V41" t="e">
        <f>VLOOKUP(A41,Projetos_Ciclo!$H$3:$H$124,1,FALSE)</f>
        <v>#N/A</v>
      </c>
    </row>
    <row r="42" spans="1:22" x14ac:dyDescent="0.25">
      <c r="A42" s="111" t="s">
        <v>1135</v>
      </c>
      <c r="B42" s="112" t="s">
        <v>1136</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c r="V42" t="e">
        <f>VLOOKUP(A42,Projetos_Ciclo!$H$3:$H$124,1,FALSE)</f>
        <v>#N/A</v>
      </c>
    </row>
    <row r="43" spans="1:22" x14ac:dyDescent="0.25">
      <c r="A43" s="14" t="s">
        <v>1389</v>
      </c>
      <c r="B43" s="116" t="s">
        <v>1390</v>
      </c>
      <c r="C43" s="116" t="s">
        <v>1391</v>
      </c>
      <c r="D43" s="117">
        <v>518</v>
      </c>
      <c r="E43" s="120">
        <v>0</v>
      </c>
      <c r="F43" s="117">
        <v>518</v>
      </c>
      <c r="G43" s="120">
        <v>0</v>
      </c>
      <c r="H43" s="117">
        <v>10</v>
      </c>
      <c r="I43" s="120">
        <v>0</v>
      </c>
      <c r="J43" s="117">
        <v>0</v>
      </c>
      <c r="K43" s="120">
        <v>0</v>
      </c>
      <c r="L43" s="117">
        <v>0</v>
      </c>
      <c r="M43" s="120">
        <v>0</v>
      </c>
      <c r="N43" s="117">
        <v>0</v>
      </c>
      <c r="O43" s="120">
        <v>0</v>
      </c>
      <c r="P43" s="117">
        <v>0</v>
      </c>
      <c r="Q43" s="120">
        <v>0</v>
      </c>
      <c r="R43" s="117">
        <v>0</v>
      </c>
      <c r="S43" s="120">
        <v>0</v>
      </c>
      <c r="T43" s="117">
        <v>0</v>
      </c>
      <c r="U43" s="119">
        <v>0</v>
      </c>
      <c r="V43" t="e">
        <f>VLOOKUP(A43,Projetos_Ciclo!$H$3:$H$124,1,FALSE)</f>
        <v>#N/A</v>
      </c>
    </row>
    <row r="44" spans="1:22" x14ac:dyDescent="0.25">
      <c r="A44" s="111" t="s">
        <v>1162</v>
      </c>
      <c r="B44" s="112" t="s">
        <v>1163</v>
      </c>
      <c r="C44" s="112" t="s">
        <v>1164</v>
      </c>
      <c r="D44" s="113">
        <v>0</v>
      </c>
      <c r="E44" s="114">
        <v>0</v>
      </c>
      <c r="F44" s="113">
        <v>0</v>
      </c>
      <c r="G44" s="114">
        <v>171</v>
      </c>
      <c r="H44" s="113">
        <v>0</v>
      </c>
      <c r="I44" s="114">
        <v>0</v>
      </c>
      <c r="J44" s="113">
        <v>0</v>
      </c>
      <c r="K44" s="114">
        <v>0</v>
      </c>
      <c r="L44" s="113">
        <v>77.594230175018311</v>
      </c>
      <c r="M44" s="114">
        <v>77.594230175018311</v>
      </c>
      <c r="N44" s="113">
        <v>0</v>
      </c>
      <c r="O44" s="114">
        <v>0</v>
      </c>
      <c r="P44" s="113">
        <v>0</v>
      </c>
      <c r="Q44" s="114">
        <v>0</v>
      </c>
      <c r="R44" s="113">
        <v>0</v>
      </c>
      <c r="S44" s="114">
        <v>0</v>
      </c>
      <c r="T44" s="113">
        <v>0</v>
      </c>
      <c r="U44" s="115">
        <v>0</v>
      </c>
      <c r="V44" t="str">
        <f>VLOOKUP(A44,Projetos_Ciclo!$H$3:$H$124,1,FALSE)</f>
        <v>MG00318</v>
      </c>
    </row>
    <row r="45" spans="1:22" x14ac:dyDescent="0.25">
      <c r="A45" s="14" t="s">
        <v>520</v>
      </c>
      <c r="B45" s="116" t="s">
        <v>1168</v>
      </c>
      <c r="C45" s="116" t="s">
        <v>57</v>
      </c>
      <c r="D45" s="117">
        <v>1783</v>
      </c>
      <c r="E45" s="120">
        <v>0</v>
      </c>
      <c r="F45" s="117">
        <v>0</v>
      </c>
      <c r="G45" s="120">
        <v>0</v>
      </c>
      <c r="H45" s="117">
        <v>0</v>
      </c>
      <c r="I45" s="120">
        <v>0</v>
      </c>
      <c r="J45" s="117">
        <v>0</v>
      </c>
      <c r="K45" s="120">
        <v>0</v>
      </c>
      <c r="L45" s="117">
        <v>0</v>
      </c>
      <c r="M45" s="120">
        <v>0</v>
      </c>
      <c r="N45" s="117">
        <v>486</v>
      </c>
      <c r="O45" s="120">
        <v>602</v>
      </c>
      <c r="P45" s="117">
        <v>498</v>
      </c>
      <c r="Q45" s="120">
        <v>197</v>
      </c>
      <c r="R45" s="117">
        <v>0</v>
      </c>
      <c r="S45" s="120">
        <v>0</v>
      </c>
      <c r="T45" s="117">
        <v>0</v>
      </c>
      <c r="U45" s="119">
        <v>0</v>
      </c>
      <c r="V45" t="str">
        <f>VLOOKUP(A45,Projetos_Ciclo!$H$3:$H$124,1,FALSE)</f>
        <v>NA</v>
      </c>
    </row>
    <row r="46" spans="1:22" x14ac:dyDescent="0.25">
      <c r="A46" s="111" t="s">
        <v>1169</v>
      </c>
      <c r="B46" s="112" t="s">
        <v>1170</v>
      </c>
      <c r="C46" s="112" t="s">
        <v>1171</v>
      </c>
      <c r="D46" s="113">
        <v>0</v>
      </c>
      <c r="E46" s="114">
        <v>0</v>
      </c>
      <c r="F46" s="113">
        <v>0</v>
      </c>
      <c r="G46" s="114">
        <v>74</v>
      </c>
      <c r="H46" s="113">
        <v>0</v>
      </c>
      <c r="I46" s="114">
        <v>0</v>
      </c>
      <c r="J46" s="113">
        <v>0</v>
      </c>
      <c r="K46" s="114">
        <v>0</v>
      </c>
      <c r="L46" s="113">
        <v>30.149999618530273</v>
      </c>
      <c r="M46" s="114">
        <v>30.149999618530273</v>
      </c>
      <c r="N46" s="113">
        <v>0</v>
      </c>
      <c r="O46" s="114">
        <v>0</v>
      </c>
      <c r="P46" s="113">
        <v>0</v>
      </c>
      <c r="Q46" s="114">
        <v>0</v>
      </c>
      <c r="R46" s="113">
        <v>0</v>
      </c>
      <c r="S46" s="114">
        <v>0</v>
      </c>
      <c r="T46" s="113">
        <v>0</v>
      </c>
      <c r="U46" s="115">
        <v>0</v>
      </c>
      <c r="V46" t="str">
        <f>VLOOKUP(A46,Projetos_Ciclo!$H$3:$H$124,1,FALSE)</f>
        <v>PO00117</v>
      </c>
    </row>
    <row r="47" spans="1:22" x14ac:dyDescent="0.25">
      <c r="A47" s="14" t="s">
        <v>1172</v>
      </c>
      <c r="B47" s="116" t="s">
        <v>1173</v>
      </c>
      <c r="C47" s="116" t="s">
        <v>1174</v>
      </c>
      <c r="D47" s="117">
        <v>0</v>
      </c>
      <c r="E47" s="120">
        <v>0</v>
      </c>
      <c r="F47" s="117">
        <v>0</v>
      </c>
      <c r="G47" s="120">
        <v>270</v>
      </c>
      <c r="H47" s="117">
        <v>0</v>
      </c>
      <c r="I47" s="120">
        <v>9.8500003814697266</v>
      </c>
      <c r="J47" s="117">
        <v>0</v>
      </c>
      <c r="K47" s="120">
        <v>9.8500003814697266</v>
      </c>
      <c r="L47" s="117">
        <v>158.32196044921875</v>
      </c>
      <c r="M47" s="120">
        <v>168.17196083068848</v>
      </c>
      <c r="N47" s="117">
        <v>0</v>
      </c>
      <c r="O47" s="120">
        <v>0</v>
      </c>
      <c r="P47" s="117">
        <v>0</v>
      </c>
      <c r="Q47" s="120">
        <v>0</v>
      </c>
      <c r="R47" s="117">
        <v>0</v>
      </c>
      <c r="S47" s="120">
        <v>0</v>
      </c>
      <c r="T47" s="117">
        <v>0</v>
      </c>
      <c r="U47" s="119">
        <v>0</v>
      </c>
      <c r="V47" t="str">
        <f>VLOOKUP(A47,Projetos_Ciclo!$H$3:$H$124,1,FALSE)</f>
        <v>PO00118</v>
      </c>
    </row>
    <row r="48" spans="1:22" x14ac:dyDescent="0.25">
      <c r="A48" s="111" t="s">
        <v>1138</v>
      </c>
      <c r="B48" s="112" t="s">
        <v>1139</v>
      </c>
      <c r="C48" s="112" t="s">
        <v>57</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c r="V48" t="e">
        <f>VLOOKUP(A48,Projetos_Ciclo!$H$3:$H$124,1,FALSE)</f>
        <v>#N/A</v>
      </c>
    </row>
    <row r="49" spans="1:22" x14ac:dyDescent="0.25">
      <c r="A49" s="14" t="s">
        <v>1133</v>
      </c>
      <c r="B49" s="116" t="s">
        <v>1134</v>
      </c>
      <c r="C49" s="116" t="s">
        <v>57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c r="V49" t="e">
        <f>VLOOKUP(A49,Projetos_Ciclo!$H$3:$H$124,1,FALSE)</f>
        <v>#N/A</v>
      </c>
    </row>
    <row r="50" spans="1:22" x14ac:dyDescent="0.25">
      <c r="A50" s="111" t="s">
        <v>1135</v>
      </c>
      <c r="B50" s="112" t="s">
        <v>1136</v>
      </c>
      <c r="C50" s="112" t="s">
        <v>57</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c r="V50" t="e">
        <f>VLOOKUP(A50,Projetos_Ciclo!$H$3:$H$124,1,FALSE)</f>
        <v>#N/A</v>
      </c>
    </row>
    <row r="51" spans="1:22" x14ac:dyDescent="0.25">
      <c r="A51" s="14" t="s">
        <v>1392</v>
      </c>
      <c r="B51" s="116" t="s">
        <v>1393</v>
      </c>
      <c r="C51" s="116" t="s">
        <v>1394</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c r="V51" t="e">
        <f>VLOOKUP(A51,Projetos_Ciclo!$H$3:$H$124,1,FALSE)</f>
        <v>#N/A</v>
      </c>
    </row>
    <row r="52" spans="1:22" x14ac:dyDescent="0.25">
      <c r="A52" s="111" t="s">
        <v>520</v>
      </c>
      <c r="B52" s="112" t="s">
        <v>1137</v>
      </c>
      <c r="C52" s="112" t="s">
        <v>57</v>
      </c>
      <c r="D52" s="113">
        <v>1911</v>
      </c>
      <c r="E52" s="114">
        <v>0</v>
      </c>
      <c r="F52" s="113">
        <v>0</v>
      </c>
      <c r="G52" s="114">
        <v>0</v>
      </c>
      <c r="H52" s="113">
        <v>0</v>
      </c>
      <c r="I52" s="114">
        <v>0</v>
      </c>
      <c r="J52" s="113">
        <v>0</v>
      </c>
      <c r="K52" s="114">
        <v>0</v>
      </c>
      <c r="L52" s="113">
        <v>0</v>
      </c>
      <c r="M52" s="114">
        <v>0</v>
      </c>
      <c r="N52" s="113">
        <v>430</v>
      </c>
      <c r="O52" s="114">
        <v>204</v>
      </c>
      <c r="P52" s="113">
        <v>1251</v>
      </c>
      <c r="Q52" s="114">
        <v>26</v>
      </c>
      <c r="R52" s="113">
        <v>0</v>
      </c>
      <c r="S52" s="114">
        <v>0</v>
      </c>
      <c r="T52" s="113">
        <v>0</v>
      </c>
      <c r="U52" s="115">
        <v>0</v>
      </c>
      <c r="V52" t="str">
        <f>VLOOKUP(A52,Projetos_Ciclo!$H$3:$H$124,1,FALSE)</f>
        <v>NA</v>
      </c>
    </row>
    <row r="53" spans="1:22" x14ac:dyDescent="0.25">
      <c r="A53" s="14" t="s">
        <v>1138</v>
      </c>
      <c r="B53" s="116" t="s">
        <v>1139</v>
      </c>
      <c r="C53" s="116" t="s">
        <v>57</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c r="V53" t="e">
        <f>VLOOKUP(A53,Projetos_Ciclo!$H$3:$H$124,1,FALSE)</f>
        <v>#N/A</v>
      </c>
    </row>
    <row r="54" spans="1:22" x14ac:dyDescent="0.25">
      <c r="A54" s="111" t="s">
        <v>1175</v>
      </c>
      <c r="B54" s="112" t="s">
        <v>1176</v>
      </c>
      <c r="C54" s="112" t="s">
        <v>1177</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c r="V54" t="e">
        <f>VLOOKUP(A54,Projetos_Ciclo!$H$3:$H$124,1,FALSE)</f>
        <v>#N/A</v>
      </c>
    </row>
    <row r="55" spans="1:22" x14ac:dyDescent="0.25">
      <c r="A55" s="14" t="s">
        <v>1178</v>
      </c>
      <c r="B55" s="116" t="s">
        <v>1179</v>
      </c>
      <c r="C55" s="116" t="s">
        <v>1180</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c r="V55" t="e">
        <f>VLOOKUP(A55,Projetos_Ciclo!$H$3:$H$124,1,FALSE)</f>
        <v>#N/A</v>
      </c>
    </row>
    <row r="56" spans="1:22" x14ac:dyDescent="0.25">
      <c r="A56" s="111" t="s">
        <v>1133</v>
      </c>
      <c r="B56" s="112" t="s">
        <v>1140</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c r="V56" t="e">
        <f>VLOOKUP(A56,Projetos_Ciclo!$H$3:$H$124,1,FALSE)</f>
        <v>#N/A</v>
      </c>
    </row>
    <row r="57" spans="1:22" x14ac:dyDescent="0.25">
      <c r="A57" s="14" t="s">
        <v>1135</v>
      </c>
      <c r="B57" s="116" t="s">
        <v>1136</v>
      </c>
      <c r="C57" s="116" t="s">
        <v>57</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c r="V57" t="e">
        <f>VLOOKUP(A57,Projetos_Ciclo!$H$3:$H$124,1,FALSE)</f>
        <v>#N/A</v>
      </c>
    </row>
    <row r="58" spans="1:22" x14ac:dyDescent="0.25">
      <c r="A58" s="111" t="s">
        <v>520</v>
      </c>
      <c r="B58" s="112" t="s">
        <v>1137</v>
      </c>
      <c r="C58" s="112" t="s">
        <v>57</v>
      </c>
      <c r="D58" s="113">
        <v>297</v>
      </c>
      <c r="E58" s="114">
        <v>0</v>
      </c>
      <c r="F58" s="113">
        <v>0</v>
      </c>
      <c r="G58" s="114">
        <v>0</v>
      </c>
      <c r="H58" s="113">
        <v>0</v>
      </c>
      <c r="I58" s="114">
        <v>0</v>
      </c>
      <c r="J58" s="113">
        <v>0</v>
      </c>
      <c r="K58" s="114">
        <v>0</v>
      </c>
      <c r="L58" s="113">
        <v>0</v>
      </c>
      <c r="M58" s="114">
        <v>0</v>
      </c>
      <c r="N58" s="113">
        <v>46</v>
      </c>
      <c r="O58" s="114">
        <v>83</v>
      </c>
      <c r="P58" s="113">
        <v>90</v>
      </c>
      <c r="Q58" s="114">
        <v>78</v>
      </c>
      <c r="R58" s="113">
        <v>0</v>
      </c>
      <c r="S58" s="114">
        <v>0</v>
      </c>
      <c r="T58" s="113">
        <v>0</v>
      </c>
      <c r="U58" s="115">
        <v>0</v>
      </c>
      <c r="V58" t="str">
        <f>VLOOKUP(A58,Projetos_Ciclo!$H$3:$H$124,1,FALSE)</f>
        <v>NA</v>
      </c>
    </row>
    <row r="59" spans="1:22" x14ac:dyDescent="0.25">
      <c r="A59" s="14" t="s">
        <v>1138</v>
      </c>
      <c r="B59" s="116" t="s">
        <v>1139</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c r="V59" t="e">
        <f>VLOOKUP(A59,Projetos_Ciclo!$H$3:$H$124,1,FALSE)</f>
        <v>#N/A</v>
      </c>
    </row>
    <row r="60" spans="1:22" x14ac:dyDescent="0.25">
      <c r="A60" s="111" t="s">
        <v>1181</v>
      </c>
      <c r="B60" s="112" t="s">
        <v>1182</v>
      </c>
      <c r="C60" s="112" t="s">
        <v>1183</v>
      </c>
      <c r="D60" s="113">
        <v>142</v>
      </c>
      <c r="E60" s="114">
        <v>0</v>
      </c>
      <c r="F60" s="113">
        <v>142</v>
      </c>
      <c r="G60" s="114">
        <v>0</v>
      </c>
      <c r="H60" s="113">
        <v>0</v>
      </c>
      <c r="I60" s="114">
        <v>0</v>
      </c>
      <c r="J60" s="113">
        <v>0</v>
      </c>
      <c r="K60" s="114">
        <v>0</v>
      </c>
      <c r="L60" s="113">
        <v>0</v>
      </c>
      <c r="M60" s="114">
        <v>0</v>
      </c>
      <c r="N60" s="113">
        <v>0</v>
      </c>
      <c r="O60" s="114">
        <v>0</v>
      </c>
      <c r="P60" s="113">
        <v>0</v>
      </c>
      <c r="Q60" s="114">
        <v>0</v>
      </c>
      <c r="R60" s="113">
        <v>0</v>
      </c>
      <c r="S60" s="114">
        <v>0</v>
      </c>
      <c r="T60" s="113">
        <v>0</v>
      </c>
      <c r="U60" s="115">
        <v>0</v>
      </c>
      <c r="V60" t="e">
        <f>VLOOKUP(A60,Projetos_Ciclo!$H$3:$H$124,1,FALSE)</f>
        <v>#N/A</v>
      </c>
    </row>
    <row r="61" spans="1:22" x14ac:dyDescent="0.25">
      <c r="A61" s="14" t="s">
        <v>1133</v>
      </c>
      <c r="B61" s="116" t="s">
        <v>1184</v>
      </c>
      <c r="C61" s="116" t="s">
        <v>57</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c r="V61" t="e">
        <f>VLOOKUP(A61,Projetos_Ciclo!$H$3:$H$124,1,FALSE)</f>
        <v>#N/A</v>
      </c>
    </row>
    <row r="62" spans="1:22" x14ac:dyDescent="0.25">
      <c r="A62" s="111" t="s">
        <v>1135</v>
      </c>
      <c r="B62" s="112" t="s">
        <v>1136</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c r="V62" t="e">
        <f>VLOOKUP(A62,Projetos_Ciclo!$H$3:$H$124,1,FALSE)</f>
        <v>#N/A</v>
      </c>
    </row>
    <row r="63" spans="1:22" x14ac:dyDescent="0.25">
      <c r="A63" s="14" t="s">
        <v>520</v>
      </c>
      <c r="B63" s="116" t="s">
        <v>1137</v>
      </c>
      <c r="C63" s="116" t="s">
        <v>57</v>
      </c>
      <c r="D63" s="117">
        <v>529</v>
      </c>
      <c r="E63" s="120">
        <v>0</v>
      </c>
      <c r="F63" s="117">
        <v>0</v>
      </c>
      <c r="G63" s="120">
        <v>0</v>
      </c>
      <c r="H63" s="117">
        <v>0</v>
      </c>
      <c r="I63" s="120">
        <v>0</v>
      </c>
      <c r="J63" s="117">
        <v>0</v>
      </c>
      <c r="K63" s="120">
        <v>0</v>
      </c>
      <c r="L63" s="117">
        <v>0</v>
      </c>
      <c r="M63" s="120">
        <v>0</v>
      </c>
      <c r="N63" s="117">
        <v>55</v>
      </c>
      <c r="O63" s="120">
        <v>209</v>
      </c>
      <c r="P63" s="117">
        <v>55</v>
      </c>
      <c r="Q63" s="120">
        <v>210</v>
      </c>
      <c r="R63" s="117">
        <v>0</v>
      </c>
      <c r="S63" s="120">
        <v>0</v>
      </c>
      <c r="T63" s="117">
        <v>0</v>
      </c>
      <c r="U63" s="119">
        <v>0</v>
      </c>
      <c r="V63" t="str">
        <f>VLOOKUP(A63,Projetos_Ciclo!$H$3:$H$124,1,FALSE)</f>
        <v>NA</v>
      </c>
    </row>
    <row r="64" spans="1:22" x14ac:dyDescent="0.25">
      <c r="A64" s="111" t="s">
        <v>1138</v>
      </c>
      <c r="B64" s="112" t="s">
        <v>1139</v>
      </c>
      <c r="C64" s="112" t="s">
        <v>57</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c r="V64" t="e">
        <f>VLOOKUP(A64,Projetos_Ciclo!$H$3:$H$124,1,FALSE)</f>
        <v>#N/A</v>
      </c>
    </row>
    <row r="65" spans="1:22" x14ac:dyDescent="0.25">
      <c r="A65" s="14" t="s">
        <v>1185</v>
      </c>
      <c r="B65" s="116" t="s">
        <v>1186</v>
      </c>
      <c r="C65" s="116" t="s">
        <v>1187</v>
      </c>
      <c r="D65" s="117">
        <v>415</v>
      </c>
      <c r="E65" s="120">
        <v>0</v>
      </c>
      <c r="F65" s="117">
        <v>415</v>
      </c>
      <c r="G65" s="120">
        <v>0</v>
      </c>
      <c r="H65" s="117">
        <v>0</v>
      </c>
      <c r="I65" s="120">
        <v>0</v>
      </c>
      <c r="J65" s="117">
        <v>0</v>
      </c>
      <c r="K65" s="120">
        <v>0</v>
      </c>
      <c r="L65" s="117">
        <v>0</v>
      </c>
      <c r="M65" s="120">
        <v>0</v>
      </c>
      <c r="N65" s="117">
        <v>0</v>
      </c>
      <c r="O65" s="120">
        <v>0</v>
      </c>
      <c r="P65" s="117">
        <v>0</v>
      </c>
      <c r="Q65" s="120">
        <v>0</v>
      </c>
      <c r="R65" s="117">
        <v>0</v>
      </c>
      <c r="S65" s="120">
        <v>0</v>
      </c>
      <c r="T65" s="117">
        <v>0</v>
      </c>
      <c r="U65" s="119">
        <v>0</v>
      </c>
      <c r="V65" t="e">
        <f>VLOOKUP(A65,Projetos_Ciclo!$H$3:$H$124,1,FALSE)</f>
        <v>#N/A</v>
      </c>
    </row>
    <row r="66" spans="1:22" x14ac:dyDescent="0.25">
      <c r="A66" s="111" t="s">
        <v>1416</v>
      </c>
      <c r="B66" s="112" t="s">
        <v>1402</v>
      </c>
      <c r="C66" s="112" t="s">
        <v>1417</v>
      </c>
      <c r="D66" s="113">
        <v>0</v>
      </c>
      <c r="E66" s="114">
        <v>0</v>
      </c>
      <c r="F66" s="113">
        <v>0</v>
      </c>
      <c r="G66" s="114">
        <v>415</v>
      </c>
      <c r="H66" s="113">
        <v>0</v>
      </c>
      <c r="I66" s="114">
        <v>0</v>
      </c>
      <c r="J66" s="113">
        <v>0</v>
      </c>
      <c r="K66" s="114">
        <v>0</v>
      </c>
      <c r="L66" s="113">
        <v>382</v>
      </c>
      <c r="M66" s="114">
        <v>382</v>
      </c>
      <c r="N66" s="113">
        <v>0</v>
      </c>
      <c r="O66" s="114">
        <v>0</v>
      </c>
      <c r="P66" s="113">
        <v>0</v>
      </c>
      <c r="Q66" s="114">
        <v>0</v>
      </c>
      <c r="R66" s="113">
        <v>0</v>
      </c>
      <c r="S66" s="114">
        <v>0</v>
      </c>
      <c r="T66" s="113">
        <v>0</v>
      </c>
      <c r="U66" s="115">
        <v>0</v>
      </c>
      <c r="V66" t="e">
        <f>VLOOKUP(A66,Projetos_Ciclo!$H$3:$H$124,1,FALSE)</f>
        <v>#N/A</v>
      </c>
    </row>
    <row r="67" spans="1:22" x14ac:dyDescent="0.25">
      <c r="A67" s="14" t="s">
        <v>1133</v>
      </c>
      <c r="B67" s="116" t="s">
        <v>1148</v>
      </c>
      <c r="C67" s="116" t="s">
        <v>57</v>
      </c>
      <c r="D67" s="117">
        <v>0</v>
      </c>
      <c r="E67" s="120">
        <v>0</v>
      </c>
      <c r="F67" s="117">
        <v>0</v>
      </c>
      <c r="G67" s="120">
        <v>0</v>
      </c>
      <c r="H67" s="117">
        <v>0</v>
      </c>
      <c r="I67" s="120">
        <v>0</v>
      </c>
      <c r="J67" s="117">
        <v>0</v>
      </c>
      <c r="K67" s="120">
        <v>0</v>
      </c>
      <c r="L67" s="117">
        <v>0</v>
      </c>
      <c r="M67" s="120">
        <v>0</v>
      </c>
      <c r="N67" s="117">
        <v>0</v>
      </c>
      <c r="O67" s="120">
        <v>0</v>
      </c>
      <c r="P67" s="117">
        <v>0</v>
      </c>
      <c r="Q67" s="120">
        <v>0</v>
      </c>
      <c r="R67" s="117">
        <v>0</v>
      </c>
      <c r="S67" s="120">
        <v>0</v>
      </c>
      <c r="T67" s="117">
        <v>0</v>
      </c>
      <c r="U67" s="119">
        <v>0</v>
      </c>
      <c r="V67" t="e">
        <f>VLOOKUP(A67,Projetos_Ciclo!$H$3:$H$124,1,FALSE)</f>
        <v>#N/A</v>
      </c>
    </row>
    <row r="68" spans="1:22" x14ac:dyDescent="0.25">
      <c r="A68" s="111" t="s">
        <v>1135</v>
      </c>
      <c r="B68" s="112" t="s">
        <v>1136</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c r="V68" t="e">
        <f>VLOOKUP(A68,Projetos_Ciclo!$H$3:$H$124,1,FALSE)</f>
        <v>#N/A</v>
      </c>
    </row>
    <row r="69" spans="1:22" x14ac:dyDescent="0.25">
      <c r="A69" s="14" t="s">
        <v>520</v>
      </c>
      <c r="B69" s="116" t="s">
        <v>1137</v>
      </c>
      <c r="C69" s="116" t="s">
        <v>57</v>
      </c>
      <c r="D69" s="117">
        <v>514</v>
      </c>
      <c r="E69" s="120">
        <v>0</v>
      </c>
      <c r="F69" s="117">
        <v>0</v>
      </c>
      <c r="G69" s="120">
        <v>0</v>
      </c>
      <c r="H69" s="117">
        <v>0</v>
      </c>
      <c r="I69" s="120">
        <v>0</v>
      </c>
      <c r="J69" s="117">
        <v>0</v>
      </c>
      <c r="K69" s="120">
        <v>0</v>
      </c>
      <c r="L69" s="117">
        <v>0</v>
      </c>
      <c r="M69" s="120">
        <v>0</v>
      </c>
      <c r="N69" s="117">
        <v>128.5</v>
      </c>
      <c r="O69" s="120">
        <v>128.5</v>
      </c>
      <c r="P69" s="117">
        <v>128.5</v>
      </c>
      <c r="Q69" s="120">
        <v>128.5</v>
      </c>
      <c r="R69" s="117">
        <v>0</v>
      </c>
      <c r="S69" s="120">
        <v>0</v>
      </c>
      <c r="T69" s="117">
        <v>0</v>
      </c>
      <c r="U69" s="119">
        <v>0</v>
      </c>
      <c r="V69" t="str">
        <f>VLOOKUP(A69,Projetos_Ciclo!$H$3:$H$124,1,FALSE)</f>
        <v>NA</v>
      </c>
    </row>
    <row r="70" spans="1:22" x14ac:dyDescent="0.25">
      <c r="A70" s="111" t="s">
        <v>1138</v>
      </c>
      <c r="B70" s="112" t="s">
        <v>1139</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c r="V70" t="e">
        <f>VLOOKUP(A70,Projetos_Ciclo!$H$3:$H$124,1,FALSE)</f>
        <v>#N/A</v>
      </c>
    </row>
    <row r="71" spans="1:22" x14ac:dyDescent="0.25">
      <c r="A71" s="14" t="s">
        <v>1188</v>
      </c>
      <c r="B71" s="116" t="s">
        <v>1189</v>
      </c>
      <c r="C71" s="116" t="s">
        <v>1190</v>
      </c>
      <c r="D71" s="117">
        <v>129</v>
      </c>
      <c r="E71" s="120">
        <v>0</v>
      </c>
      <c r="F71" s="117">
        <v>129</v>
      </c>
      <c r="G71" s="120">
        <v>0</v>
      </c>
      <c r="H71" s="117">
        <v>0</v>
      </c>
      <c r="I71" s="120">
        <v>0</v>
      </c>
      <c r="J71" s="117">
        <v>0</v>
      </c>
      <c r="K71" s="120">
        <v>0</v>
      </c>
      <c r="L71" s="117">
        <v>0</v>
      </c>
      <c r="M71" s="120">
        <v>0</v>
      </c>
      <c r="N71" s="117">
        <v>0</v>
      </c>
      <c r="O71" s="120">
        <v>0</v>
      </c>
      <c r="P71" s="117">
        <v>0</v>
      </c>
      <c r="Q71" s="120">
        <v>0</v>
      </c>
      <c r="R71" s="117">
        <v>0</v>
      </c>
      <c r="S71" s="120">
        <v>0</v>
      </c>
      <c r="T71" s="117">
        <v>0</v>
      </c>
      <c r="U71" s="119">
        <v>0</v>
      </c>
      <c r="V71" t="e">
        <f>VLOOKUP(A71,Projetos_Ciclo!$H$3:$H$124,1,FALSE)</f>
        <v>#N/A</v>
      </c>
    </row>
    <row r="72" spans="1:22" x14ac:dyDescent="0.25">
      <c r="A72" s="111" t="s">
        <v>1133</v>
      </c>
      <c r="B72" s="112" t="s">
        <v>1157</v>
      </c>
      <c r="C72" s="112" t="s">
        <v>57</v>
      </c>
      <c r="D72" s="113">
        <v>0</v>
      </c>
      <c r="E72" s="114">
        <v>0</v>
      </c>
      <c r="F72" s="113">
        <v>0</v>
      </c>
      <c r="G72" s="114">
        <v>0</v>
      </c>
      <c r="H72" s="113">
        <v>0</v>
      </c>
      <c r="I72" s="114">
        <v>0</v>
      </c>
      <c r="J72" s="113">
        <v>0</v>
      </c>
      <c r="K72" s="114">
        <v>0</v>
      </c>
      <c r="L72" s="113">
        <v>0</v>
      </c>
      <c r="M72" s="114">
        <v>0</v>
      </c>
      <c r="N72" s="113">
        <v>0</v>
      </c>
      <c r="O72" s="114">
        <v>0</v>
      </c>
      <c r="P72" s="113">
        <v>0</v>
      </c>
      <c r="Q72" s="114">
        <v>0</v>
      </c>
      <c r="R72" s="113">
        <v>0</v>
      </c>
      <c r="S72" s="114">
        <v>0</v>
      </c>
      <c r="T72" s="113">
        <v>0</v>
      </c>
      <c r="U72" s="115">
        <v>0</v>
      </c>
      <c r="V72" t="e">
        <f>VLOOKUP(A72,Projetos_Ciclo!$H$3:$H$124,1,FALSE)</f>
        <v>#N/A</v>
      </c>
    </row>
    <row r="73" spans="1:22" x14ac:dyDescent="0.25">
      <c r="A73" s="14" t="s">
        <v>1135</v>
      </c>
      <c r="B73" s="116" t="s">
        <v>1136</v>
      </c>
      <c r="C73" s="116" t="s">
        <v>57</v>
      </c>
      <c r="D73" s="117">
        <v>0</v>
      </c>
      <c r="E73" s="120">
        <v>0</v>
      </c>
      <c r="F73" s="117">
        <v>0</v>
      </c>
      <c r="G73" s="120">
        <v>0</v>
      </c>
      <c r="H73" s="117">
        <v>0</v>
      </c>
      <c r="I73" s="120">
        <v>0</v>
      </c>
      <c r="J73" s="117">
        <v>0</v>
      </c>
      <c r="K73" s="120">
        <v>0</v>
      </c>
      <c r="L73" s="117">
        <v>0</v>
      </c>
      <c r="M73" s="120">
        <v>0</v>
      </c>
      <c r="N73" s="117">
        <v>0</v>
      </c>
      <c r="O73" s="120">
        <v>0</v>
      </c>
      <c r="P73" s="117">
        <v>0</v>
      </c>
      <c r="Q73" s="120">
        <v>0</v>
      </c>
      <c r="R73" s="117">
        <v>0</v>
      </c>
      <c r="S73" s="120">
        <v>0</v>
      </c>
      <c r="T73" s="117">
        <v>0</v>
      </c>
      <c r="U73" s="119">
        <v>0</v>
      </c>
      <c r="V73" t="e">
        <f>VLOOKUP(A73,Projetos_Ciclo!$H$3:$H$124,1,FALSE)</f>
        <v>#N/A</v>
      </c>
    </row>
    <row r="74" spans="1:22" x14ac:dyDescent="0.25">
      <c r="A74" s="111" t="s">
        <v>1395</v>
      </c>
      <c r="B74" s="112" t="s">
        <v>1396</v>
      </c>
      <c r="C74" s="112" t="s">
        <v>1397</v>
      </c>
      <c r="D74" s="113">
        <v>3676</v>
      </c>
      <c r="E74" s="114">
        <v>0</v>
      </c>
      <c r="F74" s="113">
        <v>1618</v>
      </c>
      <c r="G74" s="114">
        <v>0</v>
      </c>
      <c r="H74" s="113">
        <v>0</v>
      </c>
      <c r="I74" s="114">
        <v>0</v>
      </c>
      <c r="J74" s="113">
        <v>0</v>
      </c>
      <c r="K74" s="114">
        <v>0</v>
      </c>
      <c r="L74" s="113">
        <v>0</v>
      </c>
      <c r="M74" s="114">
        <v>0</v>
      </c>
      <c r="N74" s="113">
        <v>0</v>
      </c>
      <c r="O74" s="114">
        <v>1050</v>
      </c>
      <c r="P74" s="113">
        <v>1008</v>
      </c>
      <c r="Q74" s="114">
        <v>0</v>
      </c>
      <c r="R74" s="113">
        <v>0</v>
      </c>
      <c r="S74" s="114">
        <v>0</v>
      </c>
      <c r="T74" s="113">
        <v>0</v>
      </c>
      <c r="U74" s="115">
        <v>0</v>
      </c>
      <c r="V74" t="e">
        <f>VLOOKUP(A74,Projetos_Ciclo!$H$3:$H$124,1,FALSE)</f>
        <v>#N/A</v>
      </c>
    </row>
    <row r="75" spans="1:22" x14ac:dyDescent="0.25">
      <c r="A75" s="14" t="s">
        <v>1453</v>
      </c>
      <c r="B75" s="116" t="s">
        <v>1454</v>
      </c>
      <c r="C75" s="116" t="s">
        <v>1455</v>
      </c>
      <c r="D75" s="117">
        <v>0</v>
      </c>
      <c r="E75" s="120">
        <v>0</v>
      </c>
      <c r="F75" s="117">
        <v>0</v>
      </c>
      <c r="G75" s="120">
        <v>1513</v>
      </c>
      <c r="H75" s="117">
        <v>0</v>
      </c>
      <c r="I75" s="120">
        <v>0</v>
      </c>
      <c r="J75" s="117">
        <v>0</v>
      </c>
      <c r="K75" s="120">
        <v>0</v>
      </c>
      <c r="L75" s="117">
        <v>0</v>
      </c>
      <c r="M75" s="120">
        <v>0</v>
      </c>
      <c r="N75" s="117">
        <v>0</v>
      </c>
      <c r="O75" s="120">
        <v>0</v>
      </c>
      <c r="P75" s="117">
        <v>0</v>
      </c>
      <c r="Q75" s="120">
        <v>0</v>
      </c>
      <c r="R75" s="117">
        <v>0</v>
      </c>
      <c r="S75" s="120">
        <v>0</v>
      </c>
      <c r="T75" s="117">
        <v>0</v>
      </c>
      <c r="U75" s="119">
        <v>0</v>
      </c>
      <c r="V75" t="str">
        <f>VLOOKUP(A75,Projetos_Ciclo!$H$3:$H$124,1,FALSE)</f>
        <v>MT00218</v>
      </c>
    </row>
    <row r="76" spans="1:22" x14ac:dyDescent="0.25">
      <c r="A76" s="111" t="s">
        <v>520</v>
      </c>
      <c r="B76" s="112" t="s">
        <v>1137</v>
      </c>
      <c r="C76" s="112" t="s">
        <v>57</v>
      </c>
      <c r="D76" s="113">
        <v>0</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c r="V76" t="str">
        <f>VLOOKUP(A76,Projetos_Ciclo!$H$3:$H$124,1,FALSE)</f>
        <v>NA</v>
      </c>
    </row>
    <row r="77" spans="1:22" x14ac:dyDescent="0.25">
      <c r="A77" s="14" t="s">
        <v>1138</v>
      </c>
      <c r="B77" s="116" t="s">
        <v>1139</v>
      </c>
      <c r="C77" s="116" t="s">
        <v>57</v>
      </c>
      <c r="D77" s="117">
        <v>9.9999999999909106E-2</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c r="V77" t="e">
        <f>VLOOKUP(A77,Projetos_Ciclo!$H$3:$H$124,1,FALSE)</f>
        <v>#N/A</v>
      </c>
    </row>
    <row r="78" spans="1:22" x14ac:dyDescent="0.25">
      <c r="A78" s="111" t="s">
        <v>1133</v>
      </c>
      <c r="B78" s="112" t="s">
        <v>1191</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c r="V78" t="e">
        <f>VLOOKUP(A78,Projetos_Ciclo!$H$3:$H$124,1,FALSE)</f>
        <v>#N/A</v>
      </c>
    </row>
    <row r="79" spans="1:22" x14ac:dyDescent="0.25">
      <c r="A79" s="14" t="s">
        <v>1135</v>
      </c>
      <c r="B79" s="116" t="s">
        <v>1136</v>
      </c>
      <c r="C79" s="116" t="s">
        <v>57</v>
      </c>
      <c r="D79" s="117">
        <v>0</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c r="V79" t="e">
        <f>VLOOKUP(A79,Projetos_Ciclo!$H$3:$H$124,1,FALSE)</f>
        <v>#N/A</v>
      </c>
    </row>
    <row r="80" spans="1:22" x14ac:dyDescent="0.25">
      <c r="A80" s="111" t="s">
        <v>1398</v>
      </c>
      <c r="B80" s="112" t="s">
        <v>1399</v>
      </c>
      <c r="C80" s="112" t="s">
        <v>1400</v>
      </c>
      <c r="D80" s="113">
        <v>1815</v>
      </c>
      <c r="E80" s="114">
        <v>0</v>
      </c>
      <c r="F80" s="113">
        <v>1815</v>
      </c>
      <c r="G80" s="114">
        <v>0</v>
      </c>
      <c r="H80" s="113">
        <v>15</v>
      </c>
      <c r="I80" s="114">
        <v>0</v>
      </c>
      <c r="J80" s="113">
        <v>0</v>
      </c>
      <c r="K80" s="114">
        <v>0</v>
      </c>
      <c r="L80" s="113">
        <v>0</v>
      </c>
      <c r="M80" s="114">
        <v>0</v>
      </c>
      <c r="N80" s="113">
        <v>0</v>
      </c>
      <c r="O80" s="114">
        <v>0</v>
      </c>
      <c r="P80" s="113">
        <v>0</v>
      </c>
      <c r="Q80" s="114">
        <v>0</v>
      </c>
      <c r="R80" s="113">
        <v>0</v>
      </c>
      <c r="S80" s="114">
        <v>0</v>
      </c>
      <c r="T80" s="113">
        <v>0</v>
      </c>
      <c r="U80" s="115">
        <v>0</v>
      </c>
      <c r="V80" t="e">
        <f>VLOOKUP(A80,Projetos_Ciclo!$H$3:$H$124,1,FALSE)</f>
        <v>#N/A</v>
      </c>
    </row>
    <row r="81" spans="1:22" x14ac:dyDescent="0.25">
      <c r="A81" s="14" t="s">
        <v>1192</v>
      </c>
      <c r="B81" s="116" t="s">
        <v>1193</v>
      </c>
      <c r="C81" s="116" t="s">
        <v>1194</v>
      </c>
      <c r="D81" s="117">
        <v>0</v>
      </c>
      <c r="E81" s="120">
        <v>0</v>
      </c>
      <c r="F81" s="117">
        <v>0</v>
      </c>
      <c r="G81" s="120">
        <v>5</v>
      </c>
      <c r="H81" s="117">
        <v>0</v>
      </c>
      <c r="I81" s="120">
        <v>4.3380299806594849</v>
      </c>
      <c r="J81" s="117">
        <v>0</v>
      </c>
      <c r="K81" s="120">
        <v>4.3380299806594849</v>
      </c>
      <c r="L81" s="117">
        <v>0</v>
      </c>
      <c r="M81" s="120">
        <v>4.3380299806594849</v>
      </c>
      <c r="N81" s="117">
        <v>0</v>
      </c>
      <c r="O81" s="120">
        <v>0</v>
      </c>
      <c r="P81" s="117">
        <v>0</v>
      </c>
      <c r="Q81" s="120">
        <v>0</v>
      </c>
      <c r="R81" s="117">
        <v>0</v>
      </c>
      <c r="S81" s="120">
        <v>0</v>
      </c>
      <c r="T81" s="117">
        <v>0</v>
      </c>
      <c r="U81" s="119">
        <v>0</v>
      </c>
      <c r="V81" t="str">
        <f>VLOOKUP(A81,Projetos_Ciclo!$H$3:$H$124,1,FALSE)</f>
        <v>MT00516</v>
      </c>
    </row>
    <row r="82" spans="1:22" x14ac:dyDescent="0.25">
      <c r="A82" s="111" t="s">
        <v>1195</v>
      </c>
      <c r="B82" s="112" t="s">
        <v>1196</v>
      </c>
      <c r="C82" s="112" t="s">
        <v>1197</v>
      </c>
      <c r="D82" s="113">
        <v>0</v>
      </c>
      <c r="E82" s="114">
        <v>0</v>
      </c>
      <c r="F82" s="113">
        <v>0</v>
      </c>
      <c r="G82" s="114">
        <v>1088</v>
      </c>
      <c r="H82" s="113">
        <v>0</v>
      </c>
      <c r="I82" s="114">
        <v>14.520000457763672</v>
      </c>
      <c r="J82" s="113">
        <v>0</v>
      </c>
      <c r="K82" s="114">
        <v>14.520000457763672</v>
      </c>
      <c r="L82" s="113">
        <v>149.60000228881836</v>
      </c>
      <c r="M82" s="114">
        <v>164.12000274658203</v>
      </c>
      <c r="N82" s="113">
        <v>0</v>
      </c>
      <c r="O82" s="114">
        <v>0</v>
      </c>
      <c r="P82" s="113">
        <v>0</v>
      </c>
      <c r="Q82" s="114">
        <v>0</v>
      </c>
      <c r="R82" s="113">
        <v>0</v>
      </c>
      <c r="S82" s="114">
        <v>0</v>
      </c>
      <c r="T82" s="113">
        <v>0</v>
      </c>
      <c r="U82" s="115">
        <v>0</v>
      </c>
      <c r="V82" t="str">
        <f>VLOOKUP(A82,Projetos_Ciclo!$H$3:$H$124,1,FALSE)</f>
        <v>MT01017</v>
      </c>
    </row>
    <row r="83" spans="1:22" x14ac:dyDescent="0.25">
      <c r="A83" s="14" t="s">
        <v>520</v>
      </c>
      <c r="B83" s="116" t="s">
        <v>1198</v>
      </c>
      <c r="C83" s="116" t="s">
        <v>57</v>
      </c>
      <c r="D83" s="117">
        <v>4823</v>
      </c>
      <c r="E83" s="120">
        <v>0</v>
      </c>
      <c r="F83" s="117">
        <v>0</v>
      </c>
      <c r="G83" s="120">
        <v>0</v>
      </c>
      <c r="H83" s="117">
        <v>0</v>
      </c>
      <c r="I83" s="120">
        <v>0</v>
      </c>
      <c r="J83" s="117">
        <v>0</v>
      </c>
      <c r="K83" s="120">
        <v>0</v>
      </c>
      <c r="L83" s="117">
        <v>0</v>
      </c>
      <c r="M83" s="120">
        <v>0</v>
      </c>
      <c r="N83" s="117">
        <v>1496</v>
      </c>
      <c r="O83" s="120">
        <v>777</v>
      </c>
      <c r="P83" s="117">
        <v>2550</v>
      </c>
      <c r="Q83" s="120">
        <v>0</v>
      </c>
      <c r="R83" s="117">
        <v>0</v>
      </c>
      <c r="S83" s="120">
        <v>0</v>
      </c>
      <c r="T83" s="117">
        <v>0</v>
      </c>
      <c r="U83" s="119">
        <v>0</v>
      </c>
      <c r="V83" t="str">
        <f>VLOOKUP(A83,Projetos_Ciclo!$H$3:$H$124,1,FALSE)</f>
        <v>NA</v>
      </c>
    </row>
    <row r="84" spans="1:22" x14ac:dyDescent="0.25">
      <c r="A84" s="111" t="s">
        <v>1199</v>
      </c>
      <c r="B84" s="112" t="s">
        <v>1200</v>
      </c>
      <c r="C84" s="112" t="s">
        <v>1201</v>
      </c>
      <c r="D84" s="113">
        <v>0</v>
      </c>
      <c r="E84" s="114">
        <v>0</v>
      </c>
      <c r="F84" s="113">
        <v>0</v>
      </c>
      <c r="G84" s="114">
        <v>715</v>
      </c>
      <c r="H84" s="113">
        <v>0</v>
      </c>
      <c r="I84" s="114">
        <v>35</v>
      </c>
      <c r="J84" s="113">
        <v>0</v>
      </c>
      <c r="K84" s="114">
        <v>35</v>
      </c>
      <c r="L84" s="113">
        <v>615.38199663162231</v>
      </c>
      <c r="M84" s="114">
        <v>650.38199663162231</v>
      </c>
      <c r="N84" s="113">
        <v>0</v>
      </c>
      <c r="O84" s="114">
        <v>0</v>
      </c>
      <c r="P84" s="113">
        <v>0</v>
      </c>
      <c r="Q84" s="114">
        <v>0</v>
      </c>
      <c r="R84" s="113">
        <v>0</v>
      </c>
      <c r="S84" s="114">
        <v>0</v>
      </c>
      <c r="T84" s="113">
        <v>0</v>
      </c>
      <c r="U84" s="115">
        <v>0</v>
      </c>
      <c r="V84" t="str">
        <f>VLOOKUP(A84,Projetos_Ciclo!$H$3:$H$124,1,FALSE)</f>
        <v>PO00417</v>
      </c>
    </row>
    <row r="85" spans="1:22" x14ac:dyDescent="0.25">
      <c r="A85" s="14" t="s">
        <v>1138</v>
      </c>
      <c r="B85" s="116" t="s">
        <v>1139</v>
      </c>
      <c r="C85" s="116" t="s">
        <v>57</v>
      </c>
      <c r="D85" s="117">
        <v>9.9920072216264089E-16</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c r="V85" t="e">
        <f>VLOOKUP(A85,Projetos_Ciclo!$H$3:$H$124,1,FALSE)</f>
        <v>#N/A</v>
      </c>
    </row>
    <row r="86" spans="1:22" x14ac:dyDescent="0.25">
      <c r="A86" s="111" t="s">
        <v>1202</v>
      </c>
      <c r="B86" s="112" t="s">
        <v>1203</v>
      </c>
      <c r="C86" s="112" t="s">
        <v>1204</v>
      </c>
      <c r="D86" s="113">
        <v>0</v>
      </c>
      <c r="E86" s="114">
        <v>0</v>
      </c>
      <c r="F86" s="113">
        <v>0</v>
      </c>
      <c r="G86" s="114">
        <v>0</v>
      </c>
      <c r="H86" s="113">
        <v>0</v>
      </c>
      <c r="I86" s="114">
        <v>0</v>
      </c>
      <c r="J86" s="113">
        <v>0</v>
      </c>
      <c r="K86" s="114">
        <v>0</v>
      </c>
      <c r="L86" s="113">
        <v>0</v>
      </c>
      <c r="M86" s="114">
        <v>0</v>
      </c>
      <c r="N86" s="113">
        <v>0</v>
      </c>
      <c r="O86" s="114">
        <v>0</v>
      </c>
      <c r="P86" s="113">
        <v>0</v>
      </c>
      <c r="Q86" s="114">
        <v>0</v>
      </c>
      <c r="R86" s="113">
        <v>0</v>
      </c>
      <c r="S86" s="114">
        <v>0</v>
      </c>
      <c r="T86" s="113">
        <v>0</v>
      </c>
      <c r="U86" s="115">
        <v>0</v>
      </c>
      <c r="V86" t="e">
        <f>VLOOKUP(A86,Projetos_Ciclo!$H$3:$H$124,1,FALSE)</f>
        <v>#N/A</v>
      </c>
    </row>
    <row r="87" spans="1:22" x14ac:dyDescent="0.25">
      <c r="A87" s="14" t="s">
        <v>1205</v>
      </c>
      <c r="B87" s="116" t="s">
        <v>1206</v>
      </c>
      <c r="C87" s="116" t="s">
        <v>1207</v>
      </c>
      <c r="D87" s="117">
        <v>0</v>
      </c>
      <c r="E87" s="120">
        <v>0</v>
      </c>
      <c r="F87" s="117">
        <v>0</v>
      </c>
      <c r="G87" s="120">
        <v>0</v>
      </c>
      <c r="H87" s="117">
        <v>0</v>
      </c>
      <c r="I87" s="120">
        <v>0</v>
      </c>
      <c r="J87" s="117">
        <v>0</v>
      </c>
      <c r="K87" s="120">
        <v>0</v>
      </c>
      <c r="L87" s="117">
        <v>0</v>
      </c>
      <c r="M87" s="120">
        <v>0</v>
      </c>
      <c r="N87" s="117">
        <v>0</v>
      </c>
      <c r="O87" s="120">
        <v>0</v>
      </c>
      <c r="P87" s="117">
        <v>0</v>
      </c>
      <c r="Q87" s="120">
        <v>0</v>
      </c>
      <c r="R87" s="117">
        <v>0</v>
      </c>
      <c r="S87" s="120">
        <v>0</v>
      </c>
      <c r="T87" s="117">
        <v>0</v>
      </c>
      <c r="U87" s="119">
        <v>0</v>
      </c>
      <c r="V87" t="e">
        <f>VLOOKUP(A87,Projetos_Ciclo!$H$3:$H$124,1,FALSE)</f>
        <v>#N/A</v>
      </c>
    </row>
    <row r="88" spans="1:22" x14ac:dyDescent="0.25">
      <c r="A88" s="111" t="s">
        <v>1208</v>
      </c>
      <c r="B88" s="112" t="s">
        <v>1209</v>
      </c>
      <c r="C88" s="112" t="s">
        <v>1210</v>
      </c>
      <c r="D88" s="113">
        <v>0</v>
      </c>
      <c r="E88" s="114">
        <v>0</v>
      </c>
      <c r="F88" s="113">
        <v>0</v>
      </c>
      <c r="G88" s="114">
        <v>0</v>
      </c>
      <c r="H88" s="113">
        <v>0</v>
      </c>
      <c r="I88" s="114">
        <v>0</v>
      </c>
      <c r="J88" s="113">
        <v>0</v>
      </c>
      <c r="K88" s="114">
        <v>0</v>
      </c>
      <c r="L88" s="113">
        <v>0</v>
      </c>
      <c r="M88" s="114">
        <v>0</v>
      </c>
      <c r="N88" s="113">
        <v>0</v>
      </c>
      <c r="O88" s="114">
        <v>0</v>
      </c>
      <c r="P88" s="113">
        <v>0</v>
      </c>
      <c r="Q88" s="114">
        <v>0</v>
      </c>
      <c r="R88" s="113">
        <v>0</v>
      </c>
      <c r="S88" s="114">
        <v>0</v>
      </c>
      <c r="T88" s="113">
        <v>0</v>
      </c>
      <c r="U88" s="115">
        <v>0</v>
      </c>
      <c r="V88" t="e">
        <f>VLOOKUP(A88,Projetos_Ciclo!$H$3:$H$124,1,FALSE)</f>
        <v>#N/A</v>
      </c>
    </row>
    <row r="89" spans="1:22" x14ac:dyDescent="0.25">
      <c r="A89" s="14" t="s">
        <v>1211</v>
      </c>
      <c r="B89" s="116" t="s">
        <v>1212</v>
      </c>
      <c r="C89" s="116" t="s">
        <v>1213</v>
      </c>
      <c r="D89" s="117">
        <v>0</v>
      </c>
      <c r="E89" s="120">
        <v>0</v>
      </c>
      <c r="F89" s="117">
        <v>0</v>
      </c>
      <c r="G89" s="120">
        <v>0</v>
      </c>
      <c r="H89" s="117">
        <v>0</v>
      </c>
      <c r="I89" s="120">
        <v>0</v>
      </c>
      <c r="J89" s="117">
        <v>0</v>
      </c>
      <c r="K89" s="120">
        <v>0</v>
      </c>
      <c r="L89" s="117">
        <v>0</v>
      </c>
      <c r="M89" s="120">
        <v>0</v>
      </c>
      <c r="N89" s="117">
        <v>0</v>
      </c>
      <c r="O89" s="120">
        <v>0</v>
      </c>
      <c r="P89" s="117">
        <v>0</v>
      </c>
      <c r="Q89" s="120">
        <v>0</v>
      </c>
      <c r="R89" s="117">
        <v>0</v>
      </c>
      <c r="S89" s="120">
        <v>0</v>
      </c>
      <c r="T89" s="117">
        <v>0</v>
      </c>
      <c r="U89" s="119">
        <v>0</v>
      </c>
      <c r="V89" t="e">
        <f>VLOOKUP(A89,Projetos_Ciclo!$H$3:$H$124,1,FALSE)</f>
        <v>#N/A</v>
      </c>
    </row>
    <row r="90" spans="1:22" x14ac:dyDescent="0.25">
      <c r="A90" s="111" t="s">
        <v>1214</v>
      </c>
      <c r="B90" s="112" t="s">
        <v>1215</v>
      </c>
      <c r="C90" s="112" t="s">
        <v>1216</v>
      </c>
      <c r="D90" s="113">
        <v>0</v>
      </c>
      <c r="E90" s="114">
        <v>0</v>
      </c>
      <c r="F90" s="113">
        <v>0</v>
      </c>
      <c r="G90" s="114">
        <v>0</v>
      </c>
      <c r="H90" s="113">
        <v>0</v>
      </c>
      <c r="I90" s="114">
        <v>0</v>
      </c>
      <c r="J90" s="113">
        <v>0</v>
      </c>
      <c r="K90" s="114">
        <v>0</v>
      </c>
      <c r="L90" s="113">
        <v>0</v>
      </c>
      <c r="M90" s="114">
        <v>0</v>
      </c>
      <c r="N90" s="113">
        <v>0</v>
      </c>
      <c r="O90" s="114">
        <v>0</v>
      </c>
      <c r="P90" s="113">
        <v>0</v>
      </c>
      <c r="Q90" s="114">
        <v>0</v>
      </c>
      <c r="R90" s="113">
        <v>0</v>
      </c>
      <c r="S90" s="114">
        <v>0</v>
      </c>
      <c r="T90" s="113">
        <v>0</v>
      </c>
      <c r="U90" s="115">
        <v>0</v>
      </c>
      <c r="V90" t="e">
        <f>VLOOKUP(A90,Projetos_Ciclo!$H$3:$H$124,1,FALSE)</f>
        <v>#N/A</v>
      </c>
    </row>
    <row r="91" spans="1:22" x14ac:dyDescent="0.25">
      <c r="A91" s="14" t="s">
        <v>1217</v>
      </c>
      <c r="B91" s="116" t="s">
        <v>1218</v>
      </c>
      <c r="C91" s="116" t="s">
        <v>1219</v>
      </c>
      <c r="D91" s="117">
        <v>0</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c r="V91" t="e">
        <f>VLOOKUP(A91,Projetos_Ciclo!$H$3:$H$124,1,FALSE)</f>
        <v>#N/A</v>
      </c>
    </row>
    <row r="92" spans="1:22" x14ac:dyDescent="0.25">
      <c r="A92" s="111" t="s">
        <v>1220</v>
      </c>
      <c r="B92" s="112" t="s">
        <v>1221</v>
      </c>
      <c r="C92" s="112" t="s">
        <v>1222</v>
      </c>
      <c r="D92" s="113">
        <v>0</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c r="V92" t="e">
        <f>VLOOKUP(A92,Projetos_Ciclo!$H$3:$H$124,1,FALSE)</f>
        <v>#N/A</v>
      </c>
    </row>
    <row r="93" spans="1:22" x14ac:dyDescent="0.25">
      <c r="A93" s="14" t="s">
        <v>1223</v>
      </c>
      <c r="B93" s="116" t="s">
        <v>1224</v>
      </c>
      <c r="C93" s="116" t="s">
        <v>1225</v>
      </c>
      <c r="D93" s="117">
        <v>0</v>
      </c>
      <c r="E93" s="120">
        <v>0</v>
      </c>
      <c r="F93" s="117">
        <v>0</v>
      </c>
      <c r="G93" s="120">
        <v>0</v>
      </c>
      <c r="H93" s="117">
        <v>0</v>
      </c>
      <c r="I93" s="120">
        <v>0</v>
      </c>
      <c r="J93" s="117">
        <v>0</v>
      </c>
      <c r="K93" s="120">
        <v>0</v>
      </c>
      <c r="L93" s="117">
        <v>0</v>
      </c>
      <c r="M93" s="120">
        <v>0</v>
      </c>
      <c r="N93" s="117">
        <v>0</v>
      </c>
      <c r="O93" s="120">
        <v>0</v>
      </c>
      <c r="P93" s="117">
        <v>0</v>
      </c>
      <c r="Q93" s="120">
        <v>0</v>
      </c>
      <c r="R93" s="117">
        <v>0</v>
      </c>
      <c r="S93" s="120">
        <v>0</v>
      </c>
      <c r="T93" s="117">
        <v>0</v>
      </c>
      <c r="U93" s="119">
        <v>0</v>
      </c>
      <c r="V93" t="e">
        <f>VLOOKUP(A93,Projetos_Ciclo!$H$3:$H$124,1,FALSE)</f>
        <v>#N/A</v>
      </c>
    </row>
    <row r="94" spans="1:22" x14ac:dyDescent="0.25">
      <c r="A94" s="111" t="s">
        <v>1133</v>
      </c>
      <c r="B94" s="112" t="s">
        <v>1226</v>
      </c>
      <c r="C94" s="112" t="s">
        <v>57</v>
      </c>
      <c r="D94" s="113">
        <v>0</v>
      </c>
      <c r="E94" s="114">
        <v>0</v>
      </c>
      <c r="F94" s="113">
        <v>0</v>
      </c>
      <c r="G94" s="114">
        <v>0</v>
      </c>
      <c r="H94" s="113">
        <v>0</v>
      </c>
      <c r="I94" s="114">
        <v>0</v>
      </c>
      <c r="J94" s="113">
        <v>0</v>
      </c>
      <c r="K94" s="114">
        <v>0</v>
      </c>
      <c r="L94" s="113">
        <v>0</v>
      </c>
      <c r="M94" s="114">
        <v>0</v>
      </c>
      <c r="N94" s="113">
        <v>0</v>
      </c>
      <c r="O94" s="114">
        <v>0</v>
      </c>
      <c r="P94" s="113">
        <v>0</v>
      </c>
      <c r="Q94" s="114">
        <v>0</v>
      </c>
      <c r="R94" s="113">
        <v>0</v>
      </c>
      <c r="S94" s="114">
        <v>0</v>
      </c>
      <c r="T94" s="113">
        <v>0</v>
      </c>
      <c r="U94" s="115">
        <v>0</v>
      </c>
      <c r="V94" t="e">
        <f>VLOOKUP(A94,Projetos_Ciclo!$H$3:$H$124,1,FALSE)</f>
        <v>#N/A</v>
      </c>
    </row>
    <row r="95" spans="1:22" x14ac:dyDescent="0.25">
      <c r="A95" s="14" t="s">
        <v>1227</v>
      </c>
      <c r="B95" s="116" t="s">
        <v>1228</v>
      </c>
      <c r="C95" s="116" t="s">
        <v>1229</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c r="V95" t="e">
        <f>VLOOKUP(A95,Projetos_Ciclo!$H$3:$H$124,1,FALSE)</f>
        <v>#N/A</v>
      </c>
    </row>
    <row r="96" spans="1:22" x14ac:dyDescent="0.25">
      <c r="A96" s="111" t="s">
        <v>1230</v>
      </c>
      <c r="B96" s="112" t="s">
        <v>1231</v>
      </c>
      <c r="C96" s="112" t="s">
        <v>1232</v>
      </c>
      <c r="D96" s="113">
        <v>0</v>
      </c>
      <c r="E96" s="114">
        <v>0</v>
      </c>
      <c r="F96" s="113">
        <v>0</v>
      </c>
      <c r="G96" s="114">
        <v>13</v>
      </c>
      <c r="H96" s="113">
        <v>0</v>
      </c>
      <c r="I96" s="114">
        <v>11.104649901390076</v>
      </c>
      <c r="J96" s="113">
        <v>0</v>
      </c>
      <c r="K96" s="114">
        <v>11.104649901390076</v>
      </c>
      <c r="L96" s="113">
        <v>0</v>
      </c>
      <c r="M96" s="114">
        <v>11.104649901390076</v>
      </c>
      <c r="N96" s="113">
        <v>0</v>
      </c>
      <c r="O96" s="114">
        <v>0</v>
      </c>
      <c r="P96" s="113">
        <v>0</v>
      </c>
      <c r="Q96" s="114">
        <v>0</v>
      </c>
      <c r="R96" s="113">
        <v>0</v>
      </c>
      <c r="S96" s="114">
        <v>0</v>
      </c>
      <c r="T96" s="113">
        <v>0</v>
      </c>
      <c r="U96" s="115">
        <v>0</v>
      </c>
      <c r="V96" t="str">
        <f>VLOOKUP(A96,Projetos_Ciclo!$H$3:$H$124,1,FALSE)</f>
        <v>CD00315</v>
      </c>
    </row>
    <row r="97" spans="1:22" x14ac:dyDescent="0.25">
      <c r="A97" s="14" t="s">
        <v>1135</v>
      </c>
      <c r="B97" s="116" t="s">
        <v>1136</v>
      </c>
      <c r="C97" s="116" t="s">
        <v>57</v>
      </c>
      <c r="D97" s="117">
        <v>0</v>
      </c>
      <c r="E97" s="120">
        <v>0</v>
      </c>
      <c r="F97" s="117">
        <v>0</v>
      </c>
      <c r="G97" s="120">
        <v>0</v>
      </c>
      <c r="H97" s="117">
        <v>0</v>
      </c>
      <c r="I97" s="120">
        <v>0</v>
      </c>
      <c r="J97" s="117">
        <v>0</v>
      </c>
      <c r="K97" s="120">
        <v>0</v>
      </c>
      <c r="L97" s="117">
        <v>0</v>
      </c>
      <c r="M97" s="120">
        <v>0</v>
      </c>
      <c r="N97" s="117">
        <v>0</v>
      </c>
      <c r="O97" s="120">
        <v>0</v>
      </c>
      <c r="P97" s="117">
        <v>0</v>
      </c>
      <c r="Q97" s="120">
        <v>0</v>
      </c>
      <c r="R97" s="117">
        <v>0</v>
      </c>
      <c r="S97" s="120">
        <v>0</v>
      </c>
      <c r="T97" s="117">
        <v>0</v>
      </c>
      <c r="U97" s="119">
        <v>0</v>
      </c>
      <c r="V97" t="e">
        <f>VLOOKUP(A97,Projetos_Ciclo!$H$3:$H$124,1,FALSE)</f>
        <v>#N/A</v>
      </c>
    </row>
    <row r="98" spans="1:22" x14ac:dyDescent="0.25">
      <c r="A98" s="111" t="s">
        <v>1233</v>
      </c>
      <c r="B98" s="112" t="s">
        <v>1234</v>
      </c>
      <c r="C98" s="112" t="s">
        <v>1235</v>
      </c>
      <c r="D98" s="113">
        <v>2417</v>
      </c>
      <c r="E98" s="114">
        <v>0</v>
      </c>
      <c r="F98" s="113">
        <v>2417</v>
      </c>
      <c r="G98" s="114">
        <v>0</v>
      </c>
      <c r="H98" s="113">
        <v>13</v>
      </c>
      <c r="I98" s="114">
        <v>0</v>
      </c>
      <c r="J98" s="113">
        <v>0</v>
      </c>
      <c r="K98" s="114">
        <v>0</v>
      </c>
      <c r="L98" s="113">
        <v>0</v>
      </c>
      <c r="M98" s="114">
        <v>0</v>
      </c>
      <c r="N98" s="113">
        <v>0</v>
      </c>
      <c r="O98" s="114">
        <v>0</v>
      </c>
      <c r="P98" s="113">
        <v>0</v>
      </c>
      <c r="Q98" s="114">
        <v>0</v>
      </c>
      <c r="R98" s="113">
        <v>0</v>
      </c>
      <c r="S98" s="114">
        <v>0</v>
      </c>
      <c r="T98" s="113">
        <v>0</v>
      </c>
      <c r="U98" s="115">
        <v>0</v>
      </c>
      <c r="V98" t="e">
        <f>VLOOKUP(A98,Projetos_Ciclo!$H$3:$H$124,1,FALSE)</f>
        <v>#N/A</v>
      </c>
    </row>
    <row r="99" spans="1:22" x14ac:dyDescent="0.25">
      <c r="A99" s="14" t="s">
        <v>520</v>
      </c>
      <c r="B99" s="116" t="s">
        <v>1137</v>
      </c>
      <c r="C99" s="116" t="s">
        <v>57</v>
      </c>
      <c r="D99" s="117">
        <v>11667</v>
      </c>
      <c r="E99" s="120">
        <v>0</v>
      </c>
      <c r="F99" s="117">
        <v>0</v>
      </c>
      <c r="G99" s="120">
        <v>0</v>
      </c>
      <c r="H99" s="117">
        <v>0</v>
      </c>
      <c r="I99" s="120">
        <v>0</v>
      </c>
      <c r="J99" s="117">
        <v>0</v>
      </c>
      <c r="K99" s="120">
        <v>0</v>
      </c>
      <c r="L99" s="117">
        <v>0</v>
      </c>
      <c r="M99" s="120">
        <v>0</v>
      </c>
      <c r="N99" s="117">
        <v>2235</v>
      </c>
      <c r="O99" s="120">
        <v>3005</v>
      </c>
      <c r="P99" s="117">
        <v>3898</v>
      </c>
      <c r="Q99" s="120">
        <v>2529</v>
      </c>
      <c r="R99" s="117">
        <v>0</v>
      </c>
      <c r="S99" s="120">
        <v>0</v>
      </c>
      <c r="T99" s="117">
        <v>0</v>
      </c>
      <c r="U99" s="119">
        <v>0</v>
      </c>
      <c r="V99" t="str">
        <f>VLOOKUP(A99,Projetos_Ciclo!$H$3:$H$124,1,FALSE)</f>
        <v>NA</v>
      </c>
    </row>
    <row r="100" spans="1:22" x14ac:dyDescent="0.25">
      <c r="A100" s="111" t="s">
        <v>1138</v>
      </c>
      <c r="B100" s="112" t="s">
        <v>1139</v>
      </c>
      <c r="C100" s="112" t="s">
        <v>57</v>
      </c>
      <c r="D100" s="113">
        <v>0</v>
      </c>
      <c r="E100" s="114">
        <v>0</v>
      </c>
      <c r="F100" s="113">
        <v>0</v>
      </c>
      <c r="G100" s="114">
        <v>0</v>
      </c>
      <c r="H100" s="113">
        <v>0</v>
      </c>
      <c r="I100" s="114">
        <v>0</v>
      </c>
      <c r="J100" s="113">
        <v>0</v>
      </c>
      <c r="K100" s="114">
        <v>0</v>
      </c>
      <c r="L100" s="113">
        <v>0</v>
      </c>
      <c r="M100" s="114">
        <v>0</v>
      </c>
      <c r="N100" s="113">
        <v>0</v>
      </c>
      <c r="O100" s="114">
        <v>0</v>
      </c>
      <c r="P100" s="113">
        <v>0</v>
      </c>
      <c r="Q100" s="114">
        <v>0</v>
      </c>
      <c r="R100" s="113">
        <v>0</v>
      </c>
      <c r="S100" s="114">
        <v>0</v>
      </c>
      <c r="T100" s="113">
        <v>0</v>
      </c>
      <c r="U100" s="115">
        <v>0</v>
      </c>
      <c r="V100" t="e">
        <f>VLOOKUP(A100,Projetos_Ciclo!$H$3:$H$124,1,FALSE)</f>
        <v>#N/A</v>
      </c>
    </row>
    <row r="101" spans="1:22" x14ac:dyDescent="0.25">
      <c r="A101" s="14" t="s">
        <v>1133</v>
      </c>
      <c r="B101" s="116" t="s">
        <v>1134</v>
      </c>
      <c r="C101" s="116" t="s">
        <v>57</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c r="V101" t="e">
        <f>VLOOKUP(A101,Projetos_Ciclo!$H$3:$H$124,1,FALSE)</f>
        <v>#N/A</v>
      </c>
    </row>
    <row r="102" spans="1:22" x14ac:dyDescent="0.25">
      <c r="A102" s="111" t="s">
        <v>1236</v>
      </c>
      <c r="B102" s="112" t="s">
        <v>1237</v>
      </c>
      <c r="C102" s="112" t="s">
        <v>1238</v>
      </c>
      <c r="D102" s="113">
        <v>0</v>
      </c>
      <c r="E102" s="114">
        <v>0</v>
      </c>
      <c r="F102" s="113">
        <v>0</v>
      </c>
      <c r="G102" s="114">
        <v>0</v>
      </c>
      <c r="H102" s="113">
        <v>0</v>
      </c>
      <c r="I102" s="114">
        <v>0</v>
      </c>
      <c r="J102" s="113">
        <v>0</v>
      </c>
      <c r="K102" s="114">
        <v>0</v>
      </c>
      <c r="L102" s="113">
        <v>0</v>
      </c>
      <c r="M102" s="114">
        <v>0</v>
      </c>
      <c r="N102" s="113">
        <v>0</v>
      </c>
      <c r="O102" s="114">
        <v>0</v>
      </c>
      <c r="P102" s="113">
        <v>0</v>
      </c>
      <c r="Q102" s="114">
        <v>0</v>
      </c>
      <c r="R102" s="113">
        <v>0</v>
      </c>
      <c r="S102" s="114">
        <v>0</v>
      </c>
      <c r="T102" s="113">
        <v>0</v>
      </c>
      <c r="U102" s="115">
        <v>0</v>
      </c>
      <c r="V102" t="e">
        <f>VLOOKUP(A102,Projetos_Ciclo!$H$3:$H$124,1,FALSE)</f>
        <v>#N/A</v>
      </c>
    </row>
    <row r="103" spans="1:22" x14ac:dyDescent="0.25">
      <c r="A103" s="14" t="s">
        <v>1096</v>
      </c>
      <c r="B103" s="116" t="s">
        <v>1239</v>
      </c>
      <c r="C103" s="116" t="s">
        <v>1097</v>
      </c>
      <c r="D103" s="117">
        <v>0</v>
      </c>
      <c r="E103" s="120">
        <v>0</v>
      </c>
      <c r="F103" s="117">
        <v>0</v>
      </c>
      <c r="G103" s="120">
        <v>56</v>
      </c>
      <c r="H103" s="117">
        <v>0</v>
      </c>
      <c r="I103" s="120">
        <v>54.296999216079712</v>
      </c>
      <c r="J103" s="117">
        <v>0</v>
      </c>
      <c r="K103" s="120">
        <v>54.296999216079712</v>
      </c>
      <c r="L103" s="117">
        <v>0</v>
      </c>
      <c r="M103" s="120">
        <v>54.296999216079712</v>
      </c>
      <c r="N103" s="117">
        <v>0</v>
      </c>
      <c r="O103" s="120">
        <v>0</v>
      </c>
      <c r="P103" s="117">
        <v>0</v>
      </c>
      <c r="Q103" s="120">
        <v>0</v>
      </c>
      <c r="R103" s="117">
        <v>0</v>
      </c>
      <c r="S103" s="120">
        <v>0</v>
      </c>
      <c r="T103" s="117">
        <v>0</v>
      </c>
      <c r="U103" s="119">
        <v>0</v>
      </c>
      <c r="V103" t="str">
        <f>VLOOKUP(A103,Projetos_Ciclo!$H$3:$H$124,1,FALSE)</f>
        <v>CD00215</v>
      </c>
    </row>
    <row r="104" spans="1:22" x14ac:dyDescent="0.25">
      <c r="A104" s="111" t="s">
        <v>1135</v>
      </c>
      <c r="B104" s="112" t="s">
        <v>1136</v>
      </c>
      <c r="C104" s="112" t="s">
        <v>57</v>
      </c>
      <c r="D104" s="113">
        <v>0</v>
      </c>
      <c r="E104" s="114">
        <v>0</v>
      </c>
      <c r="F104" s="113">
        <v>0</v>
      </c>
      <c r="G104" s="114">
        <v>0</v>
      </c>
      <c r="H104" s="113">
        <v>0</v>
      </c>
      <c r="I104" s="114">
        <v>0</v>
      </c>
      <c r="J104" s="113">
        <v>0</v>
      </c>
      <c r="K104" s="114">
        <v>0</v>
      </c>
      <c r="L104" s="113">
        <v>0</v>
      </c>
      <c r="M104" s="114">
        <v>0</v>
      </c>
      <c r="N104" s="113">
        <v>0</v>
      </c>
      <c r="O104" s="114">
        <v>0</v>
      </c>
      <c r="P104" s="113">
        <v>0</v>
      </c>
      <c r="Q104" s="114">
        <v>0</v>
      </c>
      <c r="R104" s="113">
        <v>0</v>
      </c>
      <c r="S104" s="114">
        <v>0</v>
      </c>
      <c r="T104" s="113">
        <v>0</v>
      </c>
      <c r="U104" s="115">
        <v>0</v>
      </c>
      <c r="V104" t="e">
        <f>VLOOKUP(A104,Projetos_Ciclo!$H$3:$H$124,1,FALSE)</f>
        <v>#N/A</v>
      </c>
    </row>
    <row r="105" spans="1:22" x14ac:dyDescent="0.25">
      <c r="A105" s="14" t="s">
        <v>1100</v>
      </c>
      <c r="B105" s="116" t="s">
        <v>1240</v>
      </c>
      <c r="C105" s="116" t="s">
        <v>1241</v>
      </c>
      <c r="D105" s="117">
        <v>0</v>
      </c>
      <c r="E105" s="120">
        <v>0</v>
      </c>
      <c r="F105" s="117">
        <v>0</v>
      </c>
      <c r="G105" s="120">
        <v>2</v>
      </c>
      <c r="H105" s="117">
        <v>0</v>
      </c>
      <c r="I105" s="120">
        <v>1.7749999761581421</v>
      </c>
      <c r="J105" s="117">
        <v>0</v>
      </c>
      <c r="K105" s="120">
        <v>1.7749999761581421</v>
      </c>
      <c r="L105" s="117">
        <v>0</v>
      </c>
      <c r="M105" s="120">
        <v>1.7749999761581421</v>
      </c>
      <c r="N105" s="117">
        <v>0</v>
      </c>
      <c r="O105" s="120">
        <v>0</v>
      </c>
      <c r="P105" s="117">
        <v>0</v>
      </c>
      <c r="Q105" s="120">
        <v>0</v>
      </c>
      <c r="R105" s="117">
        <v>0</v>
      </c>
      <c r="S105" s="120">
        <v>0</v>
      </c>
      <c r="T105" s="117">
        <v>0</v>
      </c>
      <c r="U105" s="119">
        <v>0</v>
      </c>
      <c r="V105" t="str">
        <f>VLOOKUP(A105,Projetos_Ciclo!$H$3:$H$124,1,FALSE)</f>
        <v>GE00214</v>
      </c>
    </row>
    <row r="106" spans="1:22" x14ac:dyDescent="0.25">
      <c r="A106" s="111" t="s">
        <v>1242</v>
      </c>
      <c r="B106" s="112" t="s">
        <v>1243</v>
      </c>
      <c r="C106" s="112" t="s">
        <v>1456</v>
      </c>
      <c r="D106" s="113">
        <v>6469</v>
      </c>
      <c r="E106" s="114">
        <v>0</v>
      </c>
      <c r="F106" s="113">
        <v>6259</v>
      </c>
      <c r="G106" s="114">
        <v>0</v>
      </c>
      <c r="H106" s="113">
        <v>56</v>
      </c>
      <c r="I106" s="114">
        <v>0</v>
      </c>
      <c r="J106" s="113">
        <v>0</v>
      </c>
      <c r="K106" s="114">
        <v>0</v>
      </c>
      <c r="L106" s="113">
        <v>0</v>
      </c>
      <c r="M106" s="114">
        <v>0</v>
      </c>
      <c r="N106" s="113">
        <v>210</v>
      </c>
      <c r="O106" s="114">
        <v>0</v>
      </c>
      <c r="P106" s="113">
        <v>0</v>
      </c>
      <c r="Q106" s="114">
        <v>0</v>
      </c>
      <c r="R106" s="113">
        <v>0</v>
      </c>
      <c r="S106" s="114">
        <v>0</v>
      </c>
      <c r="T106" s="113">
        <v>0</v>
      </c>
      <c r="U106" s="115">
        <v>0</v>
      </c>
      <c r="V106" t="e">
        <f>VLOOKUP(A106,Projetos_Ciclo!$H$3:$H$124,1,FALSE)</f>
        <v>#N/A</v>
      </c>
    </row>
    <row r="107" spans="1:22" x14ac:dyDescent="0.25">
      <c r="A107" s="14" t="s">
        <v>520</v>
      </c>
      <c r="B107" s="116" t="s">
        <v>1137</v>
      </c>
      <c r="C107" s="116" t="s">
        <v>57</v>
      </c>
      <c r="D107" s="117">
        <v>33982</v>
      </c>
      <c r="E107" s="120">
        <v>0</v>
      </c>
      <c r="F107" s="117">
        <v>0</v>
      </c>
      <c r="G107" s="120">
        <v>0</v>
      </c>
      <c r="H107" s="117">
        <v>0</v>
      </c>
      <c r="I107" s="120">
        <v>0</v>
      </c>
      <c r="J107" s="117">
        <v>0</v>
      </c>
      <c r="K107" s="120">
        <v>0</v>
      </c>
      <c r="L107" s="117">
        <v>0</v>
      </c>
      <c r="M107" s="120">
        <v>0</v>
      </c>
      <c r="N107" s="117">
        <v>8493</v>
      </c>
      <c r="O107" s="120">
        <v>9836</v>
      </c>
      <c r="P107" s="117">
        <v>9596</v>
      </c>
      <c r="Q107" s="120">
        <v>6057</v>
      </c>
      <c r="R107" s="117">
        <v>0</v>
      </c>
      <c r="S107" s="120">
        <v>0</v>
      </c>
      <c r="T107" s="117">
        <v>0</v>
      </c>
      <c r="U107" s="119">
        <v>0</v>
      </c>
      <c r="V107" t="str">
        <f>VLOOKUP(A107,Projetos_Ciclo!$H$3:$H$124,1,FALSE)</f>
        <v>NA</v>
      </c>
    </row>
    <row r="108" spans="1:22" x14ac:dyDescent="0.25">
      <c r="A108" s="111" t="s">
        <v>1457</v>
      </c>
      <c r="B108" s="112" t="s">
        <v>1458</v>
      </c>
      <c r="C108" s="112" t="s">
        <v>1459</v>
      </c>
      <c r="D108" s="113">
        <v>0</v>
      </c>
      <c r="E108" s="114">
        <v>0</v>
      </c>
      <c r="F108" s="113">
        <v>0</v>
      </c>
      <c r="G108" s="114">
        <v>743</v>
      </c>
      <c r="H108" s="113">
        <v>0</v>
      </c>
      <c r="I108" s="114">
        <v>0</v>
      </c>
      <c r="J108" s="113">
        <v>0</v>
      </c>
      <c r="K108" s="114">
        <v>0</v>
      </c>
      <c r="L108" s="113">
        <v>0</v>
      </c>
      <c r="M108" s="114">
        <v>0</v>
      </c>
      <c r="N108" s="113">
        <v>0</v>
      </c>
      <c r="O108" s="114">
        <v>0</v>
      </c>
      <c r="P108" s="113">
        <v>0</v>
      </c>
      <c r="Q108" s="114">
        <v>0</v>
      </c>
      <c r="R108" s="113">
        <v>0</v>
      </c>
      <c r="S108" s="114">
        <v>0</v>
      </c>
      <c r="T108" s="113">
        <v>0</v>
      </c>
      <c r="U108" s="115">
        <v>0</v>
      </c>
      <c r="V108" t="str">
        <f>VLOOKUP(A108,Projetos_Ciclo!$H$3:$H$124,1,FALSE)</f>
        <v>RH00118</v>
      </c>
    </row>
    <row r="109" spans="1:22" x14ac:dyDescent="0.25">
      <c r="A109" s="14" t="s">
        <v>1093</v>
      </c>
      <c r="B109" s="116" t="s">
        <v>443</v>
      </c>
      <c r="C109" s="116" t="s">
        <v>1245</v>
      </c>
      <c r="D109" s="117">
        <v>0</v>
      </c>
      <c r="E109" s="120">
        <v>0</v>
      </c>
      <c r="F109" s="117">
        <v>0</v>
      </c>
      <c r="G109" s="120">
        <v>250</v>
      </c>
      <c r="H109" s="117">
        <v>0</v>
      </c>
      <c r="I109" s="120">
        <v>0</v>
      </c>
      <c r="J109" s="117">
        <v>0</v>
      </c>
      <c r="K109" s="120">
        <v>0</v>
      </c>
      <c r="L109" s="117">
        <v>51.18402099609375</v>
      </c>
      <c r="M109" s="120">
        <v>51.18402099609375</v>
      </c>
      <c r="N109" s="117">
        <v>0</v>
      </c>
      <c r="O109" s="120">
        <v>0</v>
      </c>
      <c r="P109" s="117">
        <v>0</v>
      </c>
      <c r="Q109" s="120">
        <v>0</v>
      </c>
      <c r="R109" s="117">
        <v>0</v>
      </c>
      <c r="S109" s="120">
        <v>0</v>
      </c>
      <c r="T109" s="117">
        <v>0</v>
      </c>
      <c r="U109" s="119">
        <v>0</v>
      </c>
      <c r="V109" t="str">
        <f>VLOOKUP(A109,Projetos_Ciclo!$H$3:$H$124,1,FALSE)</f>
        <v>SC00117</v>
      </c>
    </row>
    <row r="110" spans="1:22" x14ac:dyDescent="0.25">
      <c r="A110" s="111" t="s">
        <v>1092</v>
      </c>
      <c r="B110" s="112" t="s">
        <v>1522</v>
      </c>
      <c r="C110" s="112" t="s">
        <v>1425</v>
      </c>
      <c r="D110" s="113">
        <v>0</v>
      </c>
      <c r="E110" s="114">
        <v>0</v>
      </c>
      <c r="F110" s="113">
        <v>0</v>
      </c>
      <c r="G110" s="114">
        <v>30</v>
      </c>
      <c r="H110" s="113">
        <v>0</v>
      </c>
      <c r="I110" s="114">
        <v>0</v>
      </c>
      <c r="J110" s="113">
        <v>0</v>
      </c>
      <c r="K110" s="114">
        <v>0</v>
      </c>
      <c r="L110" s="113">
        <v>0</v>
      </c>
      <c r="M110" s="114">
        <v>0</v>
      </c>
      <c r="N110" s="113">
        <v>0</v>
      </c>
      <c r="O110" s="114">
        <v>0</v>
      </c>
      <c r="P110" s="113">
        <v>0</v>
      </c>
      <c r="Q110" s="114">
        <v>0</v>
      </c>
      <c r="R110" s="113">
        <v>0</v>
      </c>
      <c r="S110" s="114">
        <v>0</v>
      </c>
      <c r="T110" s="113">
        <v>0</v>
      </c>
      <c r="U110" s="115">
        <v>0</v>
      </c>
      <c r="V110" t="str">
        <f>VLOOKUP(A110,Projetos_Ciclo!$H$3:$H$124,1,FALSE)</f>
        <v>SC00118</v>
      </c>
    </row>
    <row r="111" spans="1:22" x14ac:dyDescent="0.25">
      <c r="A111" s="14" t="s">
        <v>1472</v>
      </c>
      <c r="B111" s="116" t="s">
        <v>1523</v>
      </c>
      <c r="C111" s="116" t="s">
        <v>1473</v>
      </c>
      <c r="D111" s="117">
        <v>0</v>
      </c>
      <c r="E111" s="120">
        <v>0</v>
      </c>
      <c r="F111" s="117">
        <v>0</v>
      </c>
      <c r="G111" s="120">
        <v>143</v>
      </c>
      <c r="H111" s="117">
        <v>0</v>
      </c>
      <c r="I111" s="120">
        <v>0</v>
      </c>
      <c r="J111" s="117">
        <v>0</v>
      </c>
      <c r="K111" s="120">
        <v>0</v>
      </c>
      <c r="L111" s="117">
        <v>83.373321533203125</v>
      </c>
      <c r="M111" s="120">
        <v>83.373321533203125</v>
      </c>
      <c r="N111" s="117">
        <v>0</v>
      </c>
      <c r="O111" s="120">
        <v>0</v>
      </c>
      <c r="P111" s="117">
        <v>0</v>
      </c>
      <c r="Q111" s="120">
        <v>0</v>
      </c>
      <c r="R111" s="117">
        <v>0</v>
      </c>
      <c r="S111" s="120">
        <v>0</v>
      </c>
      <c r="T111" s="117">
        <v>0</v>
      </c>
      <c r="U111" s="119">
        <v>0</v>
      </c>
      <c r="V111" t="str">
        <f>VLOOKUP(A111,Projetos_Ciclo!$H$3:$H$124,1,FALSE)</f>
        <v>SC00418</v>
      </c>
    </row>
    <row r="112" spans="1:22" x14ac:dyDescent="0.25">
      <c r="A112" s="111" t="s">
        <v>1138</v>
      </c>
      <c r="B112" s="112" t="s">
        <v>1139</v>
      </c>
      <c r="C112" s="112" t="s">
        <v>57</v>
      </c>
      <c r="D112" s="113">
        <v>0.5</v>
      </c>
      <c r="E112" s="114">
        <v>0</v>
      </c>
      <c r="F112" s="113">
        <v>0</v>
      </c>
      <c r="G112" s="114">
        <v>0</v>
      </c>
      <c r="H112" s="113">
        <v>0</v>
      </c>
      <c r="I112" s="114">
        <v>0</v>
      </c>
      <c r="J112" s="113">
        <v>0</v>
      </c>
      <c r="K112" s="114">
        <v>0</v>
      </c>
      <c r="L112" s="113">
        <v>0</v>
      </c>
      <c r="M112" s="114">
        <v>0</v>
      </c>
      <c r="N112" s="113">
        <v>0</v>
      </c>
      <c r="O112" s="114">
        <v>0</v>
      </c>
      <c r="P112" s="113">
        <v>0</v>
      </c>
      <c r="Q112" s="114">
        <v>0</v>
      </c>
      <c r="R112" s="113">
        <v>0</v>
      </c>
      <c r="S112" s="114">
        <v>0</v>
      </c>
      <c r="T112" s="113">
        <v>0</v>
      </c>
      <c r="U112" s="115">
        <v>0</v>
      </c>
      <c r="V112" t="e">
        <f>VLOOKUP(A112,Projetos_Ciclo!$H$3:$H$124,1,FALSE)</f>
        <v>#N/A</v>
      </c>
    </row>
    <row r="113" spans="1:22" x14ac:dyDescent="0.25">
      <c r="A113" s="14" t="s">
        <v>1476</v>
      </c>
      <c r="B113" s="116" t="s">
        <v>1486</v>
      </c>
      <c r="C113" s="116" t="s">
        <v>1477</v>
      </c>
      <c r="D113" s="117">
        <v>0</v>
      </c>
      <c r="E113" s="120">
        <v>0</v>
      </c>
      <c r="F113" s="117">
        <v>0</v>
      </c>
      <c r="G113" s="120">
        <v>20</v>
      </c>
      <c r="H113" s="117">
        <v>0</v>
      </c>
      <c r="I113" s="120">
        <v>0</v>
      </c>
      <c r="J113" s="117">
        <v>0</v>
      </c>
      <c r="K113" s="120">
        <v>0</v>
      </c>
      <c r="L113" s="117">
        <v>13.62999963760376</v>
      </c>
      <c r="M113" s="120">
        <v>13.62999963760376</v>
      </c>
      <c r="N113" s="117">
        <v>0</v>
      </c>
      <c r="O113" s="120">
        <v>0</v>
      </c>
      <c r="P113" s="117">
        <v>0</v>
      </c>
      <c r="Q113" s="120">
        <v>0</v>
      </c>
      <c r="R113" s="117">
        <v>0</v>
      </c>
      <c r="S113" s="120">
        <v>0</v>
      </c>
      <c r="T113" s="117">
        <v>0</v>
      </c>
      <c r="U113" s="119">
        <v>0</v>
      </c>
      <c r="V113" t="e">
        <f>VLOOKUP(A113,Projetos_Ciclo!$H$3:$H$124,1,FALSE)</f>
        <v>#N/A</v>
      </c>
    </row>
    <row r="114" spans="1:22" x14ac:dyDescent="0.25">
      <c r="A114" s="111" t="s">
        <v>1133</v>
      </c>
      <c r="B114" s="112" t="s">
        <v>1246</v>
      </c>
      <c r="C114" s="112" t="s">
        <v>57</v>
      </c>
      <c r="D114" s="113">
        <v>0</v>
      </c>
      <c r="E114" s="114">
        <v>0</v>
      </c>
      <c r="F114" s="113">
        <v>0</v>
      </c>
      <c r="G114" s="114">
        <v>0</v>
      </c>
      <c r="H114" s="113">
        <v>0</v>
      </c>
      <c r="I114" s="114">
        <v>0</v>
      </c>
      <c r="J114" s="113">
        <v>0</v>
      </c>
      <c r="K114" s="114">
        <v>0</v>
      </c>
      <c r="L114" s="113">
        <v>0</v>
      </c>
      <c r="M114" s="114">
        <v>0</v>
      </c>
      <c r="N114" s="113">
        <v>0</v>
      </c>
      <c r="O114" s="114">
        <v>0</v>
      </c>
      <c r="P114" s="113">
        <v>0</v>
      </c>
      <c r="Q114" s="114">
        <v>0</v>
      </c>
      <c r="R114" s="113">
        <v>0</v>
      </c>
      <c r="S114" s="114">
        <v>0</v>
      </c>
      <c r="T114" s="113">
        <v>0</v>
      </c>
      <c r="U114" s="115">
        <v>0</v>
      </c>
      <c r="V114" t="e">
        <f>VLOOKUP(A114,Projetos_Ciclo!$H$3:$H$124,1,FALSE)</f>
        <v>#N/A</v>
      </c>
    </row>
    <row r="115" spans="1:22" x14ac:dyDescent="0.25">
      <c r="A115" s="14" t="s">
        <v>1135</v>
      </c>
      <c r="B115" s="116" t="s">
        <v>1136</v>
      </c>
      <c r="C115" s="116" t="s">
        <v>57</v>
      </c>
      <c r="D115" s="117">
        <v>0</v>
      </c>
      <c r="E115" s="120">
        <v>0</v>
      </c>
      <c r="F115" s="117">
        <v>0</v>
      </c>
      <c r="G115" s="120">
        <v>0</v>
      </c>
      <c r="H115" s="117">
        <v>0</v>
      </c>
      <c r="I115" s="120">
        <v>0</v>
      </c>
      <c r="J115" s="117">
        <v>0</v>
      </c>
      <c r="K115" s="120">
        <v>0</v>
      </c>
      <c r="L115" s="117">
        <v>0</v>
      </c>
      <c r="M115" s="120">
        <v>0</v>
      </c>
      <c r="N115" s="117">
        <v>0</v>
      </c>
      <c r="O115" s="120">
        <v>0</v>
      </c>
      <c r="P115" s="117">
        <v>0</v>
      </c>
      <c r="Q115" s="120">
        <v>0</v>
      </c>
      <c r="R115" s="117">
        <v>0</v>
      </c>
      <c r="S115" s="120">
        <v>0</v>
      </c>
      <c r="T115" s="117">
        <v>0</v>
      </c>
      <c r="U115" s="119">
        <v>0</v>
      </c>
      <c r="V115" t="e">
        <f>VLOOKUP(A115,Projetos_Ciclo!$H$3:$H$124,1,FALSE)</f>
        <v>#N/A</v>
      </c>
    </row>
    <row r="116" spans="1:22" x14ac:dyDescent="0.25">
      <c r="A116" s="111" t="s">
        <v>520</v>
      </c>
      <c r="B116" s="112" t="s">
        <v>1137</v>
      </c>
      <c r="C116" s="112" t="s">
        <v>57</v>
      </c>
      <c r="D116" s="113">
        <v>0</v>
      </c>
      <c r="E116" s="114">
        <v>0</v>
      </c>
      <c r="F116" s="113">
        <v>0</v>
      </c>
      <c r="G116" s="114">
        <v>0</v>
      </c>
      <c r="H116" s="113">
        <v>0</v>
      </c>
      <c r="I116" s="114">
        <v>0</v>
      </c>
      <c r="J116" s="113">
        <v>0</v>
      </c>
      <c r="K116" s="114">
        <v>0</v>
      </c>
      <c r="L116" s="113">
        <v>0</v>
      </c>
      <c r="M116" s="114">
        <v>0</v>
      </c>
      <c r="N116" s="113">
        <v>0</v>
      </c>
      <c r="O116" s="114">
        <v>0</v>
      </c>
      <c r="P116" s="113">
        <v>0</v>
      </c>
      <c r="Q116" s="114">
        <v>0</v>
      </c>
      <c r="R116" s="113">
        <v>0</v>
      </c>
      <c r="S116" s="114">
        <v>0</v>
      </c>
      <c r="T116" s="113">
        <v>0</v>
      </c>
      <c r="U116" s="115">
        <v>0</v>
      </c>
      <c r="V116" t="str">
        <f>VLOOKUP(A116,Projetos_Ciclo!$H$3:$H$124,1,FALSE)</f>
        <v>NA</v>
      </c>
    </row>
    <row r="117" spans="1:22" x14ac:dyDescent="0.25">
      <c r="A117" s="14" t="s">
        <v>1138</v>
      </c>
      <c r="B117" s="116" t="s">
        <v>1139</v>
      </c>
      <c r="C117" s="116" t="s">
        <v>57</v>
      </c>
      <c r="D117" s="117">
        <v>-1</v>
      </c>
      <c r="E117" s="120">
        <v>0</v>
      </c>
      <c r="F117" s="117">
        <v>0</v>
      </c>
      <c r="G117" s="120">
        <v>0</v>
      </c>
      <c r="H117" s="117">
        <v>0</v>
      </c>
      <c r="I117" s="120">
        <v>0</v>
      </c>
      <c r="J117" s="117">
        <v>0</v>
      </c>
      <c r="K117" s="120">
        <v>0</v>
      </c>
      <c r="L117" s="117">
        <v>0</v>
      </c>
      <c r="M117" s="120">
        <v>0</v>
      </c>
      <c r="N117" s="117">
        <v>0</v>
      </c>
      <c r="O117" s="120">
        <v>0</v>
      </c>
      <c r="P117" s="117">
        <v>0</v>
      </c>
      <c r="Q117" s="120">
        <v>0</v>
      </c>
      <c r="R117" s="117">
        <v>0</v>
      </c>
      <c r="S117" s="120">
        <v>0</v>
      </c>
      <c r="T117" s="117">
        <v>0</v>
      </c>
      <c r="U117" s="119">
        <v>0</v>
      </c>
      <c r="V117" t="e">
        <f>VLOOKUP(A117,Projetos_Ciclo!$H$3:$H$124,1,FALSE)</f>
        <v>#N/A</v>
      </c>
    </row>
    <row r="118" spans="1:22" x14ac:dyDescent="0.25">
      <c r="A118" s="111" t="s">
        <v>1247</v>
      </c>
      <c r="B118" s="112" t="s">
        <v>1248</v>
      </c>
      <c r="C118" s="112" t="s">
        <v>1249</v>
      </c>
      <c r="D118" s="113">
        <v>34563</v>
      </c>
      <c r="E118" s="114">
        <v>0</v>
      </c>
      <c r="F118" s="113">
        <v>4112</v>
      </c>
      <c r="G118" s="114">
        <v>0</v>
      </c>
      <c r="H118" s="113">
        <v>0</v>
      </c>
      <c r="I118" s="114">
        <v>0</v>
      </c>
      <c r="J118" s="113">
        <v>0</v>
      </c>
      <c r="K118" s="114">
        <v>0</v>
      </c>
      <c r="L118" s="113">
        <v>0</v>
      </c>
      <c r="M118" s="114">
        <v>0</v>
      </c>
      <c r="N118" s="113">
        <v>5203</v>
      </c>
      <c r="O118" s="114">
        <v>8313</v>
      </c>
      <c r="P118" s="113">
        <v>9847</v>
      </c>
      <c r="Q118" s="114">
        <v>7088</v>
      </c>
      <c r="R118" s="113">
        <v>0</v>
      </c>
      <c r="S118" s="114">
        <v>0</v>
      </c>
      <c r="T118" s="113">
        <v>0</v>
      </c>
      <c r="U118" s="115">
        <v>0</v>
      </c>
      <c r="V118" t="e">
        <f>VLOOKUP(A118,Projetos_Ciclo!$H$3:$H$124,1,FALSE)</f>
        <v>#N/A</v>
      </c>
    </row>
    <row r="119" spans="1:22" x14ac:dyDescent="0.25">
      <c r="A119" s="14" t="s">
        <v>1131</v>
      </c>
      <c r="B119" s="116" t="s">
        <v>1250</v>
      </c>
      <c r="C119" s="116" t="s">
        <v>1132</v>
      </c>
      <c r="D119" s="117">
        <v>0</v>
      </c>
      <c r="E119" s="120">
        <v>0</v>
      </c>
      <c r="F119" s="117">
        <v>0</v>
      </c>
      <c r="G119" s="120">
        <v>367</v>
      </c>
      <c r="H119" s="117">
        <v>0</v>
      </c>
      <c r="I119" s="120">
        <v>0</v>
      </c>
      <c r="J119" s="117">
        <v>0</v>
      </c>
      <c r="K119" s="120">
        <v>0</v>
      </c>
      <c r="L119" s="117">
        <v>356.9999942779541</v>
      </c>
      <c r="M119" s="120">
        <v>356.9999942779541</v>
      </c>
      <c r="N119" s="117">
        <v>0</v>
      </c>
      <c r="O119" s="120">
        <v>0</v>
      </c>
      <c r="P119" s="117">
        <v>0</v>
      </c>
      <c r="Q119" s="120">
        <v>0</v>
      </c>
      <c r="R119" s="117">
        <v>0</v>
      </c>
      <c r="S119" s="120">
        <v>0</v>
      </c>
      <c r="T119" s="117">
        <v>0</v>
      </c>
      <c r="U119" s="119">
        <v>0</v>
      </c>
      <c r="V119" t="e">
        <f>VLOOKUP(A119,Projetos_Ciclo!$H$3:$H$124,1,FALSE)</f>
        <v>#N/A</v>
      </c>
    </row>
    <row r="120" spans="1:22" x14ac:dyDescent="0.25">
      <c r="A120" s="111" t="s">
        <v>1251</v>
      </c>
      <c r="B120" s="112" t="s">
        <v>1252</v>
      </c>
      <c r="C120" s="112" t="s">
        <v>1253</v>
      </c>
      <c r="D120" s="113">
        <v>0</v>
      </c>
      <c r="E120" s="114">
        <v>0</v>
      </c>
      <c r="F120" s="113">
        <v>0</v>
      </c>
      <c r="G120" s="114">
        <v>108</v>
      </c>
      <c r="H120" s="113">
        <v>0</v>
      </c>
      <c r="I120" s="114">
        <v>0</v>
      </c>
      <c r="J120" s="113">
        <v>0</v>
      </c>
      <c r="K120" s="114">
        <v>0</v>
      </c>
      <c r="L120" s="113">
        <v>22.19502067565918</v>
      </c>
      <c r="M120" s="114">
        <v>22.19502067565918</v>
      </c>
      <c r="N120" s="113">
        <v>0</v>
      </c>
      <c r="O120" s="114">
        <v>0</v>
      </c>
      <c r="P120" s="113">
        <v>0</v>
      </c>
      <c r="Q120" s="114">
        <v>0</v>
      </c>
      <c r="R120" s="113">
        <v>0</v>
      </c>
      <c r="S120" s="114">
        <v>0</v>
      </c>
      <c r="T120" s="113">
        <v>0</v>
      </c>
      <c r="U120" s="115">
        <v>0</v>
      </c>
      <c r="V120" t="e">
        <f>VLOOKUP(A120,Projetos_Ciclo!$H$3:$H$124,1,FALSE)</f>
        <v>#N/A</v>
      </c>
    </row>
    <row r="121" spans="1:22" x14ac:dyDescent="0.25">
      <c r="A121" s="14" t="s">
        <v>1460</v>
      </c>
      <c r="B121" s="116" t="s">
        <v>944</v>
      </c>
      <c r="C121" s="116" t="s">
        <v>1461</v>
      </c>
      <c r="D121" s="117">
        <v>0</v>
      </c>
      <c r="E121" s="120">
        <v>0</v>
      </c>
      <c r="F121" s="117">
        <v>0</v>
      </c>
      <c r="G121" s="120">
        <v>200</v>
      </c>
      <c r="H121" s="117">
        <v>0</v>
      </c>
      <c r="I121" s="120">
        <v>0</v>
      </c>
      <c r="J121" s="117">
        <v>0</v>
      </c>
      <c r="K121" s="120">
        <v>0</v>
      </c>
      <c r="L121" s="117">
        <v>0</v>
      </c>
      <c r="M121" s="120">
        <v>0</v>
      </c>
      <c r="N121" s="117">
        <v>0</v>
      </c>
      <c r="O121" s="120">
        <v>0</v>
      </c>
      <c r="P121" s="117">
        <v>0</v>
      </c>
      <c r="Q121" s="120">
        <v>0</v>
      </c>
      <c r="R121" s="117">
        <v>0</v>
      </c>
      <c r="S121" s="120">
        <v>0</v>
      </c>
      <c r="T121" s="117">
        <v>0</v>
      </c>
      <c r="U121" s="119">
        <v>0</v>
      </c>
      <c r="V121" t="e">
        <f>VLOOKUP(A121,Projetos_Ciclo!$H$3:$H$124,1,FALSE)</f>
        <v>#N/A</v>
      </c>
    </row>
    <row r="122" spans="1:22" x14ac:dyDescent="0.25">
      <c r="A122" s="111" t="s">
        <v>1133</v>
      </c>
      <c r="B122" s="112" t="s">
        <v>1254</v>
      </c>
      <c r="C122" s="112" t="s">
        <v>57</v>
      </c>
      <c r="D122" s="113">
        <v>0</v>
      </c>
      <c r="E122" s="114">
        <v>0</v>
      </c>
      <c r="F122" s="113">
        <v>0</v>
      </c>
      <c r="G122" s="114">
        <v>0</v>
      </c>
      <c r="H122" s="113">
        <v>0</v>
      </c>
      <c r="I122" s="114">
        <v>0</v>
      </c>
      <c r="J122" s="113">
        <v>0</v>
      </c>
      <c r="K122" s="114">
        <v>0</v>
      </c>
      <c r="L122" s="113">
        <v>0</v>
      </c>
      <c r="M122" s="114">
        <v>0</v>
      </c>
      <c r="N122" s="113">
        <v>0</v>
      </c>
      <c r="O122" s="114">
        <v>0</v>
      </c>
      <c r="P122" s="113">
        <v>0</v>
      </c>
      <c r="Q122" s="114">
        <v>0</v>
      </c>
      <c r="R122" s="113">
        <v>0</v>
      </c>
      <c r="S122" s="114">
        <v>0</v>
      </c>
      <c r="T122" s="113">
        <v>0</v>
      </c>
      <c r="U122" s="115">
        <v>0</v>
      </c>
      <c r="V122" t="e">
        <f>VLOOKUP(A122,Projetos_Ciclo!$H$3:$H$124,1,FALSE)</f>
        <v>#N/A</v>
      </c>
    </row>
    <row r="123" spans="1:22" x14ac:dyDescent="0.25">
      <c r="A123" s="14" t="s">
        <v>1135</v>
      </c>
      <c r="B123" s="116" t="s">
        <v>1136</v>
      </c>
      <c r="C123" s="116" t="s">
        <v>57</v>
      </c>
      <c r="D123" s="117">
        <v>0</v>
      </c>
      <c r="E123" s="120">
        <v>0</v>
      </c>
      <c r="F123" s="117">
        <v>0</v>
      </c>
      <c r="G123" s="120">
        <v>0</v>
      </c>
      <c r="H123" s="117">
        <v>0</v>
      </c>
      <c r="I123" s="120">
        <v>0</v>
      </c>
      <c r="J123" s="117">
        <v>0</v>
      </c>
      <c r="K123" s="120">
        <v>0</v>
      </c>
      <c r="L123" s="117">
        <v>0</v>
      </c>
      <c r="M123" s="120">
        <v>0</v>
      </c>
      <c r="N123" s="117">
        <v>0</v>
      </c>
      <c r="O123" s="120">
        <v>0</v>
      </c>
      <c r="P123" s="117">
        <v>0</v>
      </c>
      <c r="Q123" s="120">
        <v>0</v>
      </c>
      <c r="R123" s="117">
        <v>0</v>
      </c>
      <c r="S123" s="120">
        <v>0</v>
      </c>
      <c r="T123" s="117">
        <v>0</v>
      </c>
      <c r="U123" s="119">
        <v>0</v>
      </c>
      <c r="V123" t="e">
        <f>VLOOKUP(A123,Projetos_Ciclo!$H$3:$H$124,1,FALSE)</f>
        <v>#N/A</v>
      </c>
    </row>
    <row r="124" spans="1:22" x14ac:dyDescent="0.25">
      <c r="A124" s="111" t="s">
        <v>520</v>
      </c>
      <c r="B124" s="112" t="s">
        <v>1255</v>
      </c>
      <c r="C124" s="112" t="s">
        <v>57</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c r="V124" t="str">
        <f>VLOOKUP(A124,Projetos_Ciclo!$H$3:$H$124,1,FALSE)</f>
        <v>NA</v>
      </c>
    </row>
    <row r="125" spans="1:22" x14ac:dyDescent="0.25">
      <c r="A125" s="14" t="s">
        <v>1138</v>
      </c>
      <c r="B125" s="116" t="s">
        <v>1139</v>
      </c>
      <c r="C125" s="116" t="s">
        <v>57</v>
      </c>
      <c r="D125" s="117">
        <v>0</v>
      </c>
      <c r="E125" s="120">
        <v>0</v>
      </c>
      <c r="F125" s="117">
        <v>0</v>
      </c>
      <c r="G125" s="120">
        <v>0</v>
      </c>
      <c r="H125" s="117">
        <v>0</v>
      </c>
      <c r="I125" s="120">
        <v>0</v>
      </c>
      <c r="J125" s="117">
        <v>0</v>
      </c>
      <c r="K125" s="120">
        <v>0</v>
      </c>
      <c r="L125" s="117">
        <v>0</v>
      </c>
      <c r="M125" s="120">
        <v>0</v>
      </c>
      <c r="N125" s="117">
        <v>0</v>
      </c>
      <c r="O125" s="120">
        <v>0</v>
      </c>
      <c r="P125" s="117">
        <v>0</v>
      </c>
      <c r="Q125" s="120">
        <v>0</v>
      </c>
      <c r="R125" s="117">
        <v>0</v>
      </c>
      <c r="S125" s="120">
        <v>0</v>
      </c>
      <c r="T125" s="117">
        <v>0</v>
      </c>
      <c r="U125" s="119">
        <v>0</v>
      </c>
      <c r="V125" t="e">
        <f>VLOOKUP(A125,Projetos_Ciclo!$H$3:$H$124,1,FALSE)</f>
        <v>#N/A</v>
      </c>
    </row>
    <row r="126" spans="1:22" x14ac:dyDescent="0.25">
      <c r="A126" s="111" t="s">
        <v>1256</v>
      </c>
      <c r="B126" s="112" t="s">
        <v>1257</v>
      </c>
      <c r="C126" s="112" t="s">
        <v>1258</v>
      </c>
      <c r="D126" s="113">
        <v>25864</v>
      </c>
      <c r="E126" s="114">
        <v>0</v>
      </c>
      <c r="F126" s="113">
        <v>4684</v>
      </c>
      <c r="G126" s="114">
        <v>0</v>
      </c>
      <c r="H126" s="113">
        <v>0</v>
      </c>
      <c r="I126" s="114">
        <v>0</v>
      </c>
      <c r="J126" s="113">
        <v>0</v>
      </c>
      <c r="K126" s="114">
        <v>0</v>
      </c>
      <c r="L126" s="113">
        <v>0</v>
      </c>
      <c r="M126" s="114">
        <v>0</v>
      </c>
      <c r="N126" s="113">
        <v>15470</v>
      </c>
      <c r="O126" s="114">
        <v>2660</v>
      </c>
      <c r="P126" s="113">
        <v>390</v>
      </c>
      <c r="Q126" s="114">
        <v>2660</v>
      </c>
      <c r="R126" s="113">
        <v>0</v>
      </c>
      <c r="S126" s="114">
        <v>0</v>
      </c>
      <c r="T126" s="113">
        <v>0</v>
      </c>
      <c r="U126" s="115">
        <v>0</v>
      </c>
      <c r="V126" t="e">
        <f>VLOOKUP(A126,Projetos_Ciclo!$H$3:$H$124,1,FALSE)</f>
        <v>#N/A</v>
      </c>
    </row>
    <row r="127" spans="1:22" x14ac:dyDescent="0.25">
      <c r="A127" s="14" t="s">
        <v>655</v>
      </c>
      <c r="B127" s="116" t="s">
        <v>1259</v>
      </c>
      <c r="C127" s="116" t="s">
        <v>1260</v>
      </c>
      <c r="D127" s="117">
        <v>0</v>
      </c>
      <c r="E127" s="120">
        <v>0</v>
      </c>
      <c r="F127" s="117">
        <v>0</v>
      </c>
      <c r="G127" s="120">
        <v>280</v>
      </c>
      <c r="H127" s="117">
        <v>0</v>
      </c>
      <c r="I127" s="120">
        <v>0</v>
      </c>
      <c r="J127" s="117">
        <v>0</v>
      </c>
      <c r="K127" s="120">
        <v>0</v>
      </c>
      <c r="L127" s="117">
        <v>0</v>
      </c>
      <c r="M127" s="120">
        <v>0</v>
      </c>
      <c r="N127" s="117">
        <v>0</v>
      </c>
      <c r="O127" s="120">
        <v>0</v>
      </c>
      <c r="P127" s="117">
        <v>0</v>
      </c>
      <c r="Q127" s="120">
        <v>0</v>
      </c>
      <c r="R127" s="117">
        <v>0</v>
      </c>
      <c r="S127" s="120">
        <v>0</v>
      </c>
      <c r="T127" s="117">
        <v>0</v>
      </c>
      <c r="U127" s="119">
        <v>0</v>
      </c>
      <c r="V127" t="e">
        <f>VLOOKUP(A127,Projetos_Ciclo!$H$3:$H$124,1,FALSE)</f>
        <v>#N/A</v>
      </c>
    </row>
    <row r="128" spans="1:22" x14ac:dyDescent="0.25">
      <c r="A128" s="111" t="s">
        <v>1401</v>
      </c>
      <c r="B128" s="112" t="s">
        <v>1402</v>
      </c>
      <c r="C128" s="112" t="s">
        <v>1403</v>
      </c>
      <c r="D128" s="113">
        <v>0</v>
      </c>
      <c r="E128" s="114">
        <v>0</v>
      </c>
      <c r="F128" s="113">
        <v>0</v>
      </c>
      <c r="G128" s="114">
        <v>4184</v>
      </c>
      <c r="H128" s="113">
        <v>0</v>
      </c>
      <c r="I128" s="114">
        <v>0</v>
      </c>
      <c r="J128" s="113">
        <v>0</v>
      </c>
      <c r="K128" s="114">
        <v>0</v>
      </c>
      <c r="L128" s="113">
        <v>4157.25</v>
      </c>
      <c r="M128" s="114">
        <v>4157.25</v>
      </c>
      <c r="N128" s="113">
        <v>0</v>
      </c>
      <c r="O128" s="114">
        <v>0</v>
      </c>
      <c r="P128" s="113">
        <v>0</v>
      </c>
      <c r="Q128" s="114">
        <v>0</v>
      </c>
      <c r="R128" s="113">
        <v>0</v>
      </c>
      <c r="S128" s="114">
        <v>0</v>
      </c>
      <c r="T128" s="113">
        <v>0</v>
      </c>
      <c r="U128" s="115">
        <v>0</v>
      </c>
      <c r="V128" t="e">
        <f>VLOOKUP(A128,Projetos_Ciclo!$H$3:$H$124,1,FALSE)</f>
        <v>#N/A</v>
      </c>
    </row>
    <row r="129" spans="1:22" x14ac:dyDescent="0.25">
      <c r="A129" s="14" t="s">
        <v>1462</v>
      </c>
      <c r="B129" s="116" t="s">
        <v>1463</v>
      </c>
      <c r="C129" s="116" t="s">
        <v>1464</v>
      </c>
      <c r="D129" s="117">
        <v>0</v>
      </c>
      <c r="E129" s="120">
        <v>0</v>
      </c>
      <c r="F129" s="117">
        <v>0</v>
      </c>
      <c r="G129" s="120">
        <v>55</v>
      </c>
      <c r="H129" s="117">
        <v>0</v>
      </c>
      <c r="I129" s="120">
        <v>16.69773006439209</v>
      </c>
      <c r="J129" s="117">
        <v>0</v>
      </c>
      <c r="K129" s="120">
        <v>16.69773006439209</v>
      </c>
      <c r="L129" s="117">
        <v>35.170589447021484</v>
      </c>
      <c r="M129" s="120">
        <v>51.868319511413574</v>
      </c>
      <c r="N129" s="117">
        <v>0</v>
      </c>
      <c r="O129" s="120">
        <v>0</v>
      </c>
      <c r="P129" s="117">
        <v>0</v>
      </c>
      <c r="Q129" s="120">
        <v>0</v>
      </c>
      <c r="R129" s="117">
        <v>0</v>
      </c>
      <c r="S129" s="120">
        <v>0</v>
      </c>
      <c r="T129" s="117">
        <v>0</v>
      </c>
      <c r="U129" s="119">
        <v>0</v>
      </c>
      <c r="V129" t="e">
        <f>VLOOKUP(A129,Projetos_Ciclo!$H$3:$H$124,1,FALSE)</f>
        <v>#N/A</v>
      </c>
    </row>
    <row r="130" spans="1:22" x14ac:dyDescent="0.25">
      <c r="A130" s="111" t="s">
        <v>1133</v>
      </c>
      <c r="B130" s="112" t="s">
        <v>1261</v>
      </c>
      <c r="C130" s="112" t="s">
        <v>57</v>
      </c>
      <c r="D130" s="113">
        <v>0</v>
      </c>
      <c r="E130" s="114">
        <v>0</v>
      </c>
      <c r="F130" s="113">
        <v>0</v>
      </c>
      <c r="G130" s="114">
        <v>0</v>
      </c>
      <c r="H130" s="113">
        <v>0</v>
      </c>
      <c r="I130" s="114">
        <v>0</v>
      </c>
      <c r="J130" s="113">
        <v>0</v>
      </c>
      <c r="K130" s="114">
        <v>0</v>
      </c>
      <c r="L130" s="113">
        <v>0</v>
      </c>
      <c r="M130" s="114">
        <v>0</v>
      </c>
      <c r="N130" s="113">
        <v>0</v>
      </c>
      <c r="O130" s="114">
        <v>0</v>
      </c>
      <c r="P130" s="113">
        <v>0</v>
      </c>
      <c r="Q130" s="114">
        <v>0</v>
      </c>
      <c r="R130" s="113">
        <v>0</v>
      </c>
      <c r="S130" s="114">
        <v>0</v>
      </c>
      <c r="T130" s="113">
        <v>0</v>
      </c>
      <c r="U130" s="115">
        <v>0</v>
      </c>
      <c r="V130" t="e">
        <f>VLOOKUP(A130,Projetos_Ciclo!$H$3:$H$124,1,FALSE)</f>
        <v>#N/A</v>
      </c>
    </row>
    <row r="131" spans="1:22" x14ac:dyDescent="0.25">
      <c r="A131" s="14" t="s">
        <v>1135</v>
      </c>
      <c r="B131" s="116" t="s">
        <v>1136</v>
      </c>
      <c r="C131" s="116" t="s">
        <v>57</v>
      </c>
      <c r="D131" s="117">
        <v>0</v>
      </c>
      <c r="E131" s="120">
        <v>0</v>
      </c>
      <c r="F131" s="117">
        <v>0</v>
      </c>
      <c r="G131" s="120">
        <v>0</v>
      </c>
      <c r="H131" s="117">
        <v>0</v>
      </c>
      <c r="I131" s="120">
        <v>0</v>
      </c>
      <c r="J131" s="117">
        <v>0</v>
      </c>
      <c r="K131" s="120">
        <v>0</v>
      </c>
      <c r="L131" s="117">
        <v>0</v>
      </c>
      <c r="M131" s="120">
        <v>0</v>
      </c>
      <c r="N131" s="117">
        <v>0</v>
      </c>
      <c r="O131" s="120">
        <v>0</v>
      </c>
      <c r="P131" s="117">
        <v>0</v>
      </c>
      <c r="Q131" s="120">
        <v>0</v>
      </c>
      <c r="R131" s="117">
        <v>0</v>
      </c>
      <c r="S131" s="120">
        <v>0</v>
      </c>
      <c r="T131" s="117">
        <v>0</v>
      </c>
      <c r="U131" s="119">
        <v>0</v>
      </c>
      <c r="V131" t="e">
        <f>VLOOKUP(A131,Projetos_Ciclo!$H$3:$H$124,1,FALSE)</f>
        <v>#N/A</v>
      </c>
    </row>
    <row r="132" spans="1:22" x14ac:dyDescent="0.25">
      <c r="A132" s="111" t="s">
        <v>520</v>
      </c>
      <c r="B132" s="112" t="s">
        <v>1262</v>
      </c>
      <c r="C132" s="112" t="s">
        <v>57</v>
      </c>
      <c r="D132" s="113">
        <v>136171</v>
      </c>
      <c r="E132" s="114">
        <v>0</v>
      </c>
      <c r="F132" s="113">
        <v>0</v>
      </c>
      <c r="G132" s="114">
        <v>0</v>
      </c>
      <c r="H132" s="113">
        <v>0</v>
      </c>
      <c r="I132" s="114">
        <v>0</v>
      </c>
      <c r="J132" s="113">
        <v>0</v>
      </c>
      <c r="K132" s="114">
        <v>0</v>
      </c>
      <c r="L132" s="113">
        <v>0</v>
      </c>
      <c r="M132" s="114">
        <v>0</v>
      </c>
      <c r="N132" s="113">
        <v>44444</v>
      </c>
      <c r="O132" s="114">
        <v>45931</v>
      </c>
      <c r="P132" s="113">
        <v>19449</v>
      </c>
      <c r="Q132" s="114">
        <v>26347</v>
      </c>
      <c r="R132" s="113">
        <v>0</v>
      </c>
      <c r="S132" s="114">
        <v>0</v>
      </c>
      <c r="T132" s="113">
        <v>0</v>
      </c>
      <c r="U132" s="115">
        <v>0</v>
      </c>
      <c r="V132" t="str">
        <f>VLOOKUP(A132,Projetos_Ciclo!$H$3:$H$124,1,FALSE)</f>
        <v>NA</v>
      </c>
    </row>
    <row r="133" spans="1:22" x14ac:dyDescent="0.25">
      <c r="A133" s="14" t="s">
        <v>1138</v>
      </c>
      <c r="B133" s="116" t="s">
        <v>1139</v>
      </c>
      <c r="C133" s="116" t="s">
        <v>57</v>
      </c>
      <c r="D133" s="117">
        <v>0</v>
      </c>
      <c r="E133" s="120">
        <v>0</v>
      </c>
      <c r="F133" s="117">
        <v>0</v>
      </c>
      <c r="G133" s="120">
        <v>0</v>
      </c>
      <c r="H133" s="117">
        <v>0</v>
      </c>
      <c r="I133" s="120">
        <v>0</v>
      </c>
      <c r="J133" s="117">
        <v>0</v>
      </c>
      <c r="K133" s="120">
        <v>0</v>
      </c>
      <c r="L133" s="117">
        <v>0</v>
      </c>
      <c r="M133" s="120">
        <v>0</v>
      </c>
      <c r="N133" s="117">
        <v>0</v>
      </c>
      <c r="O133" s="120">
        <v>0</v>
      </c>
      <c r="P133" s="117">
        <v>0</v>
      </c>
      <c r="Q133" s="120">
        <v>0</v>
      </c>
      <c r="R133" s="117">
        <v>0</v>
      </c>
      <c r="S133" s="120">
        <v>0</v>
      </c>
      <c r="T133" s="117">
        <v>0</v>
      </c>
      <c r="U133" s="119">
        <v>0</v>
      </c>
      <c r="V133" t="e">
        <f>VLOOKUP(A133,Projetos_Ciclo!$H$3:$H$124,1,FALSE)</f>
        <v>#N/A</v>
      </c>
    </row>
    <row r="134" spans="1:22" x14ac:dyDescent="0.25">
      <c r="A134" s="111" t="s">
        <v>1077</v>
      </c>
      <c r="B134" s="112" t="s">
        <v>1149</v>
      </c>
      <c r="C134" s="112" t="s">
        <v>1263</v>
      </c>
      <c r="D134" s="113">
        <v>0</v>
      </c>
      <c r="E134" s="114">
        <v>0</v>
      </c>
      <c r="F134" s="113">
        <v>0</v>
      </c>
      <c r="G134" s="114">
        <v>479</v>
      </c>
      <c r="H134" s="113">
        <v>0</v>
      </c>
      <c r="I134" s="114">
        <v>479.32675170898437</v>
      </c>
      <c r="J134" s="113">
        <v>0</v>
      </c>
      <c r="K134" s="114">
        <v>479.32675170898437</v>
      </c>
      <c r="L134" s="113">
        <v>0</v>
      </c>
      <c r="M134" s="114">
        <v>479.32675170898437</v>
      </c>
      <c r="N134" s="113">
        <v>0</v>
      </c>
      <c r="O134" s="114">
        <v>0</v>
      </c>
      <c r="P134" s="113">
        <v>0</v>
      </c>
      <c r="Q134" s="114">
        <v>0</v>
      </c>
      <c r="R134" s="113">
        <v>0</v>
      </c>
      <c r="S134" s="114">
        <v>0</v>
      </c>
      <c r="T134" s="113">
        <v>0</v>
      </c>
      <c r="U134" s="115">
        <v>0</v>
      </c>
      <c r="V134" t="e">
        <f>VLOOKUP(A134,Projetos_Ciclo!$H$3:$H$124,1,FALSE)</f>
        <v>#N/A</v>
      </c>
    </row>
    <row r="135" spans="1:22" x14ac:dyDescent="0.25">
      <c r="A135" s="14" t="s">
        <v>1116</v>
      </c>
      <c r="B135" s="116" t="s">
        <v>1118</v>
      </c>
      <c r="C135" s="116" t="s">
        <v>1117</v>
      </c>
      <c r="D135" s="117">
        <v>0</v>
      </c>
      <c r="E135" s="120">
        <v>0</v>
      </c>
      <c r="F135" s="117">
        <v>0</v>
      </c>
      <c r="G135" s="120">
        <v>14</v>
      </c>
      <c r="H135" s="117">
        <v>0</v>
      </c>
      <c r="I135" s="120">
        <v>14.010740280151367</v>
      </c>
      <c r="J135" s="117">
        <v>0</v>
      </c>
      <c r="K135" s="120">
        <v>14.010740280151367</v>
      </c>
      <c r="L135" s="117">
        <v>0</v>
      </c>
      <c r="M135" s="120">
        <v>14.010740280151367</v>
      </c>
      <c r="N135" s="117">
        <v>0</v>
      </c>
      <c r="O135" s="120">
        <v>0</v>
      </c>
      <c r="P135" s="117">
        <v>0</v>
      </c>
      <c r="Q135" s="120">
        <v>0</v>
      </c>
      <c r="R135" s="117">
        <v>0</v>
      </c>
      <c r="S135" s="120">
        <v>0</v>
      </c>
      <c r="T135" s="117">
        <v>0</v>
      </c>
      <c r="U135" s="119">
        <v>0</v>
      </c>
      <c r="V135" t="e">
        <f>VLOOKUP(A135,Projetos_Ciclo!$H$3:$H$124,1,FALSE)</f>
        <v>#N/A</v>
      </c>
    </row>
    <row r="136" spans="1:22" x14ac:dyDescent="0.25">
      <c r="A136" s="111" t="s">
        <v>1124</v>
      </c>
      <c r="B136" s="112" t="s">
        <v>1126</v>
      </c>
      <c r="C136" s="112" t="s">
        <v>1125</v>
      </c>
      <c r="D136" s="113">
        <v>0</v>
      </c>
      <c r="E136" s="114">
        <v>0</v>
      </c>
      <c r="F136" s="113">
        <v>0</v>
      </c>
      <c r="G136" s="114">
        <v>10</v>
      </c>
      <c r="H136" s="113">
        <v>0</v>
      </c>
      <c r="I136" s="114">
        <v>9.5870800018310547</v>
      </c>
      <c r="J136" s="113">
        <v>0</v>
      </c>
      <c r="K136" s="114">
        <v>9.5870800018310547</v>
      </c>
      <c r="L136" s="113">
        <v>0</v>
      </c>
      <c r="M136" s="114">
        <v>9.5870800018310547</v>
      </c>
      <c r="N136" s="113">
        <v>0</v>
      </c>
      <c r="O136" s="114">
        <v>0</v>
      </c>
      <c r="P136" s="113">
        <v>0</v>
      </c>
      <c r="Q136" s="114">
        <v>0</v>
      </c>
      <c r="R136" s="113">
        <v>0</v>
      </c>
      <c r="S136" s="114">
        <v>0</v>
      </c>
      <c r="T136" s="113">
        <v>0</v>
      </c>
      <c r="U136" s="115">
        <v>0</v>
      </c>
      <c r="V136" t="e">
        <f>VLOOKUP(A136,Projetos_Ciclo!$H$3:$H$124,1,FALSE)</f>
        <v>#N/A</v>
      </c>
    </row>
    <row r="137" spans="1:22" x14ac:dyDescent="0.25">
      <c r="A137" s="14" t="s">
        <v>1120</v>
      </c>
      <c r="B137" s="116" t="s">
        <v>1122</v>
      </c>
      <c r="C137" s="116" t="s">
        <v>1121</v>
      </c>
      <c r="D137" s="117">
        <v>0</v>
      </c>
      <c r="E137" s="120">
        <v>0</v>
      </c>
      <c r="F137" s="117">
        <v>0</v>
      </c>
      <c r="G137" s="120">
        <v>11</v>
      </c>
      <c r="H137" s="117">
        <v>0</v>
      </c>
      <c r="I137" s="120">
        <v>10.502650260925293</v>
      </c>
      <c r="J137" s="117">
        <v>0</v>
      </c>
      <c r="K137" s="120">
        <v>10.502650260925293</v>
      </c>
      <c r="L137" s="117">
        <v>0</v>
      </c>
      <c r="M137" s="120">
        <v>10.502650260925293</v>
      </c>
      <c r="N137" s="117">
        <v>0</v>
      </c>
      <c r="O137" s="120">
        <v>0</v>
      </c>
      <c r="P137" s="117">
        <v>0</v>
      </c>
      <c r="Q137" s="120">
        <v>0</v>
      </c>
      <c r="R137" s="117">
        <v>0</v>
      </c>
      <c r="S137" s="120">
        <v>0</v>
      </c>
      <c r="T137" s="117">
        <v>0</v>
      </c>
      <c r="U137" s="119">
        <v>0</v>
      </c>
      <c r="V137" t="e">
        <f>VLOOKUP(A137,Projetos_Ciclo!$H$3:$H$124,1,FALSE)</f>
        <v>#N/A</v>
      </c>
    </row>
    <row r="138" spans="1:22" x14ac:dyDescent="0.25">
      <c r="A138" s="111" t="s">
        <v>702</v>
      </c>
      <c r="B138" s="112" t="s">
        <v>1264</v>
      </c>
      <c r="C138" s="112" t="s">
        <v>1265</v>
      </c>
      <c r="D138" s="113">
        <v>0</v>
      </c>
      <c r="E138" s="114">
        <v>0</v>
      </c>
      <c r="F138" s="113">
        <v>0</v>
      </c>
      <c r="G138" s="114">
        <v>101</v>
      </c>
      <c r="H138" s="113">
        <v>0</v>
      </c>
      <c r="I138" s="114">
        <v>52.566009163856506</v>
      </c>
      <c r="J138" s="113">
        <v>0</v>
      </c>
      <c r="K138" s="114">
        <v>52.566009163856506</v>
      </c>
      <c r="L138" s="113">
        <v>0</v>
      </c>
      <c r="M138" s="114">
        <v>52.566009163856506</v>
      </c>
      <c r="N138" s="113">
        <v>0</v>
      </c>
      <c r="O138" s="114">
        <v>0</v>
      </c>
      <c r="P138" s="113">
        <v>0</v>
      </c>
      <c r="Q138" s="114">
        <v>0</v>
      </c>
      <c r="R138" s="113">
        <v>0</v>
      </c>
      <c r="S138" s="114">
        <v>0</v>
      </c>
      <c r="T138" s="113">
        <v>0</v>
      </c>
      <c r="U138" s="115">
        <v>0</v>
      </c>
      <c r="V138" t="e">
        <f>VLOOKUP(A138,Projetos_Ciclo!$H$3:$H$124,1,FALSE)</f>
        <v>#N/A</v>
      </c>
    </row>
    <row r="139" spans="1:22" x14ac:dyDescent="0.25">
      <c r="A139" s="14" t="s">
        <v>1266</v>
      </c>
      <c r="B139" s="116" t="s">
        <v>1267</v>
      </c>
      <c r="C139" s="116" t="s">
        <v>1268</v>
      </c>
      <c r="D139" s="117">
        <v>0</v>
      </c>
      <c r="E139" s="120">
        <v>0</v>
      </c>
      <c r="F139" s="117">
        <v>0</v>
      </c>
      <c r="G139" s="120">
        <v>0</v>
      </c>
      <c r="H139" s="117">
        <v>0</v>
      </c>
      <c r="I139" s="120">
        <v>0</v>
      </c>
      <c r="J139" s="117">
        <v>0</v>
      </c>
      <c r="K139" s="120">
        <v>0</v>
      </c>
      <c r="L139" s="117">
        <v>0</v>
      </c>
      <c r="M139" s="120">
        <v>0</v>
      </c>
      <c r="N139" s="117">
        <v>0</v>
      </c>
      <c r="O139" s="120">
        <v>0</v>
      </c>
      <c r="P139" s="117">
        <v>0</v>
      </c>
      <c r="Q139" s="120">
        <v>0</v>
      </c>
      <c r="R139" s="117">
        <v>0</v>
      </c>
      <c r="S139" s="120">
        <v>0</v>
      </c>
      <c r="T139" s="117">
        <v>0</v>
      </c>
      <c r="U139" s="119">
        <v>0</v>
      </c>
      <c r="V139" t="e">
        <f>VLOOKUP(A139,Projetos_Ciclo!$H$3:$H$124,1,FALSE)</f>
        <v>#N/A</v>
      </c>
    </row>
    <row r="140" spans="1:22" x14ac:dyDescent="0.25">
      <c r="A140" s="111" t="s">
        <v>701</v>
      </c>
      <c r="B140" s="112" t="s">
        <v>316</v>
      </c>
      <c r="C140" s="112" t="s">
        <v>1269</v>
      </c>
      <c r="D140" s="113">
        <v>0</v>
      </c>
      <c r="E140" s="114">
        <v>0</v>
      </c>
      <c r="F140" s="113">
        <v>0</v>
      </c>
      <c r="G140" s="114">
        <v>122</v>
      </c>
      <c r="H140" s="113">
        <v>0</v>
      </c>
      <c r="I140" s="114">
        <v>64.575159072875977</v>
      </c>
      <c r="J140" s="113">
        <v>0</v>
      </c>
      <c r="K140" s="114">
        <v>64.575159072875977</v>
      </c>
      <c r="L140" s="113">
        <v>0</v>
      </c>
      <c r="M140" s="114">
        <v>64.575159072875977</v>
      </c>
      <c r="N140" s="113">
        <v>0</v>
      </c>
      <c r="O140" s="114">
        <v>0</v>
      </c>
      <c r="P140" s="113">
        <v>0</v>
      </c>
      <c r="Q140" s="114">
        <v>0</v>
      </c>
      <c r="R140" s="113">
        <v>0</v>
      </c>
      <c r="S140" s="114">
        <v>0</v>
      </c>
      <c r="T140" s="113">
        <v>0</v>
      </c>
      <c r="U140" s="115">
        <v>0</v>
      </c>
      <c r="V140" t="e">
        <f>VLOOKUP(A140,Projetos_Ciclo!$H$3:$H$124,1,FALSE)</f>
        <v>#N/A</v>
      </c>
    </row>
    <row r="141" spans="1:22" x14ac:dyDescent="0.25">
      <c r="A141" s="14" t="s">
        <v>699</v>
      </c>
      <c r="B141" s="116" t="s">
        <v>1270</v>
      </c>
      <c r="C141" s="116" t="s">
        <v>1271</v>
      </c>
      <c r="D141" s="117">
        <v>0</v>
      </c>
      <c r="E141" s="120">
        <v>0</v>
      </c>
      <c r="F141" s="117">
        <v>0</v>
      </c>
      <c r="G141" s="120">
        <v>440</v>
      </c>
      <c r="H141" s="117">
        <v>0</v>
      </c>
      <c r="I141" s="120">
        <v>97.9273681640625</v>
      </c>
      <c r="J141" s="117">
        <v>0</v>
      </c>
      <c r="K141" s="120">
        <v>97.9273681640625</v>
      </c>
      <c r="L141" s="117">
        <v>340.23382568359375</v>
      </c>
      <c r="M141" s="120">
        <v>438.16119384765625</v>
      </c>
      <c r="N141" s="117">
        <v>0</v>
      </c>
      <c r="O141" s="120">
        <v>0</v>
      </c>
      <c r="P141" s="117">
        <v>0</v>
      </c>
      <c r="Q141" s="120">
        <v>0</v>
      </c>
      <c r="R141" s="117">
        <v>0</v>
      </c>
      <c r="S141" s="120">
        <v>0</v>
      </c>
      <c r="T141" s="117">
        <v>0</v>
      </c>
      <c r="U141" s="119">
        <v>0</v>
      </c>
      <c r="V141" t="e">
        <f>VLOOKUP(A141,Projetos_Ciclo!$H$3:$H$124,1,FALSE)</f>
        <v>#N/A</v>
      </c>
    </row>
    <row r="142" spans="1:22" x14ac:dyDescent="0.25">
      <c r="A142" s="111" t="s">
        <v>1272</v>
      </c>
      <c r="B142" s="112" t="s">
        <v>1273</v>
      </c>
      <c r="C142" s="112" t="s">
        <v>1274</v>
      </c>
      <c r="D142" s="113">
        <v>0</v>
      </c>
      <c r="E142" s="114">
        <v>0</v>
      </c>
      <c r="F142" s="113">
        <v>0</v>
      </c>
      <c r="G142" s="114">
        <v>0</v>
      </c>
      <c r="H142" s="113">
        <v>0</v>
      </c>
      <c r="I142" s="114">
        <v>0</v>
      </c>
      <c r="J142" s="113">
        <v>0</v>
      </c>
      <c r="K142" s="114">
        <v>0</v>
      </c>
      <c r="L142" s="113">
        <v>0</v>
      </c>
      <c r="M142" s="114">
        <v>0</v>
      </c>
      <c r="N142" s="113">
        <v>0</v>
      </c>
      <c r="O142" s="114">
        <v>0</v>
      </c>
      <c r="P142" s="113">
        <v>0</v>
      </c>
      <c r="Q142" s="114">
        <v>0</v>
      </c>
      <c r="R142" s="113">
        <v>0</v>
      </c>
      <c r="S142" s="114">
        <v>0</v>
      </c>
      <c r="T142" s="113">
        <v>0</v>
      </c>
      <c r="U142" s="115">
        <v>0</v>
      </c>
      <c r="V142" t="e">
        <f>VLOOKUP(A142,Projetos_Ciclo!$H$3:$H$124,1,FALSE)</f>
        <v>#N/A</v>
      </c>
    </row>
    <row r="143" spans="1:22" x14ac:dyDescent="0.25">
      <c r="A143" s="14" t="s">
        <v>1275</v>
      </c>
      <c r="B143" s="116" t="s">
        <v>767</v>
      </c>
      <c r="C143" s="116" t="s">
        <v>1276</v>
      </c>
      <c r="D143" s="117">
        <v>0</v>
      </c>
      <c r="E143" s="120">
        <v>0</v>
      </c>
      <c r="F143" s="117">
        <v>0</v>
      </c>
      <c r="G143" s="120">
        <v>0</v>
      </c>
      <c r="H143" s="117">
        <v>0</v>
      </c>
      <c r="I143" s="120">
        <v>0</v>
      </c>
      <c r="J143" s="117">
        <v>0</v>
      </c>
      <c r="K143" s="120">
        <v>0</v>
      </c>
      <c r="L143" s="117">
        <v>0</v>
      </c>
      <c r="M143" s="120">
        <v>0</v>
      </c>
      <c r="N143" s="117">
        <v>0</v>
      </c>
      <c r="O143" s="120">
        <v>0</v>
      </c>
      <c r="P143" s="117">
        <v>0</v>
      </c>
      <c r="Q143" s="120">
        <v>0</v>
      </c>
      <c r="R143" s="117">
        <v>0</v>
      </c>
      <c r="S143" s="120">
        <v>0</v>
      </c>
      <c r="T143" s="117">
        <v>0</v>
      </c>
      <c r="U143" s="119">
        <v>0</v>
      </c>
      <c r="V143" t="e">
        <f>VLOOKUP(A143,Projetos_Ciclo!$H$3:$H$124,1,FALSE)</f>
        <v>#N/A</v>
      </c>
    </row>
    <row r="144" spans="1:22" x14ac:dyDescent="0.25">
      <c r="A144" s="111" t="s">
        <v>1128</v>
      </c>
      <c r="B144" s="112" t="s">
        <v>1277</v>
      </c>
      <c r="C144" s="112" t="s">
        <v>1129</v>
      </c>
      <c r="D144" s="113">
        <v>0</v>
      </c>
      <c r="E144" s="114">
        <v>0</v>
      </c>
      <c r="F144" s="113">
        <v>0</v>
      </c>
      <c r="G144" s="114">
        <v>1</v>
      </c>
      <c r="H144" s="113">
        <v>0</v>
      </c>
      <c r="I144" s="114">
        <v>0.70901525020599365</v>
      </c>
      <c r="J144" s="113">
        <v>0</v>
      </c>
      <c r="K144" s="114">
        <v>0.70901525020599365</v>
      </c>
      <c r="L144" s="113">
        <v>0</v>
      </c>
      <c r="M144" s="114">
        <v>0.70901525020599365</v>
      </c>
      <c r="N144" s="113">
        <v>0</v>
      </c>
      <c r="O144" s="114">
        <v>0</v>
      </c>
      <c r="P144" s="113">
        <v>0</v>
      </c>
      <c r="Q144" s="114">
        <v>0</v>
      </c>
      <c r="R144" s="113">
        <v>0</v>
      </c>
      <c r="S144" s="114">
        <v>0</v>
      </c>
      <c r="T144" s="113">
        <v>0</v>
      </c>
      <c r="U144" s="115">
        <v>0</v>
      </c>
      <c r="V144" t="e">
        <f>VLOOKUP(A144,Projetos_Ciclo!$H$3:$H$124,1,FALSE)</f>
        <v>#N/A</v>
      </c>
    </row>
    <row r="145" spans="1:22" x14ac:dyDescent="0.25">
      <c r="A145" s="14" t="s">
        <v>1278</v>
      </c>
      <c r="B145" s="116" t="s">
        <v>946</v>
      </c>
      <c r="C145" s="116" t="s">
        <v>1279</v>
      </c>
      <c r="D145" s="117">
        <v>0</v>
      </c>
      <c r="E145" s="120">
        <v>0</v>
      </c>
      <c r="F145" s="117">
        <v>0</v>
      </c>
      <c r="G145" s="120">
        <v>0</v>
      </c>
      <c r="H145" s="117">
        <v>0</v>
      </c>
      <c r="I145" s="120">
        <v>0</v>
      </c>
      <c r="J145" s="117">
        <v>0</v>
      </c>
      <c r="K145" s="120">
        <v>0</v>
      </c>
      <c r="L145" s="117">
        <v>0</v>
      </c>
      <c r="M145" s="120">
        <v>0</v>
      </c>
      <c r="N145" s="117">
        <v>0</v>
      </c>
      <c r="O145" s="120">
        <v>0</v>
      </c>
      <c r="P145" s="117">
        <v>0</v>
      </c>
      <c r="Q145" s="120">
        <v>0</v>
      </c>
      <c r="R145" s="117">
        <v>0</v>
      </c>
      <c r="S145" s="120">
        <v>0</v>
      </c>
      <c r="T145" s="117">
        <v>0</v>
      </c>
      <c r="U145" s="119">
        <v>0</v>
      </c>
      <c r="V145" t="e">
        <f>VLOOKUP(A145,Projetos_Ciclo!$H$3:$H$124,1,FALSE)</f>
        <v>#N/A</v>
      </c>
    </row>
    <row r="146" spans="1:22" x14ac:dyDescent="0.25">
      <c r="A146" s="111" t="s">
        <v>519</v>
      </c>
      <c r="B146" s="112" t="s">
        <v>1280</v>
      </c>
      <c r="C146" s="112" t="s">
        <v>1281</v>
      </c>
      <c r="D146" s="113">
        <v>0</v>
      </c>
      <c r="E146" s="114">
        <v>0</v>
      </c>
      <c r="F146" s="113">
        <v>0</v>
      </c>
      <c r="G146" s="114">
        <v>2954</v>
      </c>
      <c r="H146" s="113">
        <v>0</v>
      </c>
      <c r="I146" s="114">
        <v>66.024219512939453</v>
      </c>
      <c r="J146" s="113">
        <v>0</v>
      </c>
      <c r="K146" s="114">
        <v>66.024219512939453</v>
      </c>
      <c r="L146" s="113">
        <v>427.95001220703125</v>
      </c>
      <c r="M146" s="114">
        <v>493.9742317199707</v>
      </c>
      <c r="N146" s="113">
        <v>0</v>
      </c>
      <c r="O146" s="114">
        <v>0</v>
      </c>
      <c r="P146" s="113">
        <v>0</v>
      </c>
      <c r="Q146" s="114">
        <v>0</v>
      </c>
      <c r="R146" s="113">
        <v>0</v>
      </c>
      <c r="S146" s="114">
        <v>0</v>
      </c>
      <c r="T146" s="113">
        <v>0</v>
      </c>
      <c r="U146" s="115">
        <v>0</v>
      </c>
      <c r="V146" t="e">
        <f>VLOOKUP(A146,Projetos_Ciclo!$H$3:$H$124,1,FALSE)</f>
        <v>#N/A</v>
      </c>
    </row>
    <row r="147" spans="1:22" x14ac:dyDescent="0.25">
      <c r="A147" s="14" t="s">
        <v>1282</v>
      </c>
      <c r="B147" s="116" t="s">
        <v>1283</v>
      </c>
      <c r="C147" s="116" t="s">
        <v>1284</v>
      </c>
      <c r="D147" s="117">
        <v>0</v>
      </c>
      <c r="E147" s="120">
        <v>0</v>
      </c>
      <c r="F147" s="117">
        <v>0</v>
      </c>
      <c r="G147" s="120">
        <v>0</v>
      </c>
      <c r="H147" s="117">
        <v>0</v>
      </c>
      <c r="I147" s="120">
        <v>0</v>
      </c>
      <c r="J147" s="117">
        <v>0</v>
      </c>
      <c r="K147" s="120">
        <v>0</v>
      </c>
      <c r="L147" s="117">
        <v>0</v>
      </c>
      <c r="M147" s="120">
        <v>0</v>
      </c>
      <c r="N147" s="117">
        <v>0</v>
      </c>
      <c r="O147" s="120">
        <v>0</v>
      </c>
      <c r="P147" s="117">
        <v>0</v>
      </c>
      <c r="Q147" s="120">
        <v>0</v>
      </c>
      <c r="R147" s="117">
        <v>0</v>
      </c>
      <c r="S147" s="120">
        <v>0</v>
      </c>
      <c r="T147" s="117">
        <v>0</v>
      </c>
      <c r="U147" s="119">
        <v>0</v>
      </c>
      <c r="V147" t="e">
        <f>VLOOKUP(A147,Projetos_Ciclo!$H$3:$H$124,1,FALSE)</f>
        <v>#N/A</v>
      </c>
    </row>
    <row r="148" spans="1:22" x14ac:dyDescent="0.25">
      <c r="A148" s="111" t="s">
        <v>1106</v>
      </c>
      <c r="B148" s="112" t="s">
        <v>1285</v>
      </c>
      <c r="C148" s="112" t="s">
        <v>1107</v>
      </c>
      <c r="D148" s="113">
        <v>0</v>
      </c>
      <c r="E148" s="114">
        <v>0</v>
      </c>
      <c r="F148" s="113">
        <v>0</v>
      </c>
      <c r="G148" s="114">
        <v>1606</v>
      </c>
      <c r="H148" s="113">
        <v>0</v>
      </c>
      <c r="I148" s="114">
        <v>1236.459716796875</v>
      </c>
      <c r="J148" s="113">
        <v>0</v>
      </c>
      <c r="K148" s="114">
        <v>1236.459716796875</v>
      </c>
      <c r="L148" s="113">
        <v>0</v>
      </c>
      <c r="M148" s="114">
        <v>1236.459716796875</v>
      </c>
      <c r="N148" s="113">
        <v>0</v>
      </c>
      <c r="O148" s="114">
        <v>0</v>
      </c>
      <c r="P148" s="113">
        <v>0</v>
      </c>
      <c r="Q148" s="114">
        <v>0</v>
      </c>
      <c r="R148" s="113">
        <v>0</v>
      </c>
      <c r="S148" s="114">
        <v>0</v>
      </c>
      <c r="T148" s="113">
        <v>0</v>
      </c>
      <c r="U148" s="115">
        <v>0</v>
      </c>
      <c r="V148" t="e">
        <f>VLOOKUP(A148,Projetos_Ciclo!$H$3:$H$124,1,FALSE)</f>
        <v>#N/A</v>
      </c>
    </row>
    <row r="149" spans="1:22" x14ac:dyDescent="0.25">
      <c r="A149" s="14" t="s">
        <v>1286</v>
      </c>
      <c r="B149" s="116" t="s">
        <v>1287</v>
      </c>
      <c r="C149" s="116" t="s">
        <v>1288</v>
      </c>
      <c r="D149" s="117">
        <v>0</v>
      </c>
      <c r="E149" s="120">
        <v>0</v>
      </c>
      <c r="F149" s="117">
        <v>0</v>
      </c>
      <c r="G149" s="120">
        <v>0</v>
      </c>
      <c r="H149" s="117">
        <v>0</v>
      </c>
      <c r="I149" s="120">
        <v>-0.51274001598358154</v>
      </c>
      <c r="J149" s="117">
        <v>0</v>
      </c>
      <c r="K149" s="120">
        <v>-0.51274001598358154</v>
      </c>
      <c r="L149" s="117">
        <v>0</v>
      </c>
      <c r="M149" s="120">
        <v>-0.51274001598358154</v>
      </c>
      <c r="N149" s="117">
        <v>0</v>
      </c>
      <c r="O149" s="120">
        <v>0</v>
      </c>
      <c r="P149" s="117">
        <v>0</v>
      </c>
      <c r="Q149" s="120">
        <v>0</v>
      </c>
      <c r="R149" s="117">
        <v>0</v>
      </c>
      <c r="S149" s="120">
        <v>0</v>
      </c>
      <c r="T149" s="117">
        <v>0</v>
      </c>
      <c r="U149" s="119">
        <v>0</v>
      </c>
      <c r="V149" t="e">
        <f>VLOOKUP(A149,Projetos_Ciclo!$H$3:$H$124,1,FALSE)</f>
        <v>#N/A</v>
      </c>
    </row>
    <row r="150" spans="1:22" x14ac:dyDescent="0.25">
      <c r="A150" s="111" t="s">
        <v>1289</v>
      </c>
      <c r="B150" s="112" t="s">
        <v>1290</v>
      </c>
      <c r="C150" s="112" t="s">
        <v>1291</v>
      </c>
      <c r="D150" s="113">
        <v>0</v>
      </c>
      <c r="E150" s="114">
        <v>0</v>
      </c>
      <c r="F150" s="113">
        <v>0</v>
      </c>
      <c r="G150" s="114">
        <v>0</v>
      </c>
      <c r="H150" s="113">
        <v>0</v>
      </c>
      <c r="I150" s="114">
        <v>0</v>
      </c>
      <c r="J150" s="113">
        <v>0</v>
      </c>
      <c r="K150" s="114">
        <v>0</v>
      </c>
      <c r="L150" s="113">
        <v>0</v>
      </c>
      <c r="M150" s="114">
        <v>0</v>
      </c>
      <c r="N150" s="113">
        <v>0</v>
      </c>
      <c r="O150" s="114">
        <v>0</v>
      </c>
      <c r="P150" s="113">
        <v>0</v>
      </c>
      <c r="Q150" s="114">
        <v>0</v>
      </c>
      <c r="R150" s="113">
        <v>0</v>
      </c>
      <c r="S150" s="114">
        <v>0</v>
      </c>
      <c r="T150" s="113">
        <v>0</v>
      </c>
      <c r="U150" s="115">
        <v>0</v>
      </c>
      <c r="V150" t="e">
        <f>VLOOKUP(A150,Projetos_Ciclo!$H$3:$H$124,1,FALSE)</f>
        <v>#N/A</v>
      </c>
    </row>
    <row r="151" spans="1:22" x14ac:dyDescent="0.25">
      <c r="A151" s="14" t="s">
        <v>703</v>
      </c>
      <c r="B151" s="116" t="s">
        <v>322</v>
      </c>
      <c r="C151" s="116" t="s">
        <v>1292</v>
      </c>
      <c r="D151" s="117">
        <v>0</v>
      </c>
      <c r="E151" s="120">
        <v>0</v>
      </c>
      <c r="F151" s="117">
        <v>0</v>
      </c>
      <c r="G151" s="120">
        <v>217</v>
      </c>
      <c r="H151" s="117">
        <v>0</v>
      </c>
      <c r="I151" s="120">
        <v>114.65245056152344</v>
      </c>
      <c r="J151" s="117">
        <v>0</v>
      </c>
      <c r="K151" s="120">
        <v>114.65245056152344</v>
      </c>
      <c r="L151" s="117">
        <v>0</v>
      </c>
      <c r="M151" s="120">
        <v>114.65245056152344</v>
      </c>
      <c r="N151" s="117">
        <v>0</v>
      </c>
      <c r="O151" s="120">
        <v>0</v>
      </c>
      <c r="P151" s="117">
        <v>0</v>
      </c>
      <c r="Q151" s="120">
        <v>0</v>
      </c>
      <c r="R151" s="117">
        <v>0</v>
      </c>
      <c r="S151" s="120">
        <v>0</v>
      </c>
      <c r="T151" s="117">
        <v>0</v>
      </c>
      <c r="U151" s="119">
        <v>0</v>
      </c>
      <c r="V151" t="e">
        <f>VLOOKUP(A151,Projetos_Ciclo!$H$3:$H$124,1,FALSE)</f>
        <v>#N/A</v>
      </c>
    </row>
    <row r="152" spans="1:22" x14ac:dyDescent="0.25">
      <c r="A152" s="111" t="s">
        <v>1293</v>
      </c>
      <c r="B152" s="112" t="s">
        <v>1294</v>
      </c>
      <c r="C152" s="112" t="s">
        <v>1295</v>
      </c>
      <c r="D152" s="113">
        <v>67924</v>
      </c>
      <c r="E152" s="114">
        <v>0</v>
      </c>
      <c r="F152" s="113">
        <v>54226</v>
      </c>
      <c r="G152" s="114">
        <v>0</v>
      </c>
      <c r="H152" s="113">
        <v>7110</v>
      </c>
      <c r="I152" s="114">
        <v>0</v>
      </c>
      <c r="J152" s="113">
        <v>0</v>
      </c>
      <c r="K152" s="114">
        <v>0</v>
      </c>
      <c r="L152" s="113">
        <v>0</v>
      </c>
      <c r="M152" s="114">
        <v>0</v>
      </c>
      <c r="N152" s="113">
        <v>6867</v>
      </c>
      <c r="O152" s="114">
        <v>3690</v>
      </c>
      <c r="P152" s="113">
        <v>3141</v>
      </c>
      <c r="Q152" s="114">
        <v>0</v>
      </c>
      <c r="R152" s="113">
        <v>0</v>
      </c>
      <c r="S152" s="114">
        <v>0</v>
      </c>
      <c r="T152" s="113">
        <v>0</v>
      </c>
      <c r="U152" s="115">
        <v>0</v>
      </c>
      <c r="V152" t="e">
        <f>VLOOKUP(A152,Projetos_Ciclo!$H$3:$H$124,1,FALSE)</f>
        <v>#N/A</v>
      </c>
    </row>
    <row r="153" spans="1:22" x14ac:dyDescent="0.25">
      <c r="A153" s="14" t="s">
        <v>1296</v>
      </c>
      <c r="B153" s="116" t="s">
        <v>1297</v>
      </c>
      <c r="C153" s="116" t="s">
        <v>1298</v>
      </c>
      <c r="D153" s="117">
        <v>0</v>
      </c>
      <c r="E153" s="120">
        <v>0</v>
      </c>
      <c r="F153" s="117">
        <v>0</v>
      </c>
      <c r="G153" s="120">
        <v>0</v>
      </c>
      <c r="H153" s="117">
        <v>0</v>
      </c>
      <c r="I153" s="120">
        <v>0</v>
      </c>
      <c r="J153" s="117">
        <v>0</v>
      </c>
      <c r="K153" s="120">
        <v>0</v>
      </c>
      <c r="L153" s="117">
        <v>0</v>
      </c>
      <c r="M153" s="120">
        <v>0</v>
      </c>
      <c r="N153" s="117">
        <v>0</v>
      </c>
      <c r="O153" s="120">
        <v>0</v>
      </c>
      <c r="P153" s="117">
        <v>0</v>
      </c>
      <c r="Q153" s="120">
        <v>0</v>
      </c>
      <c r="R153" s="117">
        <v>0</v>
      </c>
      <c r="S153" s="120">
        <v>0</v>
      </c>
      <c r="T153" s="117">
        <v>0</v>
      </c>
      <c r="U153" s="119">
        <v>0</v>
      </c>
      <c r="V153" t="e">
        <f>VLOOKUP(A153,Projetos_Ciclo!$H$3:$H$124,1,FALSE)</f>
        <v>#N/A</v>
      </c>
    </row>
    <row r="154" spans="1:22" x14ac:dyDescent="0.25">
      <c r="A154" s="111" t="s">
        <v>696</v>
      </c>
      <c r="B154" s="112" t="s">
        <v>304</v>
      </c>
      <c r="C154" s="112" t="s">
        <v>1299</v>
      </c>
      <c r="D154" s="113">
        <v>0</v>
      </c>
      <c r="E154" s="114">
        <v>0</v>
      </c>
      <c r="F154" s="113">
        <v>0</v>
      </c>
      <c r="G154" s="114">
        <v>5268</v>
      </c>
      <c r="H154" s="113">
        <v>0</v>
      </c>
      <c r="I154" s="114">
        <v>2860.1967809200287</v>
      </c>
      <c r="J154" s="113">
        <v>0</v>
      </c>
      <c r="K154" s="114">
        <v>2860.1967809200287</v>
      </c>
      <c r="L154" s="113">
        <v>0</v>
      </c>
      <c r="M154" s="114">
        <v>2860.1967809200287</v>
      </c>
      <c r="N154" s="113">
        <v>0</v>
      </c>
      <c r="O154" s="114">
        <v>0</v>
      </c>
      <c r="P154" s="113">
        <v>0</v>
      </c>
      <c r="Q154" s="114">
        <v>0</v>
      </c>
      <c r="R154" s="113">
        <v>0</v>
      </c>
      <c r="S154" s="114">
        <v>0</v>
      </c>
      <c r="T154" s="113">
        <v>0</v>
      </c>
      <c r="U154" s="115">
        <v>0</v>
      </c>
      <c r="V154" t="e">
        <f>VLOOKUP(A154,Projetos_Ciclo!$H$3:$H$124,1,FALSE)</f>
        <v>#N/A</v>
      </c>
    </row>
    <row r="155" spans="1:22" x14ac:dyDescent="0.25">
      <c r="A155" s="14" t="s">
        <v>707</v>
      </c>
      <c r="B155" s="116" t="s">
        <v>1300</v>
      </c>
      <c r="C155" s="116" t="s">
        <v>1301</v>
      </c>
      <c r="D155" s="117">
        <v>0</v>
      </c>
      <c r="E155" s="120">
        <v>0</v>
      </c>
      <c r="F155" s="117">
        <v>0</v>
      </c>
      <c r="G155" s="120">
        <v>684</v>
      </c>
      <c r="H155" s="117">
        <v>0</v>
      </c>
      <c r="I155" s="120">
        <v>72.963031768798828</v>
      </c>
      <c r="J155" s="117">
        <v>0</v>
      </c>
      <c r="K155" s="120">
        <v>72.963031768798828</v>
      </c>
      <c r="L155" s="117">
        <v>0</v>
      </c>
      <c r="M155" s="120">
        <v>72.963031768798828</v>
      </c>
      <c r="N155" s="117">
        <v>0</v>
      </c>
      <c r="O155" s="120">
        <v>0</v>
      </c>
      <c r="P155" s="117">
        <v>0</v>
      </c>
      <c r="Q155" s="120">
        <v>0</v>
      </c>
      <c r="R155" s="117">
        <v>0</v>
      </c>
      <c r="S155" s="120">
        <v>0</v>
      </c>
      <c r="T155" s="117">
        <v>0</v>
      </c>
      <c r="U155" s="119">
        <v>0</v>
      </c>
      <c r="V155" t="e">
        <f>VLOOKUP(A155,Projetos_Ciclo!$H$3:$H$124,1,FALSE)</f>
        <v>#N/A</v>
      </c>
    </row>
    <row r="156" spans="1:22" x14ac:dyDescent="0.25">
      <c r="A156" s="111" t="s">
        <v>518</v>
      </c>
      <c r="B156" s="112" t="s">
        <v>1302</v>
      </c>
      <c r="C156" s="112" t="s">
        <v>1303</v>
      </c>
      <c r="D156" s="113">
        <v>0</v>
      </c>
      <c r="E156" s="114">
        <v>0</v>
      </c>
      <c r="F156" s="113">
        <v>0</v>
      </c>
      <c r="G156" s="114">
        <v>6163</v>
      </c>
      <c r="H156" s="113">
        <v>0</v>
      </c>
      <c r="I156" s="114">
        <v>160.23846435546875</v>
      </c>
      <c r="J156" s="113">
        <v>0</v>
      </c>
      <c r="K156" s="114">
        <v>160.23846435546875</v>
      </c>
      <c r="L156" s="113">
        <v>2.4313900470733643</v>
      </c>
      <c r="M156" s="114">
        <v>162.66985440254211</v>
      </c>
      <c r="N156" s="113">
        <v>0</v>
      </c>
      <c r="O156" s="114">
        <v>0</v>
      </c>
      <c r="P156" s="113">
        <v>0</v>
      </c>
      <c r="Q156" s="114">
        <v>0</v>
      </c>
      <c r="R156" s="113">
        <v>0</v>
      </c>
      <c r="S156" s="114">
        <v>0</v>
      </c>
      <c r="T156" s="113">
        <v>0</v>
      </c>
      <c r="U156" s="115">
        <v>0</v>
      </c>
      <c r="V156" t="e">
        <f>VLOOKUP(A156,Projetos_Ciclo!$H$3:$H$124,1,FALSE)</f>
        <v>#N/A</v>
      </c>
    </row>
    <row r="157" spans="1:22" x14ac:dyDescent="0.25">
      <c r="A157" s="14" t="s">
        <v>711</v>
      </c>
      <c r="B157" s="116" t="s">
        <v>712</v>
      </c>
      <c r="C157" s="116" t="s">
        <v>1304</v>
      </c>
      <c r="D157" s="117">
        <v>0</v>
      </c>
      <c r="E157" s="120">
        <v>0</v>
      </c>
      <c r="F157" s="117">
        <v>0</v>
      </c>
      <c r="G157" s="120">
        <v>0</v>
      </c>
      <c r="H157" s="117">
        <v>0</v>
      </c>
      <c r="I157" s="120">
        <v>0</v>
      </c>
      <c r="J157" s="117">
        <v>0</v>
      </c>
      <c r="K157" s="120">
        <v>0</v>
      </c>
      <c r="L157" s="117">
        <v>0</v>
      </c>
      <c r="M157" s="120">
        <v>0</v>
      </c>
      <c r="N157" s="117">
        <v>0</v>
      </c>
      <c r="O157" s="120">
        <v>0</v>
      </c>
      <c r="P157" s="117">
        <v>0</v>
      </c>
      <c r="Q157" s="120">
        <v>0</v>
      </c>
      <c r="R157" s="117">
        <v>0</v>
      </c>
      <c r="S157" s="120">
        <v>0</v>
      </c>
      <c r="T157" s="117">
        <v>0</v>
      </c>
      <c r="U157" s="119">
        <v>0</v>
      </c>
      <c r="V157" t="e">
        <f>VLOOKUP(A157,Projetos_Ciclo!$H$3:$H$124,1,FALSE)</f>
        <v>#N/A</v>
      </c>
    </row>
    <row r="158" spans="1:22" x14ac:dyDescent="0.25">
      <c r="A158" s="111" t="s">
        <v>698</v>
      </c>
      <c r="B158" s="112" t="s">
        <v>1305</v>
      </c>
      <c r="C158" s="112" t="s">
        <v>1306</v>
      </c>
      <c r="D158" s="113">
        <v>0</v>
      </c>
      <c r="E158" s="114">
        <v>0</v>
      </c>
      <c r="F158" s="113">
        <v>0</v>
      </c>
      <c r="G158" s="114">
        <v>0</v>
      </c>
      <c r="H158" s="113">
        <v>0</v>
      </c>
      <c r="I158" s="114">
        <v>0</v>
      </c>
      <c r="J158" s="113">
        <v>0</v>
      </c>
      <c r="K158" s="114">
        <v>0</v>
      </c>
      <c r="L158" s="113">
        <v>0</v>
      </c>
      <c r="M158" s="114">
        <v>0</v>
      </c>
      <c r="N158" s="113">
        <v>0</v>
      </c>
      <c r="O158" s="114">
        <v>0</v>
      </c>
      <c r="P158" s="113">
        <v>0</v>
      </c>
      <c r="Q158" s="114">
        <v>0</v>
      </c>
      <c r="R158" s="113">
        <v>0</v>
      </c>
      <c r="S158" s="114">
        <v>0</v>
      </c>
      <c r="T158" s="113">
        <v>0</v>
      </c>
      <c r="U158" s="115">
        <v>0</v>
      </c>
      <c r="V158" t="e">
        <f>VLOOKUP(A158,Projetos_Ciclo!$H$3:$H$124,1,FALSE)</f>
        <v>#N/A</v>
      </c>
    </row>
    <row r="159" spans="1:22" x14ac:dyDescent="0.25">
      <c r="A159" s="14" t="s">
        <v>1114</v>
      </c>
      <c r="B159" s="116" t="s">
        <v>1112</v>
      </c>
      <c r="C159" s="116" t="s">
        <v>1115</v>
      </c>
      <c r="D159" s="117">
        <v>0</v>
      </c>
      <c r="E159" s="120">
        <v>0</v>
      </c>
      <c r="F159" s="117">
        <v>0</v>
      </c>
      <c r="G159" s="120">
        <v>300</v>
      </c>
      <c r="H159" s="117">
        <v>0</v>
      </c>
      <c r="I159" s="120">
        <v>0</v>
      </c>
      <c r="J159" s="117">
        <v>0</v>
      </c>
      <c r="K159" s="120">
        <v>0</v>
      </c>
      <c r="L159" s="117">
        <v>0</v>
      </c>
      <c r="M159" s="120">
        <v>0</v>
      </c>
      <c r="N159" s="117">
        <v>0</v>
      </c>
      <c r="O159" s="120">
        <v>0</v>
      </c>
      <c r="P159" s="117">
        <v>0</v>
      </c>
      <c r="Q159" s="120">
        <v>0</v>
      </c>
      <c r="R159" s="117">
        <v>0</v>
      </c>
      <c r="S159" s="120">
        <v>0</v>
      </c>
      <c r="T159" s="117">
        <v>0</v>
      </c>
      <c r="U159" s="119">
        <v>0</v>
      </c>
      <c r="V159" t="e">
        <f>VLOOKUP(A159,Projetos_Ciclo!$H$3:$H$124,1,FALSE)</f>
        <v>#N/A</v>
      </c>
    </row>
    <row r="160" spans="1:22" x14ac:dyDescent="0.25">
      <c r="A160" s="111" t="s">
        <v>1307</v>
      </c>
      <c r="B160" s="112" t="s">
        <v>1308</v>
      </c>
      <c r="C160" s="112" t="s">
        <v>1309</v>
      </c>
      <c r="D160" s="113">
        <v>0</v>
      </c>
      <c r="E160" s="114">
        <v>0</v>
      </c>
      <c r="F160" s="113">
        <v>0</v>
      </c>
      <c r="G160" s="114">
        <v>373</v>
      </c>
      <c r="H160" s="113">
        <v>0</v>
      </c>
      <c r="I160" s="114">
        <v>42.032360076904297</v>
      </c>
      <c r="J160" s="113">
        <v>0</v>
      </c>
      <c r="K160" s="114">
        <v>42.032360076904297</v>
      </c>
      <c r="L160" s="113">
        <v>176.40750122070312</v>
      </c>
      <c r="M160" s="114">
        <v>218.43986129760742</v>
      </c>
      <c r="N160" s="113">
        <v>0</v>
      </c>
      <c r="O160" s="114">
        <v>0</v>
      </c>
      <c r="P160" s="113">
        <v>0</v>
      </c>
      <c r="Q160" s="114">
        <v>0</v>
      </c>
      <c r="R160" s="113">
        <v>0</v>
      </c>
      <c r="S160" s="114">
        <v>0</v>
      </c>
      <c r="T160" s="113">
        <v>0</v>
      </c>
      <c r="U160" s="115">
        <v>0</v>
      </c>
      <c r="V160" t="e">
        <f>VLOOKUP(A160,Projetos_Ciclo!$H$3:$H$124,1,FALSE)</f>
        <v>#N/A</v>
      </c>
    </row>
    <row r="161" spans="1:22" x14ac:dyDescent="0.25">
      <c r="A161" s="14" t="s">
        <v>1110</v>
      </c>
      <c r="B161" s="116" t="s">
        <v>708</v>
      </c>
      <c r="C161" s="116" t="s">
        <v>1111</v>
      </c>
      <c r="D161" s="117">
        <v>0</v>
      </c>
      <c r="E161" s="120">
        <v>0</v>
      </c>
      <c r="F161" s="117">
        <v>0</v>
      </c>
      <c r="G161" s="120">
        <v>693</v>
      </c>
      <c r="H161" s="117">
        <v>0</v>
      </c>
      <c r="I161" s="120">
        <v>0</v>
      </c>
      <c r="J161" s="117">
        <v>0</v>
      </c>
      <c r="K161" s="120">
        <v>0</v>
      </c>
      <c r="L161" s="117">
        <v>693.4403076171875</v>
      </c>
      <c r="M161" s="120">
        <v>693.4403076171875</v>
      </c>
      <c r="N161" s="117">
        <v>0</v>
      </c>
      <c r="O161" s="120">
        <v>0</v>
      </c>
      <c r="P161" s="117">
        <v>0</v>
      </c>
      <c r="Q161" s="120">
        <v>0</v>
      </c>
      <c r="R161" s="117">
        <v>0</v>
      </c>
      <c r="S161" s="120">
        <v>0</v>
      </c>
      <c r="T161" s="117">
        <v>0</v>
      </c>
      <c r="U161" s="119">
        <v>0</v>
      </c>
      <c r="V161" t="e">
        <f>VLOOKUP(A161,Projetos_Ciclo!$H$3:$H$124,1,FALSE)</f>
        <v>#N/A</v>
      </c>
    </row>
    <row r="162" spans="1:22" x14ac:dyDescent="0.25">
      <c r="A162" s="111" t="s">
        <v>697</v>
      </c>
      <c r="B162" s="112" t="s">
        <v>1310</v>
      </c>
      <c r="C162" s="112" t="s">
        <v>1311</v>
      </c>
      <c r="D162" s="113">
        <v>0</v>
      </c>
      <c r="E162" s="114">
        <v>0</v>
      </c>
      <c r="F162" s="113">
        <v>0</v>
      </c>
      <c r="G162" s="114">
        <v>350</v>
      </c>
      <c r="H162" s="113">
        <v>0</v>
      </c>
      <c r="I162" s="114">
        <v>0</v>
      </c>
      <c r="J162" s="113">
        <v>0</v>
      </c>
      <c r="K162" s="114">
        <v>0</v>
      </c>
      <c r="L162" s="113">
        <v>0</v>
      </c>
      <c r="M162" s="114">
        <v>0</v>
      </c>
      <c r="N162" s="113">
        <v>0</v>
      </c>
      <c r="O162" s="114">
        <v>0</v>
      </c>
      <c r="P162" s="113">
        <v>0</v>
      </c>
      <c r="Q162" s="114">
        <v>0</v>
      </c>
      <c r="R162" s="113">
        <v>0</v>
      </c>
      <c r="S162" s="114">
        <v>0</v>
      </c>
      <c r="T162" s="113">
        <v>0</v>
      </c>
      <c r="U162" s="115">
        <v>0</v>
      </c>
      <c r="V162" t="e">
        <f>VLOOKUP(A162,Projetos_Ciclo!$H$3:$H$124,1,FALSE)</f>
        <v>#N/A</v>
      </c>
    </row>
    <row r="163" spans="1:22" x14ac:dyDescent="0.25">
      <c r="A163" s="14" t="s">
        <v>521</v>
      </c>
      <c r="B163" s="116" t="s">
        <v>1312</v>
      </c>
      <c r="C163" s="116" t="s">
        <v>1313</v>
      </c>
      <c r="D163" s="117">
        <v>0</v>
      </c>
      <c r="E163" s="120">
        <v>0</v>
      </c>
      <c r="F163" s="117">
        <v>0</v>
      </c>
      <c r="G163" s="120">
        <v>0</v>
      </c>
      <c r="H163" s="117">
        <v>0</v>
      </c>
      <c r="I163" s="120">
        <v>0</v>
      </c>
      <c r="J163" s="117">
        <v>0</v>
      </c>
      <c r="K163" s="120">
        <v>0</v>
      </c>
      <c r="L163" s="117">
        <v>0</v>
      </c>
      <c r="M163" s="120">
        <v>0</v>
      </c>
      <c r="N163" s="117">
        <v>0</v>
      </c>
      <c r="O163" s="120">
        <v>0</v>
      </c>
      <c r="P163" s="117">
        <v>0</v>
      </c>
      <c r="Q163" s="120">
        <v>0</v>
      </c>
      <c r="R163" s="117">
        <v>0</v>
      </c>
      <c r="S163" s="120">
        <v>0</v>
      </c>
      <c r="T163" s="117">
        <v>0</v>
      </c>
      <c r="U163" s="119">
        <v>0</v>
      </c>
      <c r="V163" t="e">
        <f>VLOOKUP(A163,Projetos_Ciclo!$H$3:$H$124,1,FALSE)</f>
        <v>#N/A</v>
      </c>
    </row>
    <row r="164" spans="1:22" x14ac:dyDescent="0.25">
      <c r="A164" s="111" t="s">
        <v>523</v>
      </c>
      <c r="B164" s="112" t="s">
        <v>522</v>
      </c>
      <c r="C164" s="112" t="s">
        <v>1314</v>
      </c>
      <c r="D164" s="113">
        <v>0</v>
      </c>
      <c r="E164" s="114">
        <v>0</v>
      </c>
      <c r="F164" s="113">
        <v>0</v>
      </c>
      <c r="G164" s="114">
        <v>0</v>
      </c>
      <c r="H164" s="113">
        <v>0</v>
      </c>
      <c r="I164" s="114">
        <v>0</v>
      </c>
      <c r="J164" s="113">
        <v>0</v>
      </c>
      <c r="K164" s="114">
        <v>0</v>
      </c>
      <c r="L164" s="113">
        <v>0</v>
      </c>
      <c r="M164" s="114">
        <v>0</v>
      </c>
      <c r="N164" s="113">
        <v>0</v>
      </c>
      <c r="O164" s="114">
        <v>0</v>
      </c>
      <c r="P164" s="113">
        <v>0</v>
      </c>
      <c r="Q164" s="114">
        <v>0</v>
      </c>
      <c r="R164" s="113">
        <v>0</v>
      </c>
      <c r="S164" s="114">
        <v>0</v>
      </c>
      <c r="T164" s="113">
        <v>0</v>
      </c>
      <c r="U164" s="115">
        <v>0</v>
      </c>
      <c r="V164" t="e">
        <f>VLOOKUP(A164,Projetos_Ciclo!$H$3:$H$124,1,FALSE)</f>
        <v>#N/A</v>
      </c>
    </row>
    <row r="165" spans="1:22" x14ac:dyDescent="0.25">
      <c r="A165" s="14" t="s">
        <v>1103</v>
      </c>
      <c r="B165" s="116" t="s">
        <v>1315</v>
      </c>
      <c r="C165" s="116" t="s">
        <v>1104</v>
      </c>
      <c r="D165" s="117">
        <v>0</v>
      </c>
      <c r="E165" s="120">
        <v>0</v>
      </c>
      <c r="F165" s="117">
        <v>0</v>
      </c>
      <c r="G165" s="120">
        <v>1080</v>
      </c>
      <c r="H165" s="117">
        <v>0</v>
      </c>
      <c r="I165" s="120">
        <v>0</v>
      </c>
      <c r="J165" s="117">
        <v>0</v>
      </c>
      <c r="K165" s="120">
        <v>0</v>
      </c>
      <c r="L165" s="117">
        <v>1080</v>
      </c>
      <c r="M165" s="120">
        <v>1080</v>
      </c>
      <c r="N165" s="117">
        <v>0</v>
      </c>
      <c r="O165" s="120">
        <v>0</v>
      </c>
      <c r="P165" s="117">
        <v>0</v>
      </c>
      <c r="Q165" s="120">
        <v>0</v>
      </c>
      <c r="R165" s="117">
        <v>0</v>
      </c>
      <c r="S165" s="120">
        <v>0</v>
      </c>
      <c r="T165" s="117">
        <v>0</v>
      </c>
      <c r="U165" s="119">
        <v>0</v>
      </c>
      <c r="V165" t="e">
        <f>VLOOKUP(A165,Projetos_Ciclo!$H$3:$H$124,1,FALSE)</f>
        <v>#N/A</v>
      </c>
    </row>
    <row r="166" spans="1:22" x14ac:dyDescent="0.25">
      <c r="A166" s="111" t="s">
        <v>1316</v>
      </c>
      <c r="B166" s="112" t="s">
        <v>1317</v>
      </c>
      <c r="C166" s="112" t="s">
        <v>1318</v>
      </c>
      <c r="D166" s="113">
        <v>0</v>
      </c>
      <c r="E166" s="114">
        <v>0</v>
      </c>
      <c r="F166" s="113">
        <v>0</v>
      </c>
      <c r="G166" s="114">
        <v>2841</v>
      </c>
      <c r="H166" s="113">
        <v>0</v>
      </c>
      <c r="I166" s="114">
        <v>0</v>
      </c>
      <c r="J166" s="113">
        <v>0</v>
      </c>
      <c r="K166" s="114">
        <v>0</v>
      </c>
      <c r="L166" s="113">
        <v>2841</v>
      </c>
      <c r="M166" s="114">
        <v>2841</v>
      </c>
      <c r="N166" s="113">
        <v>0</v>
      </c>
      <c r="O166" s="114">
        <v>0</v>
      </c>
      <c r="P166" s="113">
        <v>0</v>
      </c>
      <c r="Q166" s="114">
        <v>0</v>
      </c>
      <c r="R166" s="113">
        <v>0</v>
      </c>
      <c r="S166" s="114">
        <v>0</v>
      </c>
      <c r="T166" s="113">
        <v>0</v>
      </c>
      <c r="U166" s="115">
        <v>0</v>
      </c>
      <c r="V166" t="e">
        <f>VLOOKUP(A166,Projetos_Ciclo!$H$3:$H$124,1,FALSE)</f>
        <v>#N/A</v>
      </c>
    </row>
    <row r="167" spans="1:22" x14ac:dyDescent="0.25">
      <c r="A167" s="14" t="s">
        <v>953</v>
      </c>
      <c r="B167" s="116" t="s">
        <v>954</v>
      </c>
      <c r="C167" s="116" t="s">
        <v>1319</v>
      </c>
      <c r="D167" s="117">
        <v>0</v>
      </c>
      <c r="E167" s="120">
        <v>0</v>
      </c>
      <c r="F167" s="117">
        <v>0</v>
      </c>
      <c r="G167" s="120">
        <v>600</v>
      </c>
      <c r="H167" s="117">
        <v>0</v>
      </c>
      <c r="I167" s="120">
        <v>599.97772216796875</v>
      </c>
      <c r="J167" s="117">
        <v>0</v>
      </c>
      <c r="K167" s="120">
        <v>599.97772216796875</v>
      </c>
      <c r="L167" s="117">
        <v>0</v>
      </c>
      <c r="M167" s="120">
        <v>599.97772216796875</v>
      </c>
      <c r="N167" s="117">
        <v>0</v>
      </c>
      <c r="O167" s="120">
        <v>0</v>
      </c>
      <c r="P167" s="117">
        <v>0</v>
      </c>
      <c r="Q167" s="120">
        <v>0</v>
      </c>
      <c r="R167" s="117">
        <v>0</v>
      </c>
      <c r="S167" s="120">
        <v>0</v>
      </c>
      <c r="T167" s="117">
        <v>0</v>
      </c>
      <c r="U167" s="119">
        <v>0</v>
      </c>
      <c r="V167" t="e">
        <f>VLOOKUP(A167,Projetos_Ciclo!$H$3:$H$124,1,FALSE)</f>
        <v>#N/A</v>
      </c>
    </row>
    <row r="168" spans="1:22" x14ac:dyDescent="0.25">
      <c r="A168" s="111" t="s">
        <v>1102</v>
      </c>
      <c r="B168" s="112" t="s">
        <v>310</v>
      </c>
      <c r="C168" s="112" t="s">
        <v>1320</v>
      </c>
      <c r="D168" s="113">
        <v>0</v>
      </c>
      <c r="E168" s="114">
        <v>0</v>
      </c>
      <c r="F168" s="113">
        <v>0</v>
      </c>
      <c r="G168" s="114">
        <v>52</v>
      </c>
      <c r="H168" s="113">
        <v>0</v>
      </c>
      <c r="I168" s="114">
        <v>52.127998352050781</v>
      </c>
      <c r="J168" s="113">
        <v>0</v>
      </c>
      <c r="K168" s="114">
        <v>52.127998352050781</v>
      </c>
      <c r="L168" s="113">
        <v>0</v>
      </c>
      <c r="M168" s="114">
        <v>52.127998352050781</v>
      </c>
      <c r="N168" s="113">
        <v>0</v>
      </c>
      <c r="O168" s="114">
        <v>0</v>
      </c>
      <c r="P168" s="113">
        <v>0</v>
      </c>
      <c r="Q168" s="114">
        <v>0</v>
      </c>
      <c r="R168" s="113">
        <v>0</v>
      </c>
      <c r="S168" s="114">
        <v>0</v>
      </c>
      <c r="T168" s="113">
        <v>0</v>
      </c>
      <c r="U168" s="115">
        <v>0</v>
      </c>
      <c r="V168" t="e">
        <f>VLOOKUP(A168,Projetos_Ciclo!$H$3:$H$124,1,FALSE)</f>
        <v>#N/A</v>
      </c>
    </row>
    <row r="169" spans="1:22" x14ac:dyDescent="0.25">
      <c r="A169" s="14" t="s">
        <v>1084</v>
      </c>
      <c r="B169" s="116" t="s">
        <v>1321</v>
      </c>
      <c r="C169" s="116" t="s">
        <v>1322</v>
      </c>
      <c r="D169" s="117">
        <v>0</v>
      </c>
      <c r="E169" s="120">
        <v>0</v>
      </c>
      <c r="F169" s="117">
        <v>0</v>
      </c>
      <c r="G169" s="120">
        <v>216</v>
      </c>
      <c r="H169" s="117">
        <v>0</v>
      </c>
      <c r="I169" s="120">
        <v>11.423999786376953</v>
      </c>
      <c r="J169" s="117">
        <v>0</v>
      </c>
      <c r="K169" s="120">
        <v>11.423999786376953</v>
      </c>
      <c r="L169" s="117">
        <v>204.57600402832031</v>
      </c>
      <c r="M169" s="120">
        <v>216.00000381469727</v>
      </c>
      <c r="N169" s="117">
        <v>0</v>
      </c>
      <c r="O169" s="120">
        <v>0</v>
      </c>
      <c r="P169" s="117">
        <v>0</v>
      </c>
      <c r="Q169" s="120">
        <v>0</v>
      </c>
      <c r="R169" s="117">
        <v>0</v>
      </c>
      <c r="S169" s="120">
        <v>0</v>
      </c>
      <c r="T169" s="117">
        <v>0</v>
      </c>
      <c r="U169" s="119">
        <v>0</v>
      </c>
      <c r="V169" t="e">
        <f>VLOOKUP(A169,Projetos_Ciclo!$H$3:$H$124,1,FALSE)</f>
        <v>#N/A</v>
      </c>
    </row>
    <row r="170" spans="1:22" x14ac:dyDescent="0.25">
      <c r="A170" s="111" t="s">
        <v>990</v>
      </c>
      <c r="B170" s="112" t="s">
        <v>1277</v>
      </c>
      <c r="C170" s="112" t="s">
        <v>1323</v>
      </c>
      <c r="D170" s="113">
        <v>0</v>
      </c>
      <c r="E170" s="114">
        <v>0</v>
      </c>
      <c r="F170" s="113">
        <v>0</v>
      </c>
      <c r="G170" s="114">
        <v>1500</v>
      </c>
      <c r="H170" s="113">
        <v>0</v>
      </c>
      <c r="I170" s="114">
        <v>0</v>
      </c>
      <c r="J170" s="113">
        <v>0</v>
      </c>
      <c r="K170" s="114">
        <v>0</v>
      </c>
      <c r="L170" s="113">
        <v>1496.0580673217773</v>
      </c>
      <c r="M170" s="114">
        <v>1496.0580673217773</v>
      </c>
      <c r="N170" s="113">
        <v>0</v>
      </c>
      <c r="O170" s="114">
        <v>0</v>
      </c>
      <c r="P170" s="113">
        <v>0</v>
      </c>
      <c r="Q170" s="114">
        <v>0</v>
      </c>
      <c r="R170" s="113">
        <v>0</v>
      </c>
      <c r="S170" s="114">
        <v>0</v>
      </c>
      <c r="T170" s="113">
        <v>0</v>
      </c>
      <c r="U170" s="115">
        <v>0</v>
      </c>
      <c r="V170" t="e">
        <f>VLOOKUP(A170,Projetos_Ciclo!$H$3:$H$124,1,FALSE)</f>
        <v>#N/A</v>
      </c>
    </row>
    <row r="171" spans="1:22" x14ac:dyDescent="0.25">
      <c r="A171" s="14" t="s">
        <v>992</v>
      </c>
      <c r="B171" s="116" t="s">
        <v>967</v>
      </c>
      <c r="C171" s="116" t="s">
        <v>1324</v>
      </c>
      <c r="D171" s="117">
        <v>0</v>
      </c>
      <c r="E171" s="120">
        <v>0</v>
      </c>
      <c r="F171" s="117">
        <v>0</v>
      </c>
      <c r="G171" s="120">
        <v>45</v>
      </c>
      <c r="H171" s="117">
        <v>0</v>
      </c>
      <c r="I171" s="120">
        <v>44.575801849365234</v>
      </c>
      <c r="J171" s="117">
        <v>0</v>
      </c>
      <c r="K171" s="120">
        <v>44.575801849365234</v>
      </c>
      <c r="L171" s="117">
        <v>0</v>
      </c>
      <c r="M171" s="120">
        <v>44.575801849365234</v>
      </c>
      <c r="N171" s="117">
        <v>0</v>
      </c>
      <c r="O171" s="120">
        <v>0</v>
      </c>
      <c r="P171" s="117">
        <v>0</v>
      </c>
      <c r="Q171" s="120">
        <v>0</v>
      </c>
      <c r="R171" s="117">
        <v>0</v>
      </c>
      <c r="S171" s="120">
        <v>0</v>
      </c>
      <c r="T171" s="117">
        <v>0</v>
      </c>
      <c r="U171" s="119">
        <v>0</v>
      </c>
      <c r="V171" t="e">
        <f>VLOOKUP(A171,Projetos_Ciclo!$H$3:$H$124,1,FALSE)</f>
        <v>#N/A</v>
      </c>
    </row>
    <row r="172" spans="1:22" x14ac:dyDescent="0.25">
      <c r="A172" s="111" t="s">
        <v>1404</v>
      </c>
      <c r="B172" s="112" t="s">
        <v>1405</v>
      </c>
      <c r="C172" s="112" t="s">
        <v>1406</v>
      </c>
      <c r="D172" s="113">
        <v>0</v>
      </c>
      <c r="E172" s="114">
        <v>0</v>
      </c>
      <c r="F172" s="113">
        <v>0</v>
      </c>
      <c r="G172" s="114">
        <v>245</v>
      </c>
      <c r="H172" s="113">
        <v>0</v>
      </c>
      <c r="I172" s="114">
        <v>0</v>
      </c>
      <c r="J172" s="113">
        <v>0</v>
      </c>
      <c r="K172" s="114">
        <v>0</v>
      </c>
      <c r="L172" s="113">
        <v>244.84255981445312</v>
      </c>
      <c r="M172" s="114">
        <v>244.84255981445312</v>
      </c>
      <c r="N172" s="113">
        <v>0</v>
      </c>
      <c r="O172" s="114">
        <v>0</v>
      </c>
      <c r="P172" s="113">
        <v>0</v>
      </c>
      <c r="Q172" s="114">
        <v>0</v>
      </c>
      <c r="R172" s="113">
        <v>0</v>
      </c>
      <c r="S172" s="114">
        <v>0</v>
      </c>
      <c r="T172" s="113">
        <v>0</v>
      </c>
      <c r="U172" s="115">
        <v>0</v>
      </c>
      <c r="V172" t="e">
        <f>VLOOKUP(A172,Projetos_Ciclo!$H$3:$H$124,1,FALSE)</f>
        <v>#N/A</v>
      </c>
    </row>
    <row r="173" spans="1:22" x14ac:dyDescent="0.25">
      <c r="A173" s="14" t="s">
        <v>1080</v>
      </c>
      <c r="B173" s="116" t="s">
        <v>1325</v>
      </c>
      <c r="C173" s="116" t="s">
        <v>1326</v>
      </c>
      <c r="D173" s="117">
        <v>0</v>
      </c>
      <c r="E173" s="120">
        <v>0</v>
      </c>
      <c r="F173" s="117">
        <v>0</v>
      </c>
      <c r="G173" s="120">
        <v>814</v>
      </c>
      <c r="H173" s="117">
        <v>0</v>
      </c>
      <c r="I173" s="120">
        <v>813.67767333984375</v>
      </c>
      <c r="J173" s="117">
        <v>0</v>
      </c>
      <c r="K173" s="120">
        <v>813.67767333984375</v>
      </c>
      <c r="L173" s="117">
        <v>0</v>
      </c>
      <c r="M173" s="120">
        <v>813.67767333984375</v>
      </c>
      <c r="N173" s="117">
        <v>0</v>
      </c>
      <c r="O173" s="120">
        <v>0</v>
      </c>
      <c r="P173" s="117">
        <v>0</v>
      </c>
      <c r="Q173" s="120">
        <v>0</v>
      </c>
      <c r="R173" s="117">
        <v>0</v>
      </c>
      <c r="S173" s="120">
        <v>0</v>
      </c>
      <c r="T173" s="117">
        <v>0</v>
      </c>
      <c r="U173" s="119">
        <v>0</v>
      </c>
      <c r="V173" t="e">
        <f>VLOOKUP(A173,Projetos_Ciclo!$H$3:$H$124,1,FALSE)</f>
        <v>#N/A</v>
      </c>
    </row>
    <row r="174" spans="1:22" x14ac:dyDescent="0.25">
      <c r="A174" s="111" t="s">
        <v>1087</v>
      </c>
      <c r="B174" s="112" t="s">
        <v>966</v>
      </c>
      <c r="C174" s="112" t="s">
        <v>1327</v>
      </c>
      <c r="D174" s="113">
        <v>0</v>
      </c>
      <c r="E174" s="114">
        <v>0</v>
      </c>
      <c r="F174" s="113">
        <v>0</v>
      </c>
      <c r="G174" s="114">
        <v>0</v>
      </c>
      <c r="H174" s="113">
        <v>0</v>
      </c>
      <c r="I174" s="114">
        <v>0</v>
      </c>
      <c r="J174" s="113">
        <v>0</v>
      </c>
      <c r="K174" s="114">
        <v>0</v>
      </c>
      <c r="L174" s="113">
        <v>0</v>
      </c>
      <c r="M174" s="114">
        <v>0</v>
      </c>
      <c r="N174" s="113">
        <v>0</v>
      </c>
      <c r="O174" s="114">
        <v>0</v>
      </c>
      <c r="P174" s="113">
        <v>0</v>
      </c>
      <c r="Q174" s="114">
        <v>0</v>
      </c>
      <c r="R174" s="113">
        <v>0</v>
      </c>
      <c r="S174" s="114">
        <v>0</v>
      </c>
      <c r="T174" s="113">
        <v>0</v>
      </c>
      <c r="U174" s="115">
        <v>0</v>
      </c>
      <c r="V174" t="e">
        <f>VLOOKUP(A174,Projetos_Ciclo!$H$3:$H$124,1,FALSE)</f>
        <v>#N/A</v>
      </c>
    </row>
    <row r="175" spans="1:22" x14ac:dyDescent="0.25">
      <c r="A175" s="14" t="s">
        <v>991</v>
      </c>
      <c r="B175" s="116" t="s">
        <v>965</v>
      </c>
      <c r="C175" s="116" t="s">
        <v>1328</v>
      </c>
      <c r="D175" s="117">
        <v>0</v>
      </c>
      <c r="E175" s="120">
        <v>0</v>
      </c>
      <c r="F175" s="117">
        <v>0</v>
      </c>
      <c r="G175" s="120">
        <v>0</v>
      </c>
      <c r="H175" s="117">
        <v>0</v>
      </c>
      <c r="I175" s="120">
        <v>0</v>
      </c>
      <c r="J175" s="117">
        <v>0</v>
      </c>
      <c r="K175" s="120">
        <v>0</v>
      </c>
      <c r="L175" s="117">
        <v>0</v>
      </c>
      <c r="M175" s="120">
        <v>0</v>
      </c>
      <c r="N175" s="117">
        <v>0</v>
      </c>
      <c r="O175" s="120">
        <v>0</v>
      </c>
      <c r="P175" s="117">
        <v>0</v>
      </c>
      <c r="Q175" s="120">
        <v>0</v>
      </c>
      <c r="R175" s="117">
        <v>0</v>
      </c>
      <c r="S175" s="120">
        <v>0</v>
      </c>
      <c r="T175" s="117">
        <v>0</v>
      </c>
      <c r="U175" s="119">
        <v>0</v>
      </c>
      <c r="V175" t="e">
        <f>VLOOKUP(A175,Projetos_Ciclo!$H$3:$H$124,1,FALSE)</f>
        <v>#N/A</v>
      </c>
    </row>
    <row r="176" spans="1:22" x14ac:dyDescent="0.25">
      <c r="A176" s="111" t="s">
        <v>1083</v>
      </c>
      <c r="B176" s="112" t="s">
        <v>1329</v>
      </c>
      <c r="C176" s="112" t="s">
        <v>1330</v>
      </c>
      <c r="D176" s="113">
        <v>0</v>
      </c>
      <c r="E176" s="114">
        <v>0</v>
      </c>
      <c r="F176" s="113">
        <v>0</v>
      </c>
      <c r="G176" s="114">
        <v>871</v>
      </c>
      <c r="H176" s="113">
        <v>0</v>
      </c>
      <c r="I176" s="114">
        <v>0</v>
      </c>
      <c r="J176" s="113">
        <v>0</v>
      </c>
      <c r="K176" s="114">
        <v>0</v>
      </c>
      <c r="L176" s="113">
        <v>384.39999389648437</v>
      </c>
      <c r="M176" s="114">
        <v>384.39999389648437</v>
      </c>
      <c r="N176" s="113">
        <v>0</v>
      </c>
      <c r="O176" s="114">
        <v>0</v>
      </c>
      <c r="P176" s="113">
        <v>0</v>
      </c>
      <c r="Q176" s="114">
        <v>0</v>
      </c>
      <c r="R176" s="113">
        <v>0</v>
      </c>
      <c r="S176" s="114">
        <v>0</v>
      </c>
      <c r="T176" s="113">
        <v>0</v>
      </c>
      <c r="U176" s="115">
        <v>0</v>
      </c>
      <c r="V176" t="e">
        <f>VLOOKUP(A176,Projetos_Ciclo!$H$3:$H$124,1,FALSE)</f>
        <v>#N/A</v>
      </c>
    </row>
    <row r="177" spans="1:22" x14ac:dyDescent="0.25">
      <c r="A177" s="14" t="s">
        <v>1487</v>
      </c>
      <c r="B177" s="116" t="s">
        <v>1488</v>
      </c>
      <c r="C177" s="116" t="s">
        <v>1489</v>
      </c>
      <c r="D177" s="117">
        <v>0</v>
      </c>
      <c r="E177" s="120">
        <v>0</v>
      </c>
      <c r="F177" s="117">
        <v>0</v>
      </c>
      <c r="G177" s="120">
        <v>150</v>
      </c>
      <c r="H177" s="117">
        <v>0</v>
      </c>
      <c r="I177" s="120">
        <v>0</v>
      </c>
      <c r="J177" s="117">
        <v>0</v>
      </c>
      <c r="K177" s="120">
        <v>0</v>
      </c>
      <c r="L177" s="117">
        <v>0</v>
      </c>
      <c r="M177" s="120">
        <v>0</v>
      </c>
      <c r="N177" s="117">
        <v>0</v>
      </c>
      <c r="O177" s="120">
        <v>0</v>
      </c>
      <c r="P177" s="117">
        <v>0</v>
      </c>
      <c r="Q177" s="120">
        <v>0</v>
      </c>
      <c r="R177" s="117">
        <v>0</v>
      </c>
      <c r="S177" s="120">
        <v>0</v>
      </c>
      <c r="T177" s="117">
        <v>0</v>
      </c>
      <c r="U177" s="119">
        <v>0</v>
      </c>
      <c r="V177" t="e">
        <f>VLOOKUP(A177,Projetos_Ciclo!$H$3:$H$124,1,FALSE)</f>
        <v>#N/A</v>
      </c>
    </row>
    <row r="178" spans="1:22" x14ac:dyDescent="0.25">
      <c r="A178" s="111" t="s">
        <v>1418</v>
      </c>
      <c r="B178" s="112" t="s">
        <v>1419</v>
      </c>
      <c r="C178" s="112" t="s">
        <v>1420</v>
      </c>
      <c r="D178" s="113">
        <v>0</v>
      </c>
      <c r="E178" s="114">
        <v>0</v>
      </c>
      <c r="F178" s="113">
        <v>0</v>
      </c>
      <c r="G178" s="114">
        <v>141</v>
      </c>
      <c r="H178" s="113">
        <v>0</v>
      </c>
      <c r="I178" s="114">
        <v>0</v>
      </c>
      <c r="J178" s="113">
        <v>0</v>
      </c>
      <c r="K178" s="114">
        <v>0</v>
      </c>
      <c r="L178" s="113">
        <v>141.22349548339844</v>
      </c>
      <c r="M178" s="114">
        <v>141.22349548339844</v>
      </c>
      <c r="N178" s="113">
        <v>0</v>
      </c>
      <c r="O178" s="114">
        <v>0</v>
      </c>
      <c r="P178" s="113">
        <v>0</v>
      </c>
      <c r="Q178" s="114">
        <v>0</v>
      </c>
      <c r="R178" s="113">
        <v>0</v>
      </c>
      <c r="S178" s="114">
        <v>0</v>
      </c>
      <c r="T178" s="113">
        <v>0</v>
      </c>
      <c r="U178" s="115">
        <v>0</v>
      </c>
      <c r="V178" t="e">
        <f>VLOOKUP(A178,Projetos_Ciclo!$H$3:$H$124,1,FALSE)</f>
        <v>#N/A</v>
      </c>
    </row>
    <row r="179" spans="1:22" x14ac:dyDescent="0.25">
      <c r="A179" s="14" t="s">
        <v>1524</v>
      </c>
      <c r="B179" s="116" t="s">
        <v>1525</v>
      </c>
      <c r="C179" s="116" t="s">
        <v>1526</v>
      </c>
      <c r="D179" s="117">
        <v>0</v>
      </c>
      <c r="E179" s="120">
        <v>0</v>
      </c>
      <c r="F179" s="117">
        <v>0</v>
      </c>
      <c r="G179" s="120">
        <v>420</v>
      </c>
      <c r="H179" s="117">
        <v>0</v>
      </c>
      <c r="I179" s="120">
        <v>0</v>
      </c>
      <c r="J179" s="117">
        <v>0</v>
      </c>
      <c r="K179" s="120">
        <v>0</v>
      </c>
      <c r="L179" s="117">
        <v>0</v>
      </c>
      <c r="M179" s="120">
        <v>0</v>
      </c>
      <c r="N179" s="117">
        <v>0</v>
      </c>
      <c r="O179" s="120">
        <v>0</v>
      </c>
      <c r="P179" s="117">
        <v>0</v>
      </c>
      <c r="Q179" s="120">
        <v>0</v>
      </c>
      <c r="R179" s="117">
        <v>0</v>
      </c>
      <c r="S179" s="120">
        <v>0</v>
      </c>
      <c r="T179" s="117">
        <v>0</v>
      </c>
      <c r="U179" s="119">
        <v>0</v>
      </c>
      <c r="V179" t="e">
        <f>VLOOKUP(A179,Projetos_Ciclo!$H$3:$H$124,1,FALSE)</f>
        <v>#N/A</v>
      </c>
    </row>
    <row r="180" spans="1:22" x14ac:dyDescent="0.25">
      <c r="A180" s="111" t="s">
        <v>1133</v>
      </c>
      <c r="B180" s="112" t="s">
        <v>1331</v>
      </c>
      <c r="C180" s="112" t="s">
        <v>57</v>
      </c>
      <c r="D180" s="113">
        <v>0</v>
      </c>
      <c r="E180" s="114">
        <v>0</v>
      </c>
      <c r="F180" s="113">
        <v>0</v>
      </c>
      <c r="G180" s="114">
        <v>0</v>
      </c>
      <c r="H180" s="113">
        <v>0</v>
      </c>
      <c r="I180" s="114">
        <v>0</v>
      </c>
      <c r="J180" s="113">
        <v>0</v>
      </c>
      <c r="K180" s="114">
        <v>0</v>
      </c>
      <c r="L180" s="113">
        <v>0</v>
      </c>
      <c r="M180" s="114">
        <v>0</v>
      </c>
      <c r="N180" s="113">
        <v>0</v>
      </c>
      <c r="O180" s="114">
        <v>0</v>
      </c>
      <c r="P180" s="113">
        <v>0</v>
      </c>
      <c r="Q180" s="114">
        <v>0</v>
      </c>
      <c r="R180" s="113">
        <v>0</v>
      </c>
      <c r="S180" s="114">
        <v>0</v>
      </c>
      <c r="T180" s="113">
        <v>0</v>
      </c>
      <c r="U180" s="115">
        <v>0</v>
      </c>
      <c r="V180" t="e">
        <f>VLOOKUP(A180,Projetos_Ciclo!$H$3:$H$124,1,FALSE)</f>
        <v>#N/A</v>
      </c>
    </row>
    <row r="181" spans="1:22" x14ac:dyDescent="0.25">
      <c r="A181" s="14" t="s">
        <v>1135</v>
      </c>
      <c r="B181" s="116" t="s">
        <v>1136</v>
      </c>
      <c r="C181" s="116" t="s">
        <v>57</v>
      </c>
      <c r="D181" s="117">
        <v>0</v>
      </c>
      <c r="E181" s="120">
        <v>0</v>
      </c>
      <c r="F181" s="117">
        <v>0</v>
      </c>
      <c r="G181" s="120">
        <v>0</v>
      </c>
      <c r="H181" s="117">
        <v>0</v>
      </c>
      <c r="I181" s="120">
        <v>0</v>
      </c>
      <c r="J181" s="117">
        <v>0</v>
      </c>
      <c r="K181" s="120">
        <v>0</v>
      </c>
      <c r="L181" s="117">
        <v>0</v>
      </c>
      <c r="M181" s="120">
        <v>0</v>
      </c>
      <c r="N181" s="117">
        <v>0</v>
      </c>
      <c r="O181" s="120">
        <v>0</v>
      </c>
      <c r="P181" s="117">
        <v>0</v>
      </c>
      <c r="Q181" s="120">
        <v>0</v>
      </c>
      <c r="R181" s="117">
        <v>0</v>
      </c>
      <c r="S181" s="120">
        <v>0</v>
      </c>
      <c r="T181" s="117">
        <v>0</v>
      </c>
      <c r="U181" s="119">
        <v>0</v>
      </c>
      <c r="V181" t="e">
        <f>VLOOKUP(A181,Projetos_Ciclo!$H$3:$H$124,1,FALSE)</f>
        <v>#N/A</v>
      </c>
    </row>
    <row r="182" spans="1:22" x14ac:dyDescent="0.25">
      <c r="A182" s="111" t="s">
        <v>1332</v>
      </c>
      <c r="B182" s="112" t="s">
        <v>1333</v>
      </c>
      <c r="C182" s="112" t="s">
        <v>1449</v>
      </c>
      <c r="D182" s="113">
        <v>3182</v>
      </c>
      <c r="E182" s="114">
        <v>0</v>
      </c>
      <c r="F182" s="113">
        <v>3182</v>
      </c>
      <c r="G182" s="114">
        <v>0</v>
      </c>
      <c r="H182" s="113">
        <v>0</v>
      </c>
      <c r="I182" s="114">
        <v>0</v>
      </c>
      <c r="J182" s="113">
        <v>0</v>
      </c>
      <c r="K182" s="114">
        <v>0</v>
      </c>
      <c r="L182" s="113">
        <v>0</v>
      </c>
      <c r="M182" s="114">
        <v>0</v>
      </c>
      <c r="N182" s="113">
        <v>0</v>
      </c>
      <c r="O182" s="114">
        <v>0</v>
      </c>
      <c r="P182" s="113">
        <v>0</v>
      </c>
      <c r="Q182" s="114">
        <v>0</v>
      </c>
      <c r="R182" s="113">
        <v>0</v>
      </c>
      <c r="S182" s="114">
        <v>0</v>
      </c>
      <c r="T182" s="113">
        <v>0</v>
      </c>
      <c r="U182" s="115">
        <v>0</v>
      </c>
      <c r="V182" t="e">
        <f>VLOOKUP(A182,Projetos_Ciclo!$H$3:$H$124,1,FALSE)</f>
        <v>#N/A</v>
      </c>
    </row>
    <row r="183" spans="1:22" x14ac:dyDescent="0.25">
      <c r="A183" s="14" t="s">
        <v>1365</v>
      </c>
      <c r="B183" s="116" t="s">
        <v>1450</v>
      </c>
      <c r="C183" s="116" t="s">
        <v>1451</v>
      </c>
      <c r="D183" s="117">
        <v>0</v>
      </c>
      <c r="E183" s="120">
        <v>0</v>
      </c>
      <c r="F183" s="117">
        <v>0</v>
      </c>
      <c r="G183" s="120">
        <v>720</v>
      </c>
      <c r="H183" s="117">
        <v>0</v>
      </c>
      <c r="I183" s="120">
        <v>0</v>
      </c>
      <c r="J183" s="117">
        <v>0</v>
      </c>
      <c r="K183" s="120">
        <v>0</v>
      </c>
      <c r="L183" s="117">
        <v>0</v>
      </c>
      <c r="M183" s="120">
        <v>0</v>
      </c>
      <c r="N183" s="117">
        <v>0</v>
      </c>
      <c r="O183" s="120">
        <v>0</v>
      </c>
      <c r="P183" s="117">
        <v>0</v>
      </c>
      <c r="Q183" s="120">
        <v>0</v>
      </c>
      <c r="R183" s="117">
        <v>0</v>
      </c>
      <c r="S183" s="120">
        <v>0</v>
      </c>
      <c r="T183" s="117">
        <v>0</v>
      </c>
      <c r="U183" s="119">
        <v>0</v>
      </c>
      <c r="V183" t="e">
        <f>VLOOKUP(A183,Projetos_Ciclo!$H$3:$H$124,1,FALSE)</f>
        <v>#N/A</v>
      </c>
    </row>
    <row r="184" spans="1:22" x14ac:dyDescent="0.25">
      <c r="A184" s="111" t="s">
        <v>1366</v>
      </c>
      <c r="B184" s="112" t="s">
        <v>644</v>
      </c>
      <c r="C184" s="112" t="s">
        <v>1452</v>
      </c>
      <c r="D184" s="113">
        <v>0</v>
      </c>
      <c r="E184" s="114">
        <v>0</v>
      </c>
      <c r="F184" s="113">
        <v>0</v>
      </c>
      <c r="G184" s="114">
        <v>500</v>
      </c>
      <c r="H184" s="113">
        <v>0</v>
      </c>
      <c r="I184" s="114">
        <v>0</v>
      </c>
      <c r="J184" s="113">
        <v>0</v>
      </c>
      <c r="K184" s="114">
        <v>0</v>
      </c>
      <c r="L184" s="113">
        <v>0</v>
      </c>
      <c r="M184" s="114">
        <v>0</v>
      </c>
      <c r="N184" s="113">
        <v>0</v>
      </c>
      <c r="O184" s="114">
        <v>0</v>
      </c>
      <c r="P184" s="113">
        <v>0</v>
      </c>
      <c r="Q184" s="114">
        <v>0</v>
      </c>
      <c r="R184" s="113">
        <v>0</v>
      </c>
      <c r="S184" s="114">
        <v>0</v>
      </c>
      <c r="T184" s="113">
        <v>0</v>
      </c>
      <c r="U184" s="115">
        <v>0</v>
      </c>
      <c r="V184" t="e">
        <f>VLOOKUP(A184,Projetos_Ciclo!$H$3:$H$124,1,FALSE)</f>
        <v>#N/A</v>
      </c>
    </row>
    <row r="185" spans="1:22" x14ac:dyDescent="0.25">
      <c r="A185" s="14" t="s">
        <v>520</v>
      </c>
      <c r="B185" s="116" t="s">
        <v>1137</v>
      </c>
      <c r="C185" s="116" t="s">
        <v>57</v>
      </c>
      <c r="D185" s="117">
        <v>5366</v>
      </c>
      <c r="E185" s="120">
        <v>0</v>
      </c>
      <c r="F185" s="117">
        <v>0</v>
      </c>
      <c r="G185" s="120">
        <v>0</v>
      </c>
      <c r="H185" s="117">
        <v>0</v>
      </c>
      <c r="I185" s="120">
        <v>0</v>
      </c>
      <c r="J185" s="117">
        <v>0</v>
      </c>
      <c r="K185" s="120">
        <v>0</v>
      </c>
      <c r="L185" s="117">
        <v>0</v>
      </c>
      <c r="M185" s="120">
        <v>0</v>
      </c>
      <c r="N185" s="117">
        <v>1864</v>
      </c>
      <c r="O185" s="120">
        <v>2982</v>
      </c>
      <c r="P185" s="117">
        <v>350</v>
      </c>
      <c r="Q185" s="120">
        <v>170</v>
      </c>
      <c r="R185" s="117">
        <v>0</v>
      </c>
      <c r="S185" s="120">
        <v>0</v>
      </c>
      <c r="T185" s="117">
        <v>0</v>
      </c>
      <c r="U185" s="119">
        <v>0</v>
      </c>
      <c r="V185" t="str">
        <f>VLOOKUP(A185,Projetos_Ciclo!$H$3:$H$124,1,FALSE)</f>
        <v>NA</v>
      </c>
    </row>
    <row r="186" spans="1:22" x14ac:dyDescent="0.25">
      <c r="A186" s="111" t="s">
        <v>1138</v>
      </c>
      <c r="B186" s="112" t="s">
        <v>1139</v>
      </c>
      <c r="C186" s="112" t="s">
        <v>57</v>
      </c>
      <c r="D186" s="113">
        <v>0</v>
      </c>
      <c r="E186" s="114">
        <v>0</v>
      </c>
      <c r="F186" s="113">
        <v>0</v>
      </c>
      <c r="G186" s="114">
        <v>0</v>
      </c>
      <c r="H186" s="113">
        <v>0</v>
      </c>
      <c r="I186" s="114">
        <v>0</v>
      </c>
      <c r="J186" s="113">
        <v>0</v>
      </c>
      <c r="K186" s="114">
        <v>0</v>
      </c>
      <c r="L186" s="113">
        <v>0</v>
      </c>
      <c r="M186" s="114">
        <v>0</v>
      </c>
      <c r="N186" s="113">
        <v>0</v>
      </c>
      <c r="O186" s="114">
        <v>0</v>
      </c>
      <c r="P186" s="113">
        <v>0</v>
      </c>
      <c r="Q186" s="114">
        <v>0</v>
      </c>
      <c r="R186" s="113">
        <v>0</v>
      </c>
      <c r="S186" s="114">
        <v>0</v>
      </c>
      <c r="T186" s="113">
        <v>0</v>
      </c>
      <c r="U186" s="115">
        <v>0</v>
      </c>
      <c r="V186" t="e">
        <f>VLOOKUP(A186,Projetos_Ciclo!$H$3:$H$124,1,FALSE)</f>
        <v>#N/A</v>
      </c>
    </row>
    <row r="187" spans="1:22" x14ac:dyDescent="0.25">
      <c r="A187" s="14" t="s">
        <v>1133</v>
      </c>
      <c r="B187" s="116" t="s">
        <v>1254</v>
      </c>
      <c r="C187" s="116" t="s">
        <v>57</v>
      </c>
      <c r="D187" s="117">
        <v>0</v>
      </c>
      <c r="E187" s="120">
        <v>0</v>
      </c>
      <c r="F187" s="117">
        <v>0</v>
      </c>
      <c r="G187" s="120">
        <v>0</v>
      </c>
      <c r="H187" s="117">
        <v>0</v>
      </c>
      <c r="I187" s="120">
        <v>0</v>
      </c>
      <c r="J187" s="117">
        <v>0</v>
      </c>
      <c r="K187" s="120">
        <v>0</v>
      </c>
      <c r="L187" s="117">
        <v>0</v>
      </c>
      <c r="M187" s="120">
        <v>0</v>
      </c>
      <c r="N187" s="117">
        <v>0</v>
      </c>
      <c r="O187" s="120">
        <v>0</v>
      </c>
      <c r="P187" s="117">
        <v>0</v>
      </c>
      <c r="Q187" s="120">
        <v>0</v>
      </c>
      <c r="R187" s="117">
        <v>0</v>
      </c>
      <c r="S187" s="120">
        <v>0</v>
      </c>
      <c r="T187" s="117">
        <v>0</v>
      </c>
      <c r="U187" s="119">
        <v>0</v>
      </c>
      <c r="V187" t="e">
        <f>VLOOKUP(A187,Projetos_Ciclo!$H$3:$H$124,1,FALSE)</f>
        <v>#N/A</v>
      </c>
    </row>
    <row r="188" spans="1:22" x14ac:dyDescent="0.25">
      <c r="A188" s="111" t="s">
        <v>1135</v>
      </c>
      <c r="B188" s="112" t="s">
        <v>1136</v>
      </c>
      <c r="C188" s="112" t="s">
        <v>57</v>
      </c>
      <c r="D188" s="113">
        <v>0</v>
      </c>
      <c r="E188" s="114">
        <v>0</v>
      </c>
      <c r="F188" s="113">
        <v>0</v>
      </c>
      <c r="G188" s="114">
        <v>0</v>
      </c>
      <c r="H188" s="113">
        <v>0</v>
      </c>
      <c r="I188" s="114">
        <v>0</v>
      </c>
      <c r="J188" s="113">
        <v>0</v>
      </c>
      <c r="K188" s="114">
        <v>0</v>
      </c>
      <c r="L188" s="113">
        <v>0</v>
      </c>
      <c r="M188" s="114">
        <v>0</v>
      </c>
      <c r="N188" s="113">
        <v>0</v>
      </c>
      <c r="O188" s="114">
        <v>0</v>
      </c>
      <c r="P188" s="113">
        <v>0</v>
      </c>
      <c r="Q188" s="114">
        <v>0</v>
      </c>
      <c r="R188" s="113">
        <v>0</v>
      </c>
      <c r="S188" s="114">
        <v>0</v>
      </c>
      <c r="T188" s="113">
        <v>0</v>
      </c>
      <c r="U188" s="115">
        <v>0</v>
      </c>
      <c r="V188" t="e">
        <f>VLOOKUP(A188,Projetos_Ciclo!$H$3:$H$124,1,FALSE)</f>
        <v>#N/A</v>
      </c>
    </row>
    <row r="189" spans="1:22" x14ac:dyDescent="0.25">
      <c r="A189" s="14" t="s">
        <v>520</v>
      </c>
      <c r="B189" s="116" t="s">
        <v>1335</v>
      </c>
      <c r="C189" s="116" t="s">
        <v>57</v>
      </c>
      <c r="D189" s="117">
        <v>625</v>
      </c>
      <c r="E189" s="120">
        <v>0</v>
      </c>
      <c r="F189" s="117">
        <v>0</v>
      </c>
      <c r="G189" s="120">
        <v>0</v>
      </c>
      <c r="H189" s="117">
        <v>0</v>
      </c>
      <c r="I189" s="120">
        <v>0</v>
      </c>
      <c r="J189" s="117">
        <v>0</v>
      </c>
      <c r="K189" s="120">
        <v>0</v>
      </c>
      <c r="L189" s="117">
        <v>0</v>
      </c>
      <c r="M189" s="120">
        <v>0</v>
      </c>
      <c r="N189" s="117">
        <v>75</v>
      </c>
      <c r="O189" s="120">
        <v>150</v>
      </c>
      <c r="P189" s="117">
        <v>150</v>
      </c>
      <c r="Q189" s="120">
        <v>250</v>
      </c>
      <c r="R189" s="117">
        <v>0</v>
      </c>
      <c r="S189" s="120">
        <v>0</v>
      </c>
      <c r="T189" s="117">
        <v>0</v>
      </c>
      <c r="U189" s="119">
        <v>0</v>
      </c>
      <c r="V189" t="str">
        <f>VLOOKUP(A189,Projetos_Ciclo!$H$3:$H$124,1,FALSE)</f>
        <v>NA</v>
      </c>
    </row>
    <row r="190" spans="1:22" x14ac:dyDescent="0.25">
      <c r="A190" s="111" t="s">
        <v>1138</v>
      </c>
      <c r="B190" s="112" t="s">
        <v>1139</v>
      </c>
      <c r="C190" s="112" t="s">
        <v>57</v>
      </c>
      <c r="D190" s="113">
        <v>0</v>
      </c>
      <c r="E190" s="114">
        <v>0</v>
      </c>
      <c r="F190" s="113">
        <v>0</v>
      </c>
      <c r="G190" s="114">
        <v>0</v>
      </c>
      <c r="H190" s="113">
        <v>0</v>
      </c>
      <c r="I190" s="114">
        <v>0</v>
      </c>
      <c r="J190" s="113">
        <v>0</v>
      </c>
      <c r="K190" s="114">
        <v>0</v>
      </c>
      <c r="L190" s="113">
        <v>0</v>
      </c>
      <c r="M190" s="114">
        <v>0</v>
      </c>
      <c r="N190" s="113">
        <v>0</v>
      </c>
      <c r="O190" s="114">
        <v>0</v>
      </c>
      <c r="P190" s="113">
        <v>0</v>
      </c>
      <c r="Q190" s="114">
        <v>0</v>
      </c>
      <c r="R190" s="113">
        <v>0</v>
      </c>
      <c r="S190" s="114">
        <v>0</v>
      </c>
      <c r="T190" s="113">
        <v>0</v>
      </c>
      <c r="U190" s="115">
        <v>0</v>
      </c>
      <c r="V190" t="e">
        <f>VLOOKUP(A190,Projetos_Ciclo!$H$3:$H$124,1,FALSE)</f>
        <v>#N/A</v>
      </c>
    </row>
    <row r="191" spans="1:22" x14ac:dyDescent="0.25">
      <c r="A191" s="14" t="s">
        <v>1336</v>
      </c>
      <c r="B191" s="116" t="s">
        <v>1337</v>
      </c>
      <c r="C191" s="116" t="s">
        <v>1338</v>
      </c>
      <c r="D191" s="117">
        <v>75</v>
      </c>
      <c r="E191" s="120">
        <v>0</v>
      </c>
      <c r="F191" s="117">
        <v>75</v>
      </c>
      <c r="G191" s="120">
        <v>0</v>
      </c>
      <c r="H191" s="117">
        <v>0</v>
      </c>
      <c r="I191" s="120">
        <v>0</v>
      </c>
      <c r="J191" s="117">
        <v>0</v>
      </c>
      <c r="K191" s="120">
        <v>0</v>
      </c>
      <c r="L191" s="117">
        <v>0</v>
      </c>
      <c r="M191" s="120">
        <v>0</v>
      </c>
      <c r="N191" s="117">
        <v>0</v>
      </c>
      <c r="O191" s="120">
        <v>0</v>
      </c>
      <c r="P191" s="117">
        <v>0</v>
      </c>
      <c r="Q191" s="120">
        <v>0</v>
      </c>
      <c r="R191" s="117">
        <v>0</v>
      </c>
      <c r="S191" s="120">
        <v>0</v>
      </c>
      <c r="T191" s="117">
        <v>0</v>
      </c>
      <c r="U191" s="119">
        <v>0</v>
      </c>
    </row>
    <row r="192" spans="1:22" x14ac:dyDescent="0.25">
      <c r="A192" s="111" t="s">
        <v>1421</v>
      </c>
      <c r="B192" s="112" t="s">
        <v>1402</v>
      </c>
      <c r="C192" s="112" t="s">
        <v>1422</v>
      </c>
      <c r="D192" s="113">
        <v>0</v>
      </c>
      <c r="E192" s="114">
        <v>0</v>
      </c>
      <c r="F192" s="113">
        <v>0</v>
      </c>
      <c r="G192" s="114">
        <v>75</v>
      </c>
      <c r="H192" s="113">
        <v>0</v>
      </c>
      <c r="I192" s="114">
        <v>0</v>
      </c>
      <c r="J192" s="113">
        <v>0</v>
      </c>
      <c r="K192" s="114">
        <v>0</v>
      </c>
      <c r="L192" s="113">
        <v>0</v>
      </c>
      <c r="M192" s="114">
        <v>0</v>
      </c>
      <c r="N192" s="113">
        <v>0</v>
      </c>
      <c r="O192" s="114">
        <v>0</v>
      </c>
      <c r="P192" s="113">
        <v>0</v>
      </c>
      <c r="Q192" s="114">
        <v>0</v>
      </c>
      <c r="R192" s="113">
        <v>0</v>
      </c>
      <c r="S192" s="114">
        <v>0</v>
      </c>
      <c r="T192" s="113">
        <v>0</v>
      </c>
      <c r="U192" s="115">
        <v>0</v>
      </c>
    </row>
    <row r="193" spans="1:21" x14ac:dyDescent="0.25">
      <c r="A193" s="14" t="s">
        <v>1133</v>
      </c>
      <c r="B193" s="116" t="s">
        <v>1339</v>
      </c>
      <c r="C193" s="116" t="s">
        <v>57</v>
      </c>
      <c r="D193" s="117">
        <v>0</v>
      </c>
      <c r="E193" s="120">
        <v>0</v>
      </c>
      <c r="F193" s="117">
        <v>0</v>
      </c>
      <c r="G193" s="120">
        <v>0</v>
      </c>
      <c r="H193" s="117">
        <v>0</v>
      </c>
      <c r="I193" s="120">
        <v>0</v>
      </c>
      <c r="J193" s="117">
        <v>0</v>
      </c>
      <c r="K193" s="120">
        <v>0</v>
      </c>
      <c r="L193" s="117">
        <v>0</v>
      </c>
      <c r="M193" s="120">
        <v>0</v>
      </c>
      <c r="N193" s="117">
        <v>0</v>
      </c>
      <c r="O193" s="120">
        <v>0</v>
      </c>
      <c r="P193" s="117">
        <v>0</v>
      </c>
      <c r="Q193" s="120">
        <v>0</v>
      </c>
      <c r="R193" s="117">
        <v>0</v>
      </c>
      <c r="S193" s="120">
        <v>0</v>
      </c>
      <c r="T193" s="117">
        <v>0</v>
      </c>
      <c r="U193" s="119">
        <v>0</v>
      </c>
    </row>
    <row r="194" spans="1:21" x14ac:dyDescent="0.25">
      <c r="A194" s="111" t="s">
        <v>1135</v>
      </c>
      <c r="B194" s="112" t="s">
        <v>1136</v>
      </c>
      <c r="C194" s="112" t="s">
        <v>57</v>
      </c>
      <c r="D194" s="113">
        <v>0</v>
      </c>
      <c r="E194" s="114">
        <v>0</v>
      </c>
      <c r="F194" s="113">
        <v>0</v>
      </c>
      <c r="G194" s="114">
        <v>0</v>
      </c>
      <c r="H194" s="113">
        <v>0</v>
      </c>
      <c r="I194" s="114">
        <v>0</v>
      </c>
      <c r="J194" s="113">
        <v>0</v>
      </c>
      <c r="K194" s="114">
        <v>0</v>
      </c>
      <c r="L194" s="113">
        <v>0</v>
      </c>
      <c r="M194" s="114">
        <v>0</v>
      </c>
      <c r="N194" s="113">
        <v>0</v>
      </c>
      <c r="O194" s="114">
        <v>0</v>
      </c>
      <c r="P194" s="113">
        <v>0</v>
      </c>
      <c r="Q194" s="114">
        <v>0</v>
      </c>
      <c r="R194" s="113">
        <v>0</v>
      </c>
      <c r="S194" s="114">
        <v>0</v>
      </c>
      <c r="T194" s="113">
        <v>0</v>
      </c>
      <c r="U194" s="115">
        <v>0</v>
      </c>
    </row>
    <row r="195" spans="1:21" x14ac:dyDescent="0.25">
      <c r="A195" s="14" t="s">
        <v>520</v>
      </c>
      <c r="B195" s="116" t="s">
        <v>1340</v>
      </c>
      <c r="C195" s="116" t="s">
        <v>57</v>
      </c>
      <c r="D195" s="117">
        <v>600</v>
      </c>
      <c r="E195" s="120">
        <v>0</v>
      </c>
      <c r="F195" s="117">
        <v>0</v>
      </c>
      <c r="G195" s="120">
        <v>0</v>
      </c>
      <c r="H195" s="117">
        <v>0</v>
      </c>
      <c r="I195" s="120">
        <v>0</v>
      </c>
      <c r="J195" s="117">
        <v>0</v>
      </c>
      <c r="K195" s="120">
        <v>0</v>
      </c>
      <c r="L195" s="117">
        <v>0</v>
      </c>
      <c r="M195" s="120">
        <v>0</v>
      </c>
      <c r="N195" s="117">
        <v>150</v>
      </c>
      <c r="O195" s="120">
        <v>150</v>
      </c>
      <c r="P195" s="117">
        <v>150</v>
      </c>
      <c r="Q195" s="120">
        <v>150</v>
      </c>
      <c r="R195" s="117">
        <v>0</v>
      </c>
      <c r="S195" s="120">
        <v>0</v>
      </c>
      <c r="T195" s="117">
        <v>0</v>
      </c>
      <c r="U195" s="119">
        <v>0</v>
      </c>
    </row>
    <row r="196" spans="1:21" x14ac:dyDescent="0.25">
      <c r="A196" s="111" t="s">
        <v>1138</v>
      </c>
      <c r="B196" s="112" t="s">
        <v>1139</v>
      </c>
      <c r="C196" s="112" t="s">
        <v>57</v>
      </c>
      <c r="D196" s="113">
        <v>0</v>
      </c>
      <c r="E196" s="114">
        <v>0</v>
      </c>
      <c r="F196" s="113">
        <v>0</v>
      </c>
      <c r="G196" s="114">
        <v>0</v>
      </c>
      <c r="H196" s="113">
        <v>0</v>
      </c>
      <c r="I196" s="114">
        <v>0</v>
      </c>
      <c r="J196" s="113">
        <v>0</v>
      </c>
      <c r="K196" s="114">
        <v>0</v>
      </c>
      <c r="L196" s="113">
        <v>0</v>
      </c>
      <c r="M196" s="114">
        <v>0</v>
      </c>
      <c r="N196" s="113">
        <v>0</v>
      </c>
      <c r="O196" s="114">
        <v>0</v>
      </c>
      <c r="P196" s="113">
        <v>0</v>
      </c>
      <c r="Q196" s="114">
        <v>0</v>
      </c>
      <c r="R196" s="113">
        <v>0</v>
      </c>
      <c r="S196" s="114">
        <v>0</v>
      </c>
      <c r="T196" s="113">
        <v>0</v>
      </c>
      <c r="U196" s="115">
        <v>0</v>
      </c>
    </row>
    <row r="197" spans="1:21" x14ac:dyDescent="0.25">
      <c r="A197" s="14" t="s">
        <v>1341</v>
      </c>
      <c r="B197" s="116" t="s">
        <v>1342</v>
      </c>
      <c r="C197" s="116" t="s">
        <v>1343</v>
      </c>
      <c r="D197" s="117">
        <v>0</v>
      </c>
      <c r="E197" s="120">
        <v>0</v>
      </c>
      <c r="F197" s="117">
        <v>0</v>
      </c>
      <c r="G197" s="120">
        <v>0</v>
      </c>
      <c r="H197" s="117">
        <v>0</v>
      </c>
      <c r="I197" s="120">
        <v>0</v>
      </c>
      <c r="J197" s="117">
        <v>0</v>
      </c>
      <c r="K197" s="120">
        <v>0</v>
      </c>
      <c r="L197" s="117">
        <v>0</v>
      </c>
      <c r="M197" s="120">
        <v>0</v>
      </c>
      <c r="N197" s="117">
        <v>0</v>
      </c>
      <c r="O197" s="120">
        <v>0</v>
      </c>
      <c r="P197" s="117">
        <v>0</v>
      </c>
      <c r="Q197" s="120">
        <v>0</v>
      </c>
      <c r="R197" s="117">
        <v>0</v>
      </c>
      <c r="S197" s="120">
        <v>0</v>
      </c>
      <c r="T197" s="117">
        <v>0</v>
      </c>
      <c r="U197" s="119">
        <v>0</v>
      </c>
    </row>
    <row r="198" spans="1:21" x14ac:dyDescent="0.25">
      <c r="A198" s="111" t="s">
        <v>745</v>
      </c>
      <c r="B198" s="112" t="s">
        <v>1344</v>
      </c>
      <c r="C198" s="112" t="s">
        <v>1345</v>
      </c>
      <c r="D198" s="113">
        <v>0</v>
      </c>
      <c r="E198" s="114">
        <v>0</v>
      </c>
      <c r="F198" s="113">
        <v>0</v>
      </c>
      <c r="G198" s="114">
        <v>8</v>
      </c>
      <c r="H198" s="113">
        <v>0</v>
      </c>
      <c r="I198" s="114">
        <v>7.60504150390625</v>
      </c>
      <c r="J198" s="113">
        <v>0</v>
      </c>
      <c r="K198" s="114">
        <v>7.60504150390625</v>
      </c>
      <c r="L198" s="113">
        <v>0</v>
      </c>
      <c r="M198" s="114">
        <v>7.60504150390625</v>
      </c>
      <c r="N198" s="113">
        <v>0</v>
      </c>
      <c r="O198" s="114">
        <v>0</v>
      </c>
      <c r="P198" s="113">
        <v>0</v>
      </c>
      <c r="Q198" s="114">
        <v>0</v>
      </c>
      <c r="R198" s="113">
        <v>0</v>
      </c>
      <c r="S198" s="114">
        <v>0</v>
      </c>
      <c r="T198" s="113">
        <v>0</v>
      </c>
      <c r="U198" s="115">
        <v>0</v>
      </c>
    </row>
    <row r="199" spans="1:21" x14ac:dyDescent="0.25">
      <c r="A199" s="14" t="s">
        <v>1336</v>
      </c>
      <c r="B199" s="116" t="s">
        <v>1346</v>
      </c>
      <c r="C199" s="116" t="s">
        <v>1347</v>
      </c>
      <c r="D199" s="117">
        <v>1289</v>
      </c>
      <c r="E199" s="120">
        <v>0</v>
      </c>
      <c r="F199" s="117">
        <v>1289</v>
      </c>
      <c r="G199" s="120">
        <v>0</v>
      </c>
      <c r="H199" s="117">
        <v>219</v>
      </c>
      <c r="I199" s="120">
        <v>0</v>
      </c>
      <c r="J199" s="117">
        <v>0</v>
      </c>
      <c r="K199" s="120">
        <v>0</v>
      </c>
      <c r="L199" s="117">
        <v>0</v>
      </c>
      <c r="M199" s="120">
        <v>0</v>
      </c>
      <c r="N199" s="117">
        <v>0</v>
      </c>
      <c r="O199" s="120">
        <v>0</v>
      </c>
      <c r="P199" s="117">
        <v>0</v>
      </c>
      <c r="Q199" s="120">
        <v>0</v>
      </c>
      <c r="R199" s="117">
        <v>0</v>
      </c>
      <c r="S199" s="120">
        <v>0</v>
      </c>
      <c r="T199" s="117">
        <v>0</v>
      </c>
      <c r="U199" s="119">
        <v>0</v>
      </c>
    </row>
    <row r="200" spans="1:21" x14ac:dyDescent="0.25">
      <c r="I200" s="160">
        <f>SUBTOTAL(9,I4:I199)</f>
        <v>7125.641134262085</v>
      </c>
      <c r="J200" s="160">
        <f t="shared" ref="J200:U200" si="0">SUM(J4:J199)</f>
        <v>0</v>
      </c>
      <c r="K200" s="160">
        <f t="shared" si="0"/>
        <v>7780.7081707715988</v>
      </c>
      <c r="L200" s="160">
        <f t="shared" si="0"/>
        <v>15963.323855145834</v>
      </c>
      <c r="M200" s="160">
        <f t="shared" si="0"/>
        <v>23744.032025917433</v>
      </c>
      <c r="N200" s="160">
        <f t="shared" si="0"/>
        <v>91719</v>
      </c>
      <c r="O200" s="160">
        <f t="shared" si="0"/>
        <v>83542</v>
      </c>
      <c r="P200" s="160">
        <f t="shared" si="0"/>
        <v>55948</v>
      </c>
      <c r="Q200" s="160">
        <f t="shared" si="0"/>
        <v>49192</v>
      </c>
      <c r="R200" s="160">
        <f t="shared" si="0"/>
        <v>0</v>
      </c>
      <c r="S200" s="160">
        <f t="shared" si="0"/>
        <v>0</v>
      </c>
      <c r="T200" s="160">
        <f t="shared" si="0"/>
        <v>0</v>
      </c>
      <c r="U200" s="160">
        <f t="shared" si="0"/>
        <v>0</v>
      </c>
    </row>
  </sheetData>
  <autoFilter ref="A2:V199">
    <filterColumn colId="0">
      <filters blank="1">
        <filter val="2264/09"/>
        <filter val="2509/10"/>
        <filter val="2556/10"/>
        <filter val="2710/11"/>
        <filter val="2716/11"/>
        <filter val="2717/11"/>
        <filter val="2854/11"/>
        <filter val="2896/11"/>
        <filter val="2922/11"/>
        <filter val="3088/12"/>
        <filter val="3211/12"/>
        <filter val="AM"/>
        <filter val="CD00115"/>
        <filter val="CD00116"/>
        <filter val="CD00215"/>
        <filter val="CD00315"/>
        <filter val="CI"/>
        <filter val="GE00118"/>
        <filter val="GE00214"/>
        <filter val="GE00218"/>
        <filter val="GE00318"/>
        <filter val="GE00418"/>
        <filter val="GE00518"/>
        <filter val="GE00618"/>
        <filter val="GE00718"/>
        <filter val="GE00818"/>
        <filter val="GE00918"/>
        <filter val="MD00218"/>
        <filter val="MD00318"/>
        <filter val="MG00318"/>
        <filter val="MT00218"/>
        <filter val="MT00516"/>
        <filter val="MT01017"/>
        <filter val="NA"/>
        <filter val="PO00117"/>
        <filter val="PO00118"/>
        <filter val="PO00417"/>
        <filter val="RH00118"/>
        <filter val="SC00117"/>
        <filter val="SC00118"/>
        <filter val="SC00318"/>
        <filter val="SC00418"/>
        <filter val="SR"/>
        <filter val="TI00118"/>
        <filter val="TI00216"/>
        <filter val="TI00218"/>
        <filter val="TI00316"/>
        <filter val="TI00416"/>
        <filter val="TI00417"/>
        <filter val="TI00516"/>
        <filter val="TI00517"/>
        <filter val="TI00617"/>
        <filter val="TI00716"/>
        <filter val="TI00818"/>
        <filter val="TI00914"/>
        <filter val="TI00918"/>
        <filter val="TI01016"/>
        <filter val="TI01018"/>
        <filter val="TI01113"/>
        <filter val="TI01114"/>
        <filter val="TI01118"/>
        <filter val="TI01213"/>
        <filter val="TI01218"/>
        <filter val="TI01317"/>
        <filter val="TI01318"/>
        <filter val="TI01418"/>
        <filter val="TI01518"/>
        <filter val="TI01616"/>
        <filter val="TI01715"/>
        <filter val="TI01813"/>
        <filter val="TI01816"/>
        <filter val="TI02115"/>
        <filter val="TI02216"/>
        <filter val="TI02217"/>
        <filter val="TI02316"/>
        <filter val="TI02318"/>
        <filter val="TI02416"/>
        <filter val="TI02418"/>
        <filter val="TI02515"/>
        <filter val="TI02516"/>
        <filter val="TI02616"/>
        <filter val="TI02618"/>
        <filter val="TI02718"/>
        <filter val="TI02817"/>
        <filter val="TI02918"/>
        <filter val="TI03015"/>
        <filter val="TI03018"/>
        <filter val="TI03117"/>
        <filter val="TI03118"/>
        <filter val="TI03217"/>
        <filter val="TI03218"/>
        <filter val="TI03317"/>
        <filter val="TI03318"/>
        <filter val="TI03417"/>
        <filter val="TI03418"/>
        <filter val="TI03517"/>
        <filter val="TI03518"/>
        <filter val="TI03617"/>
        <filter val="TI03618"/>
        <filter val="TI03718"/>
        <filter val="TI03818"/>
        <filter val="TI03918"/>
        <filter val="TI04018"/>
        <filter val="TI04117"/>
        <filter val="TI04318"/>
        <filter val="TI04418"/>
        <filter val="TI04518"/>
        <filter val="TI04618"/>
        <filter val="TI04718"/>
        <filter val="TI04818"/>
        <filter val="TI04918"/>
        <filter val="TI05018"/>
        <filter val="TI05118"/>
        <filter val="TI05218"/>
      </filters>
    </filterColumn>
  </autoFilter>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
  <sheetViews>
    <sheetView showGridLines="0" workbookViewId="0">
      <pane ySplit="3" topLeftCell="A115" activePane="bottomLeft" state="frozen"/>
      <selection pane="bottomLeft" activeCell="A126" sqref="A126"/>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468" t="s">
        <v>1348</v>
      </c>
      <c r="B2" s="468" t="s">
        <v>1349</v>
      </c>
      <c r="C2" s="468" t="s">
        <v>1350</v>
      </c>
      <c r="D2" s="470" t="s">
        <v>1351</v>
      </c>
      <c r="E2" s="269" t="s">
        <v>1352</v>
      </c>
      <c r="F2" s="122"/>
      <c r="G2" s="123"/>
      <c r="H2" s="122"/>
      <c r="I2" s="124" t="s">
        <v>1353</v>
      </c>
      <c r="J2" s="125">
        <f>[2]Capa!$K$3</f>
        <v>43251</v>
      </c>
      <c r="K2" s="124"/>
      <c r="L2" s="124"/>
      <c r="M2" s="126"/>
      <c r="N2" s="127"/>
      <c r="O2" s="124"/>
      <c r="P2" s="124" t="s">
        <v>1354</v>
      </c>
      <c r="Q2" s="124"/>
      <c r="R2" s="124"/>
      <c r="S2" s="124"/>
      <c r="T2" s="124"/>
      <c r="U2" s="128"/>
    </row>
    <row r="3" spans="1:22"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2"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c r="V4" t="e">
        <f>VLOOKUP(A4,Projetos_Ciclo!$H$3:$H$124,1,FALSE)</f>
        <v>#N/A</v>
      </c>
    </row>
    <row r="5" spans="1:22"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c r="V5" t="e">
        <f>VLOOKUP(A5,Projetos_Ciclo!$H$3:$H$124,1,FALSE)</f>
        <v>#N/A</v>
      </c>
    </row>
    <row r="6" spans="1:22" x14ac:dyDescent="0.25">
      <c r="A6" s="111" t="s">
        <v>1383</v>
      </c>
      <c r="B6" s="112" t="s">
        <v>1384</v>
      </c>
      <c r="C6" s="112" t="s">
        <v>1385</v>
      </c>
      <c r="D6" s="113">
        <v>782</v>
      </c>
      <c r="E6" s="114">
        <v>0</v>
      </c>
      <c r="F6" s="113">
        <v>782</v>
      </c>
      <c r="G6" s="114">
        <v>0</v>
      </c>
      <c r="H6" s="113">
        <v>0</v>
      </c>
      <c r="I6" s="114">
        <v>0</v>
      </c>
      <c r="J6" s="113">
        <v>0</v>
      </c>
      <c r="K6" s="114">
        <v>0</v>
      </c>
      <c r="L6" s="113">
        <v>0</v>
      </c>
      <c r="M6" s="114">
        <v>0</v>
      </c>
      <c r="N6" s="113">
        <v>0</v>
      </c>
      <c r="O6" s="114">
        <v>0</v>
      </c>
      <c r="P6" s="113">
        <v>0</v>
      </c>
      <c r="Q6" s="114">
        <v>0</v>
      </c>
      <c r="R6" s="113">
        <v>0</v>
      </c>
      <c r="S6" s="114">
        <v>0</v>
      </c>
      <c r="T6" s="113">
        <v>0</v>
      </c>
      <c r="U6" s="115">
        <v>0</v>
      </c>
      <c r="V6" t="e">
        <f>VLOOKUP(A6,Projetos_Ciclo!$H$3:$H$124,1,FALSE)</f>
        <v>#N/A</v>
      </c>
    </row>
    <row r="7" spans="1:22" x14ac:dyDescent="0.25">
      <c r="A7" s="14" t="s">
        <v>1562</v>
      </c>
      <c r="B7" s="116" t="s">
        <v>1589</v>
      </c>
      <c r="C7" s="116" t="s">
        <v>1563</v>
      </c>
      <c r="D7" s="117">
        <v>0</v>
      </c>
      <c r="E7" s="120">
        <v>0</v>
      </c>
      <c r="F7" s="117">
        <v>0</v>
      </c>
      <c r="G7" s="120">
        <v>51</v>
      </c>
      <c r="H7" s="117">
        <v>0</v>
      </c>
      <c r="I7" s="120">
        <v>0</v>
      </c>
      <c r="J7" s="117">
        <v>0</v>
      </c>
      <c r="K7" s="120">
        <v>0</v>
      </c>
      <c r="L7" s="117">
        <v>0</v>
      </c>
      <c r="M7" s="120">
        <v>0</v>
      </c>
      <c r="N7" s="117">
        <v>0</v>
      </c>
      <c r="O7" s="120">
        <v>0</v>
      </c>
      <c r="P7" s="117">
        <v>0</v>
      </c>
      <c r="Q7" s="120">
        <v>0</v>
      </c>
      <c r="R7" s="117">
        <v>0</v>
      </c>
      <c r="S7" s="120">
        <v>0</v>
      </c>
      <c r="T7" s="117">
        <v>0</v>
      </c>
      <c r="U7" s="119">
        <v>0</v>
      </c>
      <c r="V7" t="str">
        <f>VLOOKUP(A7,Projetos_Ciclo!$H$3:$H$124,1,FALSE)</f>
        <v>MG00818</v>
      </c>
    </row>
    <row r="8" spans="1:22" x14ac:dyDescent="0.25">
      <c r="A8" s="111" t="s">
        <v>520</v>
      </c>
      <c r="B8" s="112" t="s">
        <v>1137</v>
      </c>
      <c r="C8" s="112" t="s">
        <v>57</v>
      </c>
      <c r="D8" s="113">
        <v>1854</v>
      </c>
      <c r="E8" s="114">
        <v>0</v>
      </c>
      <c r="F8" s="113">
        <v>0</v>
      </c>
      <c r="G8" s="114">
        <v>0</v>
      </c>
      <c r="H8" s="113">
        <v>0</v>
      </c>
      <c r="I8" s="114">
        <v>0</v>
      </c>
      <c r="J8" s="113">
        <v>0</v>
      </c>
      <c r="K8" s="114">
        <v>0</v>
      </c>
      <c r="L8" s="113">
        <v>0</v>
      </c>
      <c r="M8" s="114">
        <v>0</v>
      </c>
      <c r="N8" s="113">
        <v>634</v>
      </c>
      <c r="O8" s="114">
        <v>435</v>
      </c>
      <c r="P8" s="113">
        <v>360</v>
      </c>
      <c r="Q8" s="114">
        <v>425</v>
      </c>
      <c r="R8" s="113">
        <v>0</v>
      </c>
      <c r="S8" s="114">
        <v>0</v>
      </c>
      <c r="T8" s="113">
        <v>0</v>
      </c>
      <c r="U8" s="115">
        <v>0</v>
      </c>
      <c r="V8" t="str">
        <f>VLOOKUP(A8,Projetos_Ciclo!$H$3:$H$124,1,FALSE)</f>
        <v>NA</v>
      </c>
    </row>
    <row r="9" spans="1:22" x14ac:dyDescent="0.25">
      <c r="A9" s="14" t="s">
        <v>1469</v>
      </c>
      <c r="B9" s="116" t="s">
        <v>1517</v>
      </c>
      <c r="C9" s="116" t="s">
        <v>1470</v>
      </c>
      <c r="D9" s="117">
        <v>0</v>
      </c>
      <c r="E9" s="120">
        <v>0</v>
      </c>
      <c r="F9" s="117">
        <v>0</v>
      </c>
      <c r="G9" s="120">
        <v>132</v>
      </c>
      <c r="H9" s="117">
        <v>0</v>
      </c>
      <c r="I9" s="120">
        <v>0</v>
      </c>
      <c r="J9" s="117">
        <v>0</v>
      </c>
      <c r="K9" s="120">
        <v>0</v>
      </c>
      <c r="L9" s="117">
        <v>130.86748659610748</v>
      </c>
      <c r="M9" s="120">
        <v>130.86748659610748</v>
      </c>
      <c r="N9" s="117">
        <v>0</v>
      </c>
      <c r="O9" s="120">
        <v>0</v>
      </c>
      <c r="P9" s="117">
        <v>0</v>
      </c>
      <c r="Q9" s="120">
        <v>0</v>
      </c>
      <c r="R9" s="117">
        <v>0</v>
      </c>
      <c r="S9" s="120">
        <v>0</v>
      </c>
      <c r="T9" s="117">
        <v>0</v>
      </c>
      <c r="U9" s="119">
        <v>0</v>
      </c>
      <c r="V9" t="str">
        <f>VLOOKUP(A9,Projetos_Ciclo!$H$3:$H$124,1,FALSE)</f>
        <v>SC00318</v>
      </c>
    </row>
    <row r="10" spans="1:22" x14ac:dyDescent="0.25">
      <c r="A10" s="111" t="s">
        <v>1138</v>
      </c>
      <c r="B10" s="112" t="s">
        <v>1139</v>
      </c>
      <c r="C10" s="112" t="s">
        <v>57</v>
      </c>
      <c r="D10" s="113">
        <v>0</v>
      </c>
      <c r="E10" s="114">
        <v>0</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c r="V10" t="e">
        <f>VLOOKUP(A10,Projetos_Ciclo!$H$3:$H$124,1,FALSE)</f>
        <v>#N/A</v>
      </c>
    </row>
    <row r="11" spans="1:22" x14ac:dyDescent="0.25">
      <c r="A11" s="14" t="s">
        <v>1133</v>
      </c>
      <c r="B11" s="116" t="s">
        <v>1140</v>
      </c>
      <c r="C11" s="116" t="s">
        <v>57</v>
      </c>
      <c r="D11" s="117">
        <v>0</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c r="V11" t="e">
        <f>VLOOKUP(A11,Projetos_Ciclo!$H$3:$H$124,1,FALSE)</f>
        <v>#N/A</v>
      </c>
    </row>
    <row r="12" spans="1:22" x14ac:dyDescent="0.25">
      <c r="A12" s="111" t="s">
        <v>1135</v>
      </c>
      <c r="B12" s="112" t="s">
        <v>1136</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c r="V12" t="e">
        <f>VLOOKUP(A12,Projetos_Ciclo!$H$3:$H$124,1,FALSE)</f>
        <v>#N/A</v>
      </c>
    </row>
    <row r="13" spans="1:22" x14ac:dyDescent="0.25">
      <c r="A13" s="14" t="s">
        <v>520</v>
      </c>
      <c r="B13" s="116" t="s">
        <v>1137</v>
      </c>
      <c r="C13" s="116" t="s">
        <v>57</v>
      </c>
      <c r="D13" s="117">
        <v>139</v>
      </c>
      <c r="E13" s="120">
        <v>0</v>
      </c>
      <c r="F13" s="117">
        <v>0</v>
      </c>
      <c r="G13" s="120">
        <v>0</v>
      </c>
      <c r="H13" s="117">
        <v>0</v>
      </c>
      <c r="I13" s="120">
        <v>0</v>
      </c>
      <c r="J13" s="117">
        <v>0</v>
      </c>
      <c r="K13" s="120">
        <v>0</v>
      </c>
      <c r="L13" s="117">
        <v>0</v>
      </c>
      <c r="M13" s="120">
        <v>0</v>
      </c>
      <c r="N13" s="117">
        <v>16</v>
      </c>
      <c r="O13" s="120">
        <v>30</v>
      </c>
      <c r="P13" s="117">
        <v>50</v>
      </c>
      <c r="Q13" s="120">
        <v>43</v>
      </c>
      <c r="R13" s="117">
        <v>0</v>
      </c>
      <c r="S13" s="120">
        <v>0</v>
      </c>
      <c r="T13" s="117">
        <v>0</v>
      </c>
      <c r="U13" s="119">
        <v>0</v>
      </c>
      <c r="V13" t="str">
        <f>VLOOKUP(A13,Projetos_Ciclo!$H$3:$H$124,1,FALSE)</f>
        <v>NA</v>
      </c>
    </row>
    <row r="14" spans="1:22" x14ac:dyDescent="0.25">
      <c r="A14" s="111" t="s">
        <v>1138</v>
      </c>
      <c r="B14" s="112" t="s">
        <v>1139</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c r="V14" t="e">
        <f>VLOOKUP(A14,Projetos_Ciclo!$H$3:$H$124,1,FALSE)</f>
        <v>#N/A</v>
      </c>
    </row>
    <row r="15" spans="1:22" x14ac:dyDescent="0.25">
      <c r="A15" s="14" t="s">
        <v>1141</v>
      </c>
      <c r="B15" s="116" t="s">
        <v>1142</v>
      </c>
      <c r="C15" s="116" t="s">
        <v>1143</v>
      </c>
      <c r="D15" s="117">
        <v>29</v>
      </c>
      <c r="E15" s="120">
        <v>0</v>
      </c>
      <c r="F15" s="117">
        <v>29</v>
      </c>
      <c r="G15" s="120">
        <v>0</v>
      </c>
      <c r="H15" s="117">
        <v>0</v>
      </c>
      <c r="I15" s="120">
        <v>0</v>
      </c>
      <c r="J15" s="117">
        <v>0</v>
      </c>
      <c r="K15" s="120">
        <v>0</v>
      </c>
      <c r="L15" s="117">
        <v>0</v>
      </c>
      <c r="M15" s="120">
        <v>0</v>
      </c>
      <c r="N15" s="117">
        <v>0</v>
      </c>
      <c r="O15" s="120">
        <v>0</v>
      </c>
      <c r="P15" s="117">
        <v>0</v>
      </c>
      <c r="Q15" s="120">
        <v>0</v>
      </c>
      <c r="R15" s="117">
        <v>0</v>
      </c>
      <c r="S15" s="120">
        <v>0</v>
      </c>
      <c r="T15" s="117">
        <v>0</v>
      </c>
      <c r="U15" s="119">
        <v>0</v>
      </c>
      <c r="V15" t="e">
        <f>VLOOKUP(A15,Projetos_Ciclo!$H$3:$H$124,1,FALSE)</f>
        <v>#N/A</v>
      </c>
    </row>
    <row r="16" spans="1:22" x14ac:dyDescent="0.25">
      <c r="A16" s="111" t="s">
        <v>1133</v>
      </c>
      <c r="B16" s="112" t="s">
        <v>1144</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c r="V16" t="e">
        <f>VLOOKUP(A16,Projetos_Ciclo!$H$3:$H$124,1,FALSE)</f>
        <v>#N/A</v>
      </c>
    </row>
    <row r="17" spans="1:22" x14ac:dyDescent="0.25">
      <c r="A17" s="14" t="s">
        <v>1135</v>
      </c>
      <c r="B17" s="116" t="s">
        <v>1136</v>
      </c>
      <c r="C17" s="116" t="s">
        <v>57</v>
      </c>
      <c r="D17" s="117">
        <v>0</v>
      </c>
      <c r="E17" s="120">
        <v>0</v>
      </c>
      <c r="F17" s="117">
        <v>0</v>
      </c>
      <c r="G17" s="120">
        <v>0</v>
      </c>
      <c r="H17" s="117">
        <v>0</v>
      </c>
      <c r="I17" s="120">
        <v>0</v>
      </c>
      <c r="J17" s="117">
        <v>0</v>
      </c>
      <c r="K17" s="120">
        <v>0</v>
      </c>
      <c r="L17" s="117">
        <v>0</v>
      </c>
      <c r="M17" s="120">
        <v>0</v>
      </c>
      <c r="N17" s="117">
        <v>0</v>
      </c>
      <c r="O17" s="120">
        <v>0</v>
      </c>
      <c r="P17" s="117">
        <v>0</v>
      </c>
      <c r="Q17" s="120">
        <v>0</v>
      </c>
      <c r="R17" s="117">
        <v>0</v>
      </c>
      <c r="S17" s="120">
        <v>0</v>
      </c>
      <c r="T17" s="117">
        <v>0</v>
      </c>
      <c r="U17" s="119">
        <v>0</v>
      </c>
      <c r="V17" t="e">
        <f>VLOOKUP(A17,Projetos_Ciclo!$H$3:$H$124,1,FALSE)</f>
        <v>#N/A</v>
      </c>
    </row>
    <row r="18" spans="1:22" x14ac:dyDescent="0.25">
      <c r="A18" s="111" t="s">
        <v>520</v>
      </c>
      <c r="B18" s="112" t="s">
        <v>1137</v>
      </c>
      <c r="C18" s="112" t="s">
        <v>57</v>
      </c>
      <c r="D18" s="113">
        <v>896</v>
      </c>
      <c r="E18" s="114">
        <v>0</v>
      </c>
      <c r="F18" s="113">
        <v>0</v>
      </c>
      <c r="G18" s="114">
        <v>0</v>
      </c>
      <c r="H18" s="113">
        <v>0</v>
      </c>
      <c r="I18" s="114">
        <v>0</v>
      </c>
      <c r="J18" s="113">
        <v>0</v>
      </c>
      <c r="K18" s="114">
        <v>0</v>
      </c>
      <c r="L18" s="113">
        <v>0</v>
      </c>
      <c r="M18" s="114">
        <v>0</v>
      </c>
      <c r="N18" s="113">
        <v>351.5</v>
      </c>
      <c r="O18" s="114">
        <v>214.5</v>
      </c>
      <c r="P18" s="113">
        <v>51.5</v>
      </c>
      <c r="Q18" s="114">
        <v>278.5</v>
      </c>
      <c r="R18" s="113">
        <v>0</v>
      </c>
      <c r="S18" s="114">
        <v>0</v>
      </c>
      <c r="T18" s="113">
        <v>0</v>
      </c>
      <c r="U18" s="115">
        <v>0</v>
      </c>
      <c r="V18" t="str">
        <f>VLOOKUP(A18,Projetos_Ciclo!$H$3:$H$124,1,FALSE)</f>
        <v>NA</v>
      </c>
    </row>
    <row r="19" spans="1:22" x14ac:dyDescent="0.25">
      <c r="A19" s="14" t="s">
        <v>1138</v>
      </c>
      <c r="B19" s="116" t="s">
        <v>1139</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c r="V19" t="e">
        <f>VLOOKUP(A19,Projetos_Ciclo!$H$3:$H$124,1,FALSE)</f>
        <v>#N/A</v>
      </c>
    </row>
    <row r="20" spans="1:22" x14ac:dyDescent="0.25">
      <c r="A20" s="111" t="s">
        <v>1407</v>
      </c>
      <c r="B20" s="112" t="s">
        <v>1408</v>
      </c>
      <c r="C20" s="112" t="s">
        <v>1409</v>
      </c>
      <c r="D20" s="113">
        <v>0</v>
      </c>
      <c r="E20" s="114">
        <v>0</v>
      </c>
      <c r="F20" s="113">
        <v>0</v>
      </c>
      <c r="G20" s="114">
        <v>59</v>
      </c>
      <c r="H20" s="113">
        <v>0</v>
      </c>
      <c r="I20" s="114">
        <v>0</v>
      </c>
      <c r="J20" s="113">
        <v>0</v>
      </c>
      <c r="K20" s="114">
        <v>0</v>
      </c>
      <c r="L20" s="113">
        <v>0</v>
      </c>
      <c r="M20" s="114">
        <v>0</v>
      </c>
      <c r="N20" s="113">
        <v>0</v>
      </c>
      <c r="O20" s="114">
        <v>0</v>
      </c>
      <c r="P20" s="113">
        <v>0</v>
      </c>
      <c r="Q20" s="114">
        <v>0</v>
      </c>
      <c r="R20" s="113">
        <v>0</v>
      </c>
      <c r="S20" s="114">
        <v>0</v>
      </c>
      <c r="T20" s="113">
        <v>0</v>
      </c>
      <c r="U20" s="115">
        <v>0</v>
      </c>
      <c r="V20" t="e">
        <f>VLOOKUP(A20,Projetos_Ciclo!$H$3:$H$124,1,FALSE)</f>
        <v>#N/A</v>
      </c>
    </row>
    <row r="21" spans="1:22" x14ac:dyDescent="0.25">
      <c r="A21" s="14" t="s">
        <v>1145</v>
      </c>
      <c r="B21" s="116" t="s">
        <v>1146</v>
      </c>
      <c r="C21" s="116" t="s">
        <v>1147</v>
      </c>
      <c r="D21" s="117">
        <v>59</v>
      </c>
      <c r="E21" s="120">
        <v>0</v>
      </c>
      <c r="F21" s="117">
        <v>59</v>
      </c>
      <c r="G21" s="120">
        <v>0</v>
      </c>
      <c r="H21" s="117">
        <v>0</v>
      </c>
      <c r="I21" s="120">
        <v>0</v>
      </c>
      <c r="J21" s="117">
        <v>0</v>
      </c>
      <c r="K21" s="120">
        <v>0</v>
      </c>
      <c r="L21" s="117">
        <v>0</v>
      </c>
      <c r="M21" s="120">
        <v>0</v>
      </c>
      <c r="N21" s="117">
        <v>0</v>
      </c>
      <c r="O21" s="120">
        <v>0</v>
      </c>
      <c r="P21" s="117">
        <v>0</v>
      </c>
      <c r="Q21" s="120">
        <v>0</v>
      </c>
      <c r="R21" s="117">
        <v>0</v>
      </c>
      <c r="S21" s="120">
        <v>0</v>
      </c>
      <c r="T21" s="117">
        <v>0</v>
      </c>
      <c r="U21" s="119">
        <v>0</v>
      </c>
      <c r="V21" t="e">
        <f>VLOOKUP(A21,Projetos_Ciclo!$H$3:$H$124,1,FALSE)</f>
        <v>#N/A</v>
      </c>
    </row>
    <row r="22" spans="1:22" x14ac:dyDescent="0.25">
      <c r="A22" s="111" t="s">
        <v>1133</v>
      </c>
      <c r="B22" s="112" t="s">
        <v>1148</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c r="V22" t="e">
        <f>VLOOKUP(A22,Projetos_Ciclo!$H$3:$H$124,1,FALSE)</f>
        <v>#N/A</v>
      </c>
    </row>
    <row r="23" spans="1:22" x14ac:dyDescent="0.25">
      <c r="A23" s="14" t="s">
        <v>1135</v>
      </c>
      <c r="B23" s="116" t="s">
        <v>1136</v>
      </c>
      <c r="C23" s="116" t="s">
        <v>57</v>
      </c>
      <c r="D23" s="117">
        <v>0</v>
      </c>
      <c r="E23" s="120">
        <v>0</v>
      </c>
      <c r="F23" s="117">
        <v>0</v>
      </c>
      <c r="G23" s="120">
        <v>0</v>
      </c>
      <c r="H23" s="117">
        <v>0</v>
      </c>
      <c r="I23" s="120">
        <v>0</v>
      </c>
      <c r="J23" s="117">
        <v>0</v>
      </c>
      <c r="K23" s="120">
        <v>0</v>
      </c>
      <c r="L23" s="117">
        <v>0</v>
      </c>
      <c r="M23" s="120">
        <v>0</v>
      </c>
      <c r="N23" s="117">
        <v>0</v>
      </c>
      <c r="O23" s="120">
        <v>0</v>
      </c>
      <c r="P23" s="117">
        <v>0</v>
      </c>
      <c r="Q23" s="120">
        <v>0</v>
      </c>
      <c r="R23" s="117">
        <v>0</v>
      </c>
      <c r="S23" s="120">
        <v>0</v>
      </c>
      <c r="T23" s="117">
        <v>0</v>
      </c>
      <c r="U23" s="119">
        <v>0</v>
      </c>
      <c r="V23" t="e">
        <f>VLOOKUP(A23,Projetos_Ciclo!$H$3:$H$124,1,FALSE)</f>
        <v>#N/A</v>
      </c>
    </row>
    <row r="24" spans="1:22" x14ac:dyDescent="0.25">
      <c r="A24" s="111" t="s">
        <v>520</v>
      </c>
      <c r="B24" s="112" t="s">
        <v>1137</v>
      </c>
      <c r="C24" s="112" t="s">
        <v>57</v>
      </c>
      <c r="D24" s="113">
        <v>4046</v>
      </c>
      <c r="E24" s="114">
        <v>0</v>
      </c>
      <c r="F24" s="113">
        <v>0</v>
      </c>
      <c r="G24" s="114">
        <v>0</v>
      </c>
      <c r="H24" s="113">
        <v>0</v>
      </c>
      <c r="I24" s="114">
        <v>0</v>
      </c>
      <c r="J24" s="113">
        <v>0</v>
      </c>
      <c r="K24" s="114">
        <v>0</v>
      </c>
      <c r="L24" s="113">
        <v>0</v>
      </c>
      <c r="M24" s="114">
        <v>0</v>
      </c>
      <c r="N24" s="113">
        <v>950</v>
      </c>
      <c r="O24" s="114">
        <v>1210</v>
      </c>
      <c r="P24" s="113">
        <v>1123</v>
      </c>
      <c r="Q24" s="114">
        <v>763</v>
      </c>
      <c r="R24" s="113">
        <v>0</v>
      </c>
      <c r="S24" s="114">
        <v>0</v>
      </c>
      <c r="T24" s="113">
        <v>0</v>
      </c>
      <c r="U24" s="115">
        <v>0</v>
      </c>
      <c r="V24" t="str">
        <f>VLOOKUP(A24,Projetos_Ciclo!$H$3:$H$124,1,FALSE)</f>
        <v>NA</v>
      </c>
    </row>
    <row r="25" spans="1:22" x14ac:dyDescent="0.25">
      <c r="A25" s="14" t="s">
        <v>1138</v>
      </c>
      <c r="B25" s="116" t="s">
        <v>1139</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c r="V25" t="e">
        <f>VLOOKUP(A25,Projetos_Ciclo!$H$3:$H$124,1,FALSE)</f>
        <v>#N/A</v>
      </c>
    </row>
    <row r="26" spans="1:22" x14ac:dyDescent="0.25">
      <c r="A26" s="111" t="s">
        <v>1058</v>
      </c>
      <c r="B26" s="112" t="s">
        <v>1149</v>
      </c>
      <c r="C26" s="112" t="s">
        <v>1150</v>
      </c>
      <c r="D26" s="113">
        <v>0</v>
      </c>
      <c r="E26" s="114">
        <v>0</v>
      </c>
      <c r="F26" s="113">
        <v>0</v>
      </c>
      <c r="G26" s="114">
        <v>119</v>
      </c>
      <c r="H26" s="113">
        <v>0</v>
      </c>
      <c r="I26" s="114">
        <v>119.11103057861328</v>
      </c>
      <c r="J26" s="113">
        <v>0</v>
      </c>
      <c r="K26" s="114">
        <v>119.11103057861328</v>
      </c>
      <c r="L26" s="113">
        <v>0</v>
      </c>
      <c r="M26" s="114">
        <v>119.11103057861328</v>
      </c>
      <c r="N26" s="113">
        <v>0</v>
      </c>
      <c r="O26" s="114">
        <v>0</v>
      </c>
      <c r="P26" s="113">
        <v>0</v>
      </c>
      <c r="Q26" s="114">
        <v>0</v>
      </c>
      <c r="R26" s="113">
        <v>0</v>
      </c>
      <c r="S26" s="114">
        <v>0</v>
      </c>
      <c r="T26" s="113">
        <v>0</v>
      </c>
      <c r="U26" s="115">
        <v>0</v>
      </c>
      <c r="V26" t="e">
        <f>VLOOKUP(A26,Projetos_Ciclo!$H$3:$H$124,1,FALSE)</f>
        <v>#N/A</v>
      </c>
    </row>
    <row r="27" spans="1:22" x14ac:dyDescent="0.25">
      <c r="A27" s="14" t="s">
        <v>744</v>
      </c>
      <c r="B27" s="116" t="s">
        <v>378</v>
      </c>
      <c r="C27" s="116" t="s">
        <v>1151</v>
      </c>
      <c r="D27" s="117">
        <v>0</v>
      </c>
      <c r="E27" s="120">
        <v>0</v>
      </c>
      <c r="F27" s="117">
        <v>0</v>
      </c>
      <c r="G27" s="120">
        <v>490</v>
      </c>
      <c r="H27" s="117">
        <v>0</v>
      </c>
      <c r="I27" s="120">
        <v>63.374898910522461</v>
      </c>
      <c r="J27" s="117">
        <v>0</v>
      </c>
      <c r="K27" s="120">
        <v>63.374898910522461</v>
      </c>
      <c r="L27" s="117">
        <v>420.39836120605469</v>
      </c>
      <c r="M27" s="120">
        <v>483.77326011657715</v>
      </c>
      <c r="N27" s="117">
        <v>0</v>
      </c>
      <c r="O27" s="120">
        <v>0</v>
      </c>
      <c r="P27" s="117">
        <v>0</v>
      </c>
      <c r="Q27" s="120">
        <v>0</v>
      </c>
      <c r="R27" s="117">
        <v>0</v>
      </c>
      <c r="S27" s="120">
        <v>0</v>
      </c>
      <c r="T27" s="117">
        <v>0</v>
      </c>
      <c r="U27" s="119">
        <v>0</v>
      </c>
      <c r="V27" t="e">
        <f>VLOOKUP(A27,Projetos_Ciclo!$H$3:$H$124,1,FALSE)</f>
        <v>#N/A</v>
      </c>
    </row>
    <row r="28" spans="1:22" x14ac:dyDescent="0.25">
      <c r="A28" s="111" t="s">
        <v>1152</v>
      </c>
      <c r="B28" s="112" t="s">
        <v>1149</v>
      </c>
      <c r="C28" s="112" t="s">
        <v>1153</v>
      </c>
      <c r="D28" s="113">
        <v>0</v>
      </c>
      <c r="E28" s="114">
        <v>0</v>
      </c>
      <c r="F28" s="113">
        <v>0</v>
      </c>
      <c r="G28" s="114">
        <v>115</v>
      </c>
      <c r="H28" s="113">
        <v>0</v>
      </c>
      <c r="I28" s="114">
        <v>0</v>
      </c>
      <c r="J28" s="113">
        <v>0</v>
      </c>
      <c r="K28" s="114">
        <v>0</v>
      </c>
      <c r="L28" s="113">
        <v>115.19999694824219</v>
      </c>
      <c r="M28" s="114">
        <v>115.19999694824219</v>
      </c>
      <c r="N28" s="113">
        <v>0</v>
      </c>
      <c r="O28" s="114">
        <v>0</v>
      </c>
      <c r="P28" s="113">
        <v>0</v>
      </c>
      <c r="Q28" s="114">
        <v>0</v>
      </c>
      <c r="R28" s="113">
        <v>0</v>
      </c>
      <c r="S28" s="114">
        <v>0</v>
      </c>
      <c r="T28" s="113">
        <v>0</v>
      </c>
      <c r="U28" s="115">
        <v>0</v>
      </c>
      <c r="V28" t="e">
        <f>VLOOKUP(A28,Projetos_Ciclo!$H$3:$H$124,1,FALSE)</f>
        <v>#N/A</v>
      </c>
    </row>
    <row r="29" spans="1:22" x14ac:dyDescent="0.25">
      <c r="A29" s="14" t="s">
        <v>1154</v>
      </c>
      <c r="B29" s="116" t="s">
        <v>1155</v>
      </c>
      <c r="C29" s="116" t="s">
        <v>1156</v>
      </c>
      <c r="D29" s="117">
        <v>2074</v>
      </c>
      <c r="E29" s="120">
        <v>0</v>
      </c>
      <c r="F29" s="117">
        <v>1886</v>
      </c>
      <c r="G29" s="120">
        <v>0</v>
      </c>
      <c r="H29" s="117">
        <v>219</v>
      </c>
      <c r="I29" s="120">
        <v>0</v>
      </c>
      <c r="J29" s="117">
        <v>0</v>
      </c>
      <c r="K29" s="120">
        <v>0</v>
      </c>
      <c r="L29" s="117">
        <v>0</v>
      </c>
      <c r="M29" s="120">
        <v>0</v>
      </c>
      <c r="N29" s="117">
        <v>188</v>
      </c>
      <c r="O29" s="120">
        <v>0</v>
      </c>
      <c r="P29" s="117">
        <v>0</v>
      </c>
      <c r="Q29" s="120">
        <v>0</v>
      </c>
      <c r="R29" s="117">
        <v>0</v>
      </c>
      <c r="S29" s="120">
        <v>0</v>
      </c>
      <c r="T29" s="117">
        <v>0</v>
      </c>
      <c r="U29" s="119">
        <v>0</v>
      </c>
      <c r="V29" t="e">
        <f>VLOOKUP(A29,Projetos_Ciclo!$H$3:$H$124,1,FALSE)</f>
        <v>#N/A</v>
      </c>
    </row>
    <row r="30" spans="1:22" x14ac:dyDescent="0.25">
      <c r="A30" s="111" t="s">
        <v>1410</v>
      </c>
      <c r="B30" s="112" t="s">
        <v>1411</v>
      </c>
      <c r="C30" s="112" t="s">
        <v>1412</v>
      </c>
      <c r="D30" s="113">
        <v>0</v>
      </c>
      <c r="E30" s="114">
        <v>0</v>
      </c>
      <c r="F30" s="113">
        <v>0</v>
      </c>
      <c r="G30" s="114">
        <v>27</v>
      </c>
      <c r="H30" s="113">
        <v>0</v>
      </c>
      <c r="I30" s="114">
        <v>0</v>
      </c>
      <c r="J30" s="113">
        <v>0</v>
      </c>
      <c r="K30" s="114">
        <v>0</v>
      </c>
      <c r="L30" s="113">
        <v>27.339330673217773</v>
      </c>
      <c r="M30" s="114">
        <v>27.339330673217773</v>
      </c>
      <c r="N30" s="113">
        <v>0</v>
      </c>
      <c r="O30" s="114">
        <v>0</v>
      </c>
      <c r="P30" s="113">
        <v>0</v>
      </c>
      <c r="Q30" s="114">
        <v>0</v>
      </c>
      <c r="R30" s="113">
        <v>0</v>
      </c>
      <c r="S30" s="114">
        <v>0</v>
      </c>
      <c r="T30" s="113">
        <v>0</v>
      </c>
      <c r="U30" s="115">
        <v>0</v>
      </c>
      <c r="V30" t="e">
        <f>VLOOKUP(A30,Projetos_Ciclo!$H$3:$H$124,1,FALSE)</f>
        <v>#N/A</v>
      </c>
    </row>
    <row r="31" spans="1:22" x14ac:dyDescent="0.25">
      <c r="A31" s="14" t="s">
        <v>1413</v>
      </c>
      <c r="B31" s="116" t="s">
        <v>1414</v>
      </c>
      <c r="C31" s="116" t="s">
        <v>1415</v>
      </c>
      <c r="D31" s="117">
        <v>0</v>
      </c>
      <c r="E31" s="120">
        <v>0</v>
      </c>
      <c r="F31" s="117">
        <v>0</v>
      </c>
      <c r="G31" s="120">
        <v>32</v>
      </c>
      <c r="H31" s="117">
        <v>0</v>
      </c>
      <c r="I31" s="120">
        <v>0</v>
      </c>
      <c r="J31" s="117">
        <v>0</v>
      </c>
      <c r="K31" s="120">
        <v>0</v>
      </c>
      <c r="L31" s="117">
        <v>32.383308410644531</v>
      </c>
      <c r="M31" s="120">
        <v>32.383308410644531</v>
      </c>
      <c r="N31" s="117">
        <v>0</v>
      </c>
      <c r="O31" s="120">
        <v>0</v>
      </c>
      <c r="P31" s="117">
        <v>0</v>
      </c>
      <c r="Q31" s="120">
        <v>0</v>
      </c>
      <c r="R31" s="117">
        <v>0</v>
      </c>
      <c r="S31" s="120">
        <v>0</v>
      </c>
      <c r="T31" s="117">
        <v>0</v>
      </c>
      <c r="U31" s="119">
        <v>0</v>
      </c>
      <c r="V31" t="e">
        <f>VLOOKUP(A31,Projetos_Ciclo!$H$3:$H$124,1,FALSE)</f>
        <v>#N/A</v>
      </c>
    </row>
    <row r="32" spans="1:22" x14ac:dyDescent="0.25">
      <c r="A32" s="111" t="s">
        <v>1565</v>
      </c>
      <c r="B32" s="112" t="s">
        <v>972</v>
      </c>
      <c r="C32" s="112" t="s">
        <v>1566</v>
      </c>
      <c r="D32" s="113">
        <v>0</v>
      </c>
      <c r="E32" s="114">
        <v>0</v>
      </c>
      <c r="F32" s="113">
        <v>0</v>
      </c>
      <c r="G32" s="114">
        <v>318</v>
      </c>
      <c r="H32" s="113">
        <v>0</v>
      </c>
      <c r="I32" s="114">
        <v>0</v>
      </c>
      <c r="J32" s="113">
        <v>0</v>
      </c>
      <c r="K32" s="114">
        <v>0</v>
      </c>
      <c r="L32" s="113">
        <v>0</v>
      </c>
      <c r="M32" s="114">
        <v>0</v>
      </c>
      <c r="N32" s="113">
        <v>0</v>
      </c>
      <c r="O32" s="114">
        <v>0</v>
      </c>
      <c r="P32" s="113">
        <v>0</v>
      </c>
      <c r="Q32" s="114">
        <v>0</v>
      </c>
      <c r="R32" s="113">
        <v>0</v>
      </c>
      <c r="S32" s="114">
        <v>0</v>
      </c>
      <c r="T32" s="113">
        <v>0</v>
      </c>
      <c r="U32" s="115">
        <v>0</v>
      </c>
      <c r="V32" t="e">
        <f>VLOOKUP(A32,Projetos_Ciclo!$H$3:$H$124,1,FALSE)</f>
        <v>#N/A</v>
      </c>
    </row>
    <row r="33" spans="1:22" x14ac:dyDescent="0.25">
      <c r="A33" s="14" t="s">
        <v>1133</v>
      </c>
      <c r="B33" s="116" t="s">
        <v>1157</v>
      </c>
      <c r="C33" s="116" t="s">
        <v>57</v>
      </c>
      <c r="D33" s="117">
        <v>0</v>
      </c>
      <c r="E33" s="120">
        <v>0</v>
      </c>
      <c r="F33" s="117">
        <v>0</v>
      </c>
      <c r="G33" s="120">
        <v>0</v>
      </c>
      <c r="H33" s="117">
        <v>0</v>
      </c>
      <c r="I33" s="120">
        <v>0</v>
      </c>
      <c r="J33" s="117">
        <v>0</v>
      </c>
      <c r="K33" s="120">
        <v>0</v>
      </c>
      <c r="L33" s="117">
        <v>0</v>
      </c>
      <c r="M33" s="120">
        <v>0</v>
      </c>
      <c r="N33" s="117">
        <v>0</v>
      </c>
      <c r="O33" s="120">
        <v>0</v>
      </c>
      <c r="P33" s="117">
        <v>0</v>
      </c>
      <c r="Q33" s="120">
        <v>0</v>
      </c>
      <c r="R33" s="117">
        <v>0</v>
      </c>
      <c r="S33" s="120">
        <v>0</v>
      </c>
      <c r="T33" s="117">
        <v>0</v>
      </c>
      <c r="U33" s="119">
        <v>0</v>
      </c>
      <c r="V33" t="e">
        <f>VLOOKUP(A33,Projetos_Ciclo!$H$3:$H$124,1,FALSE)</f>
        <v>#N/A</v>
      </c>
    </row>
    <row r="34" spans="1:22" x14ac:dyDescent="0.25">
      <c r="A34" s="111" t="s">
        <v>1135</v>
      </c>
      <c r="B34" s="112" t="s">
        <v>1136</v>
      </c>
      <c r="C34" s="112" t="s">
        <v>57</v>
      </c>
      <c r="D34" s="113">
        <v>0</v>
      </c>
      <c r="E34" s="114">
        <v>0</v>
      </c>
      <c r="F34" s="113">
        <v>0</v>
      </c>
      <c r="G34" s="114">
        <v>0</v>
      </c>
      <c r="H34" s="113">
        <v>0</v>
      </c>
      <c r="I34" s="114">
        <v>0</v>
      </c>
      <c r="J34" s="113">
        <v>0</v>
      </c>
      <c r="K34" s="114">
        <v>0</v>
      </c>
      <c r="L34" s="113">
        <v>0</v>
      </c>
      <c r="M34" s="114">
        <v>0</v>
      </c>
      <c r="N34" s="113">
        <v>0</v>
      </c>
      <c r="O34" s="114">
        <v>0</v>
      </c>
      <c r="P34" s="113">
        <v>0</v>
      </c>
      <c r="Q34" s="114">
        <v>0</v>
      </c>
      <c r="R34" s="113">
        <v>0</v>
      </c>
      <c r="S34" s="114">
        <v>0</v>
      </c>
      <c r="T34" s="113">
        <v>0</v>
      </c>
      <c r="U34" s="115">
        <v>0</v>
      </c>
      <c r="V34" t="e">
        <f>VLOOKUP(A34,Projetos_Ciclo!$H$3:$H$124,1,FALSE)</f>
        <v>#N/A</v>
      </c>
    </row>
    <row r="35" spans="1:22" x14ac:dyDescent="0.25">
      <c r="A35" s="14" t="s">
        <v>1386</v>
      </c>
      <c r="B35" s="116" t="s">
        <v>1387</v>
      </c>
      <c r="C35" s="116" t="s">
        <v>1388</v>
      </c>
      <c r="D35" s="117">
        <v>103</v>
      </c>
      <c r="E35" s="120">
        <v>0</v>
      </c>
      <c r="F35" s="117">
        <v>103</v>
      </c>
      <c r="G35" s="120">
        <v>0</v>
      </c>
      <c r="H35" s="117">
        <v>0</v>
      </c>
      <c r="I35" s="120">
        <v>0</v>
      </c>
      <c r="J35" s="117">
        <v>0</v>
      </c>
      <c r="K35" s="120">
        <v>0</v>
      </c>
      <c r="L35" s="117">
        <v>0</v>
      </c>
      <c r="M35" s="120">
        <v>0</v>
      </c>
      <c r="N35" s="117">
        <v>0</v>
      </c>
      <c r="O35" s="120">
        <v>0</v>
      </c>
      <c r="P35" s="117">
        <v>0</v>
      </c>
      <c r="Q35" s="120">
        <v>0</v>
      </c>
      <c r="R35" s="117">
        <v>0</v>
      </c>
      <c r="S35" s="120">
        <v>0</v>
      </c>
      <c r="T35" s="117">
        <v>0</v>
      </c>
      <c r="U35" s="119">
        <v>0</v>
      </c>
      <c r="V35" t="e">
        <f>VLOOKUP(A35,Projetos_Ciclo!$H$3:$H$124,1,FALSE)</f>
        <v>#N/A</v>
      </c>
    </row>
    <row r="36" spans="1:22" x14ac:dyDescent="0.25">
      <c r="A36" s="111" t="s">
        <v>520</v>
      </c>
      <c r="B36" s="112" t="s">
        <v>1137</v>
      </c>
      <c r="C36" s="112" t="s">
        <v>57</v>
      </c>
      <c r="D36" s="113">
        <v>0</v>
      </c>
      <c r="E36" s="114">
        <v>0</v>
      </c>
      <c r="F36" s="113">
        <v>0</v>
      </c>
      <c r="G36" s="114">
        <v>0</v>
      </c>
      <c r="H36" s="113">
        <v>0</v>
      </c>
      <c r="I36" s="114">
        <v>0</v>
      </c>
      <c r="J36" s="113">
        <v>0</v>
      </c>
      <c r="K36" s="114">
        <v>0</v>
      </c>
      <c r="L36" s="113">
        <v>0</v>
      </c>
      <c r="M36" s="114">
        <v>0</v>
      </c>
      <c r="N36" s="113">
        <v>0</v>
      </c>
      <c r="O36" s="114">
        <v>0</v>
      </c>
      <c r="P36" s="113">
        <v>0</v>
      </c>
      <c r="Q36" s="114">
        <v>0</v>
      </c>
      <c r="R36" s="113">
        <v>0</v>
      </c>
      <c r="S36" s="114">
        <v>0</v>
      </c>
      <c r="T36" s="113">
        <v>0</v>
      </c>
      <c r="U36" s="115">
        <v>0</v>
      </c>
      <c r="V36" t="str">
        <f>VLOOKUP(A36,Projetos_Ciclo!$H$3:$H$124,1,FALSE)</f>
        <v>NA</v>
      </c>
    </row>
    <row r="37" spans="1:22" x14ac:dyDescent="0.25">
      <c r="A37" s="14" t="s">
        <v>1138</v>
      </c>
      <c r="B37" s="116" t="s">
        <v>1139</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c r="V37" t="e">
        <f>VLOOKUP(A37,Projetos_Ciclo!$H$3:$H$124,1,FALSE)</f>
        <v>#N/A</v>
      </c>
    </row>
    <row r="38" spans="1:22" x14ac:dyDescent="0.25">
      <c r="A38" s="111" t="s">
        <v>1133</v>
      </c>
      <c r="B38" s="112" t="s">
        <v>1158</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c r="V38" t="e">
        <f>VLOOKUP(A38,Projetos_Ciclo!$H$3:$H$124,1,FALSE)</f>
        <v>#N/A</v>
      </c>
    </row>
    <row r="39" spans="1:22" x14ac:dyDescent="0.25">
      <c r="A39" s="14" t="s">
        <v>1135</v>
      </c>
      <c r="B39" s="116" t="s">
        <v>1136</v>
      </c>
      <c r="C39" s="116" t="s">
        <v>57</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c r="V39" t="e">
        <f>VLOOKUP(A39,Projetos_Ciclo!$H$3:$H$124,1,FALSE)</f>
        <v>#N/A</v>
      </c>
    </row>
    <row r="40" spans="1:22" x14ac:dyDescent="0.25">
      <c r="A40" s="111" t="s">
        <v>1389</v>
      </c>
      <c r="B40" s="112" t="s">
        <v>1390</v>
      </c>
      <c r="C40" s="112" t="s">
        <v>1391</v>
      </c>
      <c r="D40" s="113">
        <v>518</v>
      </c>
      <c r="E40" s="114">
        <v>0</v>
      </c>
      <c r="F40" s="113">
        <v>518</v>
      </c>
      <c r="G40" s="114">
        <v>0</v>
      </c>
      <c r="H40" s="113">
        <v>10</v>
      </c>
      <c r="I40" s="114">
        <v>0</v>
      </c>
      <c r="J40" s="113">
        <v>0</v>
      </c>
      <c r="K40" s="114">
        <v>0</v>
      </c>
      <c r="L40" s="113">
        <v>0</v>
      </c>
      <c r="M40" s="114">
        <v>0</v>
      </c>
      <c r="N40" s="113">
        <v>0</v>
      </c>
      <c r="O40" s="114">
        <v>0</v>
      </c>
      <c r="P40" s="113">
        <v>0</v>
      </c>
      <c r="Q40" s="114">
        <v>0</v>
      </c>
      <c r="R40" s="113">
        <v>0</v>
      </c>
      <c r="S40" s="114">
        <v>0</v>
      </c>
      <c r="T40" s="113">
        <v>0</v>
      </c>
      <c r="U40" s="115">
        <v>0</v>
      </c>
      <c r="V40" t="e">
        <f>VLOOKUP(A40,Projetos_Ciclo!$H$3:$H$124,1,FALSE)</f>
        <v>#N/A</v>
      </c>
    </row>
    <row r="41" spans="1:22" x14ac:dyDescent="0.25">
      <c r="A41" s="14" t="s">
        <v>1162</v>
      </c>
      <c r="B41" s="116" t="s">
        <v>1163</v>
      </c>
      <c r="C41" s="116" t="s">
        <v>1164</v>
      </c>
      <c r="D41" s="117">
        <v>0</v>
      </c>
      <c r="E41" s="120">
        <v>0</v>
      </c>
      <c r="F41" s="117">
        <v>0</v>
      </c>
      <c r="G41" s="120">
        <v>171</v>
      </c>
      <c r="H41" s="117">
        <v>0</v>
      </c>
      <c r="I41" s="120">
        <v>0</v>
      </c>
      <c r="J41" s="117">
        <v>0</v>
      </c>
      <c r="K41" s="120">
        <v>0</v>
      </c>
      <c r="L41" s="117">
        <v>77.290000200271606</v>
      </c>
      <c r="M41" s="120">
        <v>77.290000200271606</v>
      </c>
      <c r="N41" s="117">
        <v>0</v>
      </c>
      <c r="O41" s="120">
        <v>0</v>
      </c>
      <c r="P41" s="117">
        <v>0</v>
      </c>
      <c r="Q41" s="120">
        <v>0</v>
      </c>
      <c r="R41" s="117">
        <v>0</v>
      </c>
      <c r="S41" s="120">
        <v>0</v>
      </c>
      <c r="T41" s="117">
        <v>0</v>
      </c>
      <c r="U41" s="119">
        <v>0</v>
      </c>
      <c r="V41" t="str">
        <f>VLOOKUP(A41,Projetos_Ciclo!$H$3:$H$124,1,FALSE)</f>
        <v>MG00318</v>
      </c>
    </row>
    <row r="42" spans="1:22" x14ac:dyDescent="0.25">
      <c r="A42" s="111" t="s">
        <v>520</v>
      </c>
      <c r="B42" s="112" t="s">
        <v>1168</v>
      </c>
      <c r="C42" s="112" t="s">
        <v>57</v>
      </c>
      <c r="D42" s="113">
        <v>1783</v>
      </c>
      <c r="E42" s="114">
        <v>0</v>
      </c>
      <c r="F42" s="113">
        <v>0</v>
      </c>
      <c r="G42" s="114">
        <v>0</v>
      </c>
      <c r="H42" s="113">
        <v>0</v>
      </c>
      <c r="I42" s="114">
        <v>0</v>
      </c>
      <c r="J42" s="113">
        <v>0</v>
      </c>
      <c r="K42" s="114">
        <v>0</v>
      </c>
      <c r="L42" s="113">
        <v>0</v>
      </c>
      <c r="M42" s="114">
        <v>0</v>
      </c>
      <c r="N42" s="113">
        <v>486</v>
      </c>
      <c r="O42" s="114">
        <v>602</v>
      </c>
      <c r="P42" s="113">
        <v>498</v>
      </c>
      <c r="Q42" s="114">
        <v>197</v>
      </c>
      <c r="R42" s="113">
        <v>0</v>
      </c>
      <c r="S42" s="114">
        <v>0</v>
      </c>
      <c r="T42" s="113">
        <v>0</v>
      </c>
      <c r="U42" s="115">
        <v>0</v>
      </c>
      <c r="V42" t="str">
        <f>VLOOKUP(A42,Projetos_Ciclo!$H$3:$H$124,1,FALSE)</f>
        <v>NA</v>
      </c>
    </row>
    <row r="43" spans="1:22" x14ac:dyDescent="0.25">
      <c r="A43" s="14" t="s">
        <v>1169</v>
      </c>
      <c r="B43" s="116" t="s">
        <v>1170</v>
      </c>
      <c r="C43" s="116" t="s">
        <v>1171</v>
      </c>
      <c r="D43" s="117">
        <v>0</v>
      </c>
      <c r="E43" s="120">
        <v>0</v>
      </c>
      <c r="F43" s="117">
        <v>0</v>
      </c>
      <c r="G43" s="120">
        <v>74</v>
      </c>
      <c r="H43" s="117">
        <v>0</v>
      </c>
      <c r="I43" s="120">
        <v>0</v>
      </c>
      <c r="J43" s="117">
        <v>0</v>
      </c>
      <c r="K43" s="120">
        <v>0</v>
      </c>
      <c r="L43" s="117">
        <v>30.149999618530273</v>
      </c>
      <c r="M43" s="120">
        <v>30.149999618530273</v>
      </c>
      <c r="N43" s="117">
        <v>0</v>
      </c>
      <c r="O43" s="120">
        <v>0</v>
      </c>
      <c r="P43" s="117">
        <v>0</v>
      </c>
      <c r="Q43" s="120">
        <v>0</v>
      </c>
      <c r="R43" s="117">
        <v>0</v>
      </c>
      <c r="S43" s="120">
        <v>0</v>
      </c>
      <c r="T43" s="117">
        <v>0</v>
      </c>
      <c r="U43" s="119">
        <v>0</v>
      </c>
      <c r="V43" t="str">
        <f>VLOOKUP(A43,Projetos_Ciclo!$H$3:$H$124,1,FALSE)</f>
        <v>PO00117</v>
      </c>
    </row>
    <row r="44" spans="1:22" x14ac:dyDescent="0.25">
      <c r="A44" s="111" t="s">
        <v>1172</v>
      </c>
      <c r="B44" s="112" t="s">
        <v>1173</v>
      </c>
      <c r="C44" s="112" t="s">
        <v>1174</v>
      </c>
      <c r="D44" s="113">
        <v>0</v>
      </c>
      <c r="E44" s="114">
        <v>0</v>
      </c>
      <c r="F44" s="113">
        <v>0</v>
      </c>
      <c r="G44" s="114">
        <v>270</v>
      </c>
      <c r="H44" s="113">
        <v>0</v>
      </c>
      <c r="I44" s="114">
        <v>9.8500003814697266</v>
      </c>
      <c r="J44" s="113">
        <v>0</v>
      </c>
      <c r="K44" s="114">
        <v>9.8500003814697266</v>
      </c>
      <c r="L44" s="113">
        <v>158.32196044921875</v>
      </c>
      <c r="M44" s="114">
        <v>168.17196083068848</v>
      </c>
      <c r="N44" s="113">
        <v>0</v>
      </c>
      <c r="O44" s="114">
        <v>0</v>
      </c>
      <c r="P44" s="113">
        <v>0</v>
      </c>
      <c r="Q44" s="114">
        <v>0</v>
      </c>
      <c r="R44" s="113">
        <v>0</v>
      </c>
      <c r="S44" s="114">
        <v>0</v>
      </c>
      <c r="T44" s="113">
        <v>0</v>
      </c>
      <c r="U44" s="115">
        <v>0</v>
      </c>
      <c r="V44" t="str">
        <f>VLOOKUP(A44,Projetos_Ciclo!$H$3:$H$124,1,FALSE)</f>
        <v>PO00118</v>
      </c>
    </row>
    <row r="45" spans="1:22" x14ac:dyDescent="0.25">
      <c r="A45" s="14" t="s">
        <v>1138</v>
      </c>
      <c r="B45" s="116" t="s">
        <v>1139</v>
      </c>
      <c r="C45" s="116" t="s">
        <v>57</v>
      </c>
      <c r="D45" s="117">
        <v>0</v>
      </c>
      <c r="E45" s="120">
        <v>0</v>
      </c>
      <c r="F45" s="117">
        <v>0</v>
      </c>
      <c r="G45" s="120">
        <v>0</v>
      </c>
      <c r="H45" s="117">
        <v>0</v>
      </c>
      <c r="I45" s="120">
        <v>0</v>
      </c>
      <c r="J45" s="117">
        <v>0</v>
      </c>
      <c r="K45" s="120">
        <v>0</v>
      </c>
      <c r="L45" s="117">
        <v>0</v>
      </c>
      <c r="M45" s="120">
        <v>0</v>
      </c>
      <c r="N45" s="117">
        <v>0</v>
      </c>
      <c r="O45" s="120">
        <v>0</v>
      </c>
      <c r="P45" s="117">
        <v>0</v>
      </c>
      <c r="Q45" s="120">
        <v>0</v>
      </c>
      <c r="R45" s="117">
        <v>0</v>
      </c>
      <c r="S45" s="120">
        <v>0</v>
      </c>
      <c r="T45" s="117">
        <v>0</v>
      </c>
      <c r="U45" s="119">
        <v>0</v>
      </c>
      <c r="V45" t="e">
        <f>VLOOKUP(A45,Projetos_Ciclo!$H$3:$H$124,1,FALSE)</f>
        <v>#N/A</v>
      </c>
    </row>
    <row r="46" spans="1:22" x14ac:dyDescent="0.25">
      <c r="A46" s="111" t="s">
        <v>1133</v>
      </c>
      <c r="B46" s="112" t="s">
        <v>1134</v>
      </c>
      <c r="C46" s="112" t="s">
        <v>57</v>
      </c>
      <c r="D46" s="113">
        <v>0</v>
      </c>
      <c r="E46" s="114">
        <v>0</v>
      </c>
      <c r="F46" s="113">
        <v>0</v>
      </c>
      <c r="G46" s="114">
        <v>0</v>
      </c>
      <c r="H46" s="113">
        <v>0</v>
      </c>
      <c r="I46" s="114">
        <v>0</v>
      </c>
      <c r="J46" s="113">
        <v>0</v>
      </c>
      <c r="K46" s="114">
        <v>0</v>
      </c>
      <c r="L46" s="113">
        <v>0</v>
      </c>
      <c r="M46" s="114">
        <v>0</v>
      </c>
      <c r="N46" s="113">
        <v>0</v>
      </c>
      <c r="O46" s="114">
        <v>0</v>
      </c>
      <c r="P46" s="113">
        <v>0</v>
      </c>
      <c r="Q46" s="114">
        <v>0</v>
      </c>
      <c r="R46" s="113">
        <v>0</v>
      </c>
      <c r="S46" s="114">
        <v>0</v>
      </c>
      <c r="T46" s="113">
        <v>0</v>
      </c>
      <c r="U46" s="115">
        <v>0</v>
      </c>
      <c r="V46" t="e">
        <f>VLOOKUP(A46,Projetos_Ciclo!$H$3:$H$124,1,FALSE)</f>
        <v>#N/A</v>
      </c>
    </row>
    <row r="47" spans="1:22" x14ac:dyDescent="0.25">
      <c r="A47" s="14" t="s">
        <v>1135</v>
      </c>
      <c r="B47" s="116" t="s">
        <v>1136</v>
      </c>
      <c r="C47" s="116" t="s">
        <v>57</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c r="V47" t="e">
        <f>VLOOKUP(A47,Projetos_Ciclo!$H$3:$H$124,1,FALSE)</f>
        <v>#N/A</v>
      </c>
    </row>
    <row r="48" spans="1:22" x14ac:dyDescent="0.25">
      <c r="A48" s="111" t="s">
        <v>1392</v>
      </c>
      <c r="B48" s="112" t="s">
        <v>1393</v>
      </c>
      <c r="C48" s="112" t="s">
        <v>1394</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c r="V48" t="e">
        <f>VLOOKUP(A48,Projetos_Ciclo!$H$3:$H$124,1,FALSE)</f>
        <v>#N/A</v>
      </c>
    </row>
    <row r="49" spans="1:22" x14ac:dyDescent="0.25">
      <c r="A49" s="14" t="s">
        <v>520</v>
      </c>
      <c r="B49" s="116" t="s">
        <v>1137</v>
      </c>
      <c r="C49" s="116" t="s">
        <v>57</v>
      </c>
      <c r="D49" s="117">
        <v>1911</v>
      </c>
      <c r="E49" s="120">
        <v>0</v>
      </c>
      <c r="F49" s="117">
        <v>0</v>
      </c>
      <c r="G49" s="120">
        <v>0</v>
      </c>
      <c r="H49" s="117">
        <v>0</v>
      </c>
      <c r="I49" s="120">
        <v>0</v>
      </c>
      <c r="J49" s="117">
        <v>0</v>
      </c>
      <c r="K49" s="120">
        <v>0</v>
      </c>
      <c r="L49" s="117">
        <v>0</v>
      </c>
      <c r="M49" s="120">
        <v>0</v>
      </c>
      <c r="N49" s="117">
        <v>430</v>
      </c>
      <c r="O49" s="120">
        <v>204</v>
      </c>
      <c r="P49" s="117">
        <v>1251</v>
      </c>
      <c r="Q49" s="120">
        <v>26</v>
      </c>
      <c r="R49" s="117">
        <v>0</v>
      </c>
      <c r="S49" s="120">
        <v>0</v>
      </c>
      <c r="T49" s="117">
        <v>0</v>
      </c>
      <c r="U49" s="119">
        <v>0</v>
      </c>
      <c r="V49" t="str">
        <f>VLOOKUP(A49,Projetos_Ciclo!$H$3:$H$124,1,FALSE)</f>
        <v>NA</v>
      </c>
    </row>
    <row r="50" spans="1:22" x14ac:dyDescent="0.25">
      <c r="A50" s="111" t="s">
        <v>1138</v>
      </c>
      <c r="B50" s="112" t="s">
        <v>1139</v>
      </c>
      <c r="C50" s="112" t="s">
        <v>57</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c r="V50" t="e">
        <f>VLOOKUP(A50,Projetos_Ciclo!$H$3:$H$124,1,FALSE)</f>
        <v>#N/A</v>
      </c>
    </row>
    <row r="51" spans="1:22" x14ac:dyDescent="0.25">
      <c r="A51" s="14" t="s">
        <v>1175</v>
      </c>
      <c r="B51" s="116" t="s">
        <v>1176</v>
      </c>
      <c r="C51" s="116" t="s">
        <v>1177</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c r="V51" t="e">
        <f>VLOOKUP(A51,Projetos_Ciclo!$H$3:$H$124,1,FALSE)</f>
        <v>#N/A</v>
      </c>
    </row>
    <row r="52" spans="1:22" x14ac:dyDescent="0.25">
      <c r="A52" s="111" t="s">
        <v>1178</v>
      </c>
      <c r="B52" s="112" t="s">
        <v>1179</v>
      </c>
      <c r="C52" s="112" t="s">
        <v>1180</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c r="V52" t="e">
        <f>VLOOKUP(A52,Projetos_Ciclo!$H$3:$H$124,1,FALSE)</f>
        <v>#N/A</v>
      </c>
    </row>
    <row r="53" spans="1:22" x14ac:dyDescent="0.25">
      <c r="A53" s="14" t="s">
        <v>1133</v>
      </c>
      <c r="B53" s="116" t="s">
        <v>1140</v>
      </c>
      <c r="C53" s="116" t="s">
        <v>57</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c r="V53" t="e">
        <f>VLOOKUP(A53,Projetos_Ciclo!$H$3:$H$124,1,FALSE)</f>
        <v>#N/A</v>
      </c>
    </row>
    <row r="54" spans="1:22" x14ac:dyDescent="0.25">
      <c r="A54" s="111" t="s">
        <v>1135</v>
      </c>
      <c r="B54" s="112" t="s">
        <v>1136</v>
      </c>
      <c r="C54" s="112" t="s">
        <v>57</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c r="V54" t="e">
        <f>VLOOKUP(A54,Projetos_Ciclo!$H$3:$H$124,1,FALSE)</f>
        <v>#N/A</v>
      </c>
    </row>
    <row r="55" spans="1:22" x14ac:dyDescent="0.25">
      <c r="A55" s="14" t="s">
        <v>520</v>
      </c>
      <c r="B55" s="116" t="s">
        <v>1137</v>
      </c>
      <c r="C55" s="116" t="s">
        <v>57</v>
      </c>
      <c r="D55" s="117">
        <v>297</v>
      </c>
      <c r="E55" s="120">
        <v>0</v>
      </c>
      <c r="F55" s="117">
        <v>0</v>
      </c>
      <c r="G55" s="120">
        <v>0</v>
      </c>
      <c r="H55" s="117">
        <v>0</v>
      </c>
      <c r="I55" s="120">
        <v>0</v>
      </c>
      <c r="J55" s="117">
        <v>0</v>
      </c>
      <c r="K55" s="120">
        <v>0</v>
      </c>
      <c r="L55" s="117">
        <v>0</v>
      </c>
      <c r="M55" s="120">
        <v>0</v>
      </c>
      <c r="N55" s="117">
        <v>46</v>
      </c>
      <c r="O55" s="120">
        <v>83</v>
      </c>
      <c r="P55" s="117">
        <v>90</v>
      </c>
      <c r="Q55" s="120">
        <v>78</v>
      </c>
      <c r="R55" s="117">
        <v>0</v>
      </c>
      <c r="S55" s="120">
        <v>0</v>
      </c>
      <c r="T55" s="117">
        <v>0</v>
      </c>
      <c r="U55" s="119">
        <v>0</v>
      </c>
      <c r="V55" t="str">
        <f>VLOOKUP(A55,Projetos_Ciclo!$H$3:$H$124,1,FALSE)</f>
        <v>NA</v>
      </c>
    </row>
    <row r="56" spans="1:22" x14ac:dyDescent="0.25">
      <c r="A56" s="111" t="s">
        <v>1138</v>
      </c>
      <c r="B56" s="112" t="s">
        <v>1139</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c r="V56" t="e">
        <f>VLOOKUP(A56,Projetos_Ciclo!$H$3:$H$124,1,FALSE)</f>
        <v>#N/A</v>
      </c>
    </row>
    <row r="57" spans="1:22" x14ac:dyDescent="0.25">
      <c r="A57" s="14" t="s">
        <v>1181</v>
      </c>
      <c r="B57" s="116" t="s">
        <v>1182</v>
      </c>
      <c r="C57" s="116" t="s">
        <v>1183</v>
      </c>
      <c r="D57" s="117">
        <v>142</v>
      </c>
      <c r="E57" s="120">
        <v>0</v>
      </c>
      <c r="F57" s="117">
        <v>142</v>
      </c>
      <c r="G57" s="120">
        <v>0</v>
      </c>
      <c r="H57" s="117">
        <v>0</v>
      </c>
      <c r="I57" s="120">
        <v>0</v>
      </c>
      <c r="J57" s="117">
        <v>0</v>
      </c>
      <c r="K57" s="120">
        <v>0</v>
      </c>
      <c r="L57" s="117">
        <v>0</v>
      </c>
      <c r="M57" s="120">
        <v>0</v>
      </c>
      <c r="N57" s="117">
        <v>0</v>
      </c>
      <c r="O57" s="120">
        <v>0</v>
      </c>
      <c r="P57" s="117">
        <v>0</v>
      </c>
      <c r="Q57" s="120">
        <v>0</v>
      </c>
      <c r="R57" s="117">
        <v>0</v>
      </c>
      <c r="S57" s="120">
        <v>0</v>
      </c>
      <c r="T57" s="117">
        <v>0</v>
      </c>
      <c r="U57" s="119">
        <v>0</v>
      </c>
      <c r="V57" t="e">
        <f>VLOOKUP(A57,Projetos_Ciclo!$H$3:$H$124,1,FALSE)</f>
        <v>#N/A</v>
      </c>
    </row>
    <row r="58" spans="1:22" x14ac:dyDescent="0.25">
      <c r="A58" s="111" t="s">
        <v>1133</v>
      </c>
      <c r="B58" s="112" t="s">
        <v>1184</v>
      </c>
      <c r="C58" s="112" t="s">
        <v>57</v>
      </c>
      <c r="D58" s="113">
        <v>0</v>
      </c>
      <c r="E58" s="114">
        <v>0</v>
      </c>
      <c r="F58" s="113">
        <v>0</v>
      </c>
      <c r="G58" s="114">
        <v>0</v>
      </c>
      <c r="H58" s="113">
        <v>0</v>
      </c>
      <c r="I58" s="114">
        <v>0</v>
      </c>
      <c r="J58" s="113">
        <v>0</v>
      </c>
      <c r="K58" s="114">
        <v>0</v>
      </c>
      <c r="L58" s="113">
        <v>0</v>
      </c>
      <c r="M58" s="114">
        <v>0</v>
      </c>
      <c r="N58" s="113">
        <v>0</v>
      </c>
      <c r="O58" s="114">
        <v>0</v>
      </c>
      <c r="P58" s="113">
        <v>0</v>
      </c>
      <c r="Q58" s="114">
        <v>0</v>
      </c>
      <c r="R58" s="113">
        <v>0</v>
      </c>
      <c r="S58" s="114">
        <v>0</v>
      </c>
      <c r="T58" s="113">
        <v>0</v>
      </c>
      <c r="U58" s="115">
        <v>0</v>
      </c>
      <c r="V58" t="e">
        <f>VLOOKUP(A58,Projetos_Ciclo!$H$3:$H$124,1,FALSE)</f>
        <v>#N/A</v>
      </c>
    </row>
    <row r="59" spans="1:22" x14ac:dyDescent="0.25">
      <c r="A59" s="14" t="s">
        <v>1135</v>
      </c>
      <c r="B59" s="116" t="s">
        <v>1136</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c r="V59" t="e">
        <f>VLOOKUP(A59,Projetos_Ciclo!$H$3:$H$124,1,FALSE)</f>
        <v>#N/A</v>
      </c>
    </row>
    <row r="60" spans="1:22" x14ac:dyDescent="0.25">
      <c r="A60" s="111" t="s">
        <v>520</v>
      </c>
      <c r="B60" s="112" t="s">
        <v>1137</v>
      </c>
      <c r="C60" s="112" t="s">
        <v>57</v>
      </c>
      <c r="D60" s="113">
        <v>529</v>
      </c>
      <c r="E60" s="114">
        <v>0</v>
      </c>
      <c r="F60" s="113">
        <v>0</v>
      </c>
      <c r="G60" s="114">
        <v>0</v>
      </c>
      <c r="H60" s="113">
        <v>0</v>
      </c>
      <c r="I60" s="114">
        <v>0</v>
      </c>
      <c r="J60" s="113">
        <v>0</v>
      </c>
      <c r="K60" s="114">
        <v>0</v>
      </c>
      <c r="L60" s="113">
        <v>0</v>
      </c>
      <c r="M60" s="114">
        <v>0</v>
      </c>
      <c r="N60" s="113">
        <v>55</v>
      </c>
      <c r="O60" s="114">
        <v>209</v>
      </c>
      <c r="P60" s="113">
        <v>55</v>
      </c>
      <c r="Q60" s="114">
        <v>210</v>
      </c>
      <c r="R60" s="113">
        <v>0</v>
      </c>
      <c r="S60" s="114">
        <v>0</v>
      </c>
      <c r="T60" s="113">
        <v>0</v>
      </c>
      <c r="U60" s="115">
        <v>0</v>
      </c>
      <c r="V60" t="str">
        <f>VLOOKUP(A60,Projetos_Ciclo!$H$3:$H$124,1,FALSE)</f>
        <v>NA</v>
      </c>
    </row>
    <row r="61" spans="1:22" x14ac:dyDescent="0.25">
      <c r="A61" s="14" t="s">
        <v>1138</v>
      </c>
      <c r="B61" s="116" t="s">
        <v>1139</v>
      </c>
      <c r="C61" s="116" t="s">
        <v>57</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c r="V61" t="e">
        <f>VLOOKUP(A61,Projetos_Ciclo!$H$3:$H$124,1,FALSE)</f>
        <v>#N/A</v>
      </c>
    </row>
    <row r="62" spans="1:22" x14ac:dyDescent="0.25">
      <c r="A62" s="111" t="s">
        <v>1185</v>
      </c>
      <c r="B62" s="112" t="s">
        <v>1186</v>
      </c>
      <c r="C62" s="112" t="s">
        <v>1187</v>
      </c>
      <c r="D62" s="113">
        <v>415</v>
      </c>
      <c r="E62" s="114">
        <v>0</v>
      </c>
      <c r="F62" s="113">
        <v>415</v>
      </c>
      <c r="G62" s="114">
        <v>0</v>
      </c>
      <c r="H62" s="113">
        <v>0</v>
      </c>
      <c r="I62" s="114">
        <v>0</v>
      </c>
      <c r="J62" s="113">
        <v>0</v>
      </c>
      <c r="K62" s="114">
        <v>0</v>
      </c>
      <c r="L62" s="113">
        <v>0</v>
      </c>
      <c r="M62" s="114">
        <v>0</v>
      </c>
      <c r="N62" s="113">
        <v>0</v>
      </c>
      <c r="O62" s="114">
        <v>0</v>
      </c>
      <c r="P62" s="113">
        <v>0</v>
      </c>
      <c r="Q62" s="114">
        <v>0</v>
      </c>
      <c r="R62" s="113">
        <v>0</v>
      </c>
      <c r="S62" s="114">
        <v>0</v>
      </c>
      <c r="T62" s="113">
        <v>0</v>
      </c>
      <c r="U62" s="115">
        <v>0</v>
      </c>
      <c r="V62" t="e">
        <f>VLOOKUP(A62,Projetos_Ciclo!$H$3:$H$124,1,FALSE)</f>
        <v>#N/A</v>
      </c>
    </row>
    <row r="63" spans="1:22" x14ac:dyDescent="0.25">
      <c r="A63" s="14" t="s">
        <v>1416</v>
      </c>
      <c r="B63" s="116" t="s">
        <v>1402</v>
      </c>
      <c r="C63" s="116" t="s">
        <v>1417</v>
      </c>
      <c r="D63" s="117">
        <v>0</v>
      </c>
      <c r="E63" s="120">
        <v>0</v>
      </c>
      <c r="F63" s="117">
        <v>0</v>
      </c>
      <c r="G63" s="120">
        <v>415</v>
      </c>
      <c r="H63" s="117">
        <v>0</v>
      </c>
      <c r="I63" s="120">
        <v>0</v>
      </c>
      <c r="J63" s="117">
        <v>0</v>
      </c>
      <c r="K63" s="120">
        <v>0</v>
      </c>
      <c r="L63" s="117">
        <v>382</v>
      </c>
      <c r="M63" s="120">
        <v>382</v>
      </c>
      <c r="N63" s="117">
        <v>0</v>
      </c>
      <c r="O63" s="120">
        <v>0</v>
      </c>
      <c r="P63" s="117">
        <v>0</v>
      </c>
      <c r="Q63" s="120">
        <v>0</v>
      </c>
      <c r="R63" s="117">
        <v>0</v>
      </c>
      <c r="S63" s="120">
        <v>0</v>
      </c>
      <c r="T63" s="117">
        <v>0</v>
      </c>
      <c r="U63" s="119">
        <v>0</v>
      </c>
      <c r="V63" t="e">
        <f>VLOOKUP(A63,Projetos_Ciclo!$H$3:$H$124,1,FALSE)</f>
        <v>#N/A</v>
      </c>
    </row>
    <row r="64" spans="1:22" x14ac:dyDescent="0.25">
      <c r="A64" s="111" t="s">
        <v>1133</v>
      </c>
      <c r="B64" s="112" t="s">
        <v>1148</v>
      </c>
      <c r="C64" s="112" t="s">
        <v>57</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c r="V64" t="e">
        <f>VLOOKUP(A64,Projetos_Ciclo!$H$3:$H$124,1,FALSE)</f>
        <v>#N/A</v>
      </c>
    </row>
    <row r="65" spans="1:22" x14ac:dyDescent="0.25">
      <c r="A65" s="14" t="s">
        <v>1135</v>
      </c>
      <c r="B65" s="116" t="s">
        <v>1136</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c r="V65" t="e">
        <f>VLOOKUP(A65,Projetos_Ciclo!$H$3:$H$124,1,FALSE)</f>
        <v>#N/A</v>
      </c>
    </row>
    <row r="66" spans="1:22" x14ac:dyDescent="0.25">
      <c r="A66" s="111" t="s">
        <v>520</v>
      </c>
      <c r="B66" s="112" t="s">
        <v>1137</v>
      </c>
      <c r="C66" s="112" t="s">
        <v>57</v>
      </c>
      <c r="D66" s="113">
        <v>514</v>
      </c>
      <c r="E66" s="114">
        <v>0</v>
      </c>
      <c r="F66" s="113">
        <v>0</v>
      </c>
      <c r="G66" s="114">
        <v>0</v>
      </c>
      <c r="H66" s="113">
        <v>0</v>
      </c>
      <c r="I66" s="114">
        <v>0</v>
      </c>
      <c r="J66" s="113">
        <v>0</v>
      </c>
      <c r="K66" s="114">
        <v>0</v>
      </c>
      <c r="L66" s="113">
        <v>0</v>
      </c>
      <c r="M66" s="114">
        <v>0</v>
      </c>
      <c r="N66" s="113">
        <v>128.5</v>
      </c>
      <c r="O66" s="114">
        <v>128.5</v>
      </c>
      <c r="P66" s="113">
        <v>128.5</v>
      </c>
      <c r="Q66" s="114">
        <v>128.5</v>
      </c>
      <c r="R66" s="113">
        <v>0</v>
      </c>
      <c r="S66" s="114">
        <v>0</v>
      </c>
      <c r="T66" s="113">
        <v>0</v>
      </c>
      <c r="U66" s="115">
        <v>0</v>
      </c>
      <c r="V66" t="str">
        <f>VLOOKUP(A66,Projetos_Ciclo!$H$3:$H$124,1,FALSE)</f>
        <v>NA</v>
      </c>
    </row>
    <row r="67" spans="1:22" x14ac:dyDescent="0.25">
      <c r="A67" s="14" t="s">
        <v>1138</v>
      </c>
      <c r="B67" s="116" t="s">
        <v>1139</v>
      </c>
      <c r="C67" s="116" t="s">
        <v>57</v>
      </c>
      <c r="D67" s="117">
        <v>0</v>
      </c>
      <c r="E67" s="120">
        <v>0</v>
      </c>
      <c r="F67" s="117">
        <v>0</v>
      </c>
      <c r="G67" s="120">
        <v>0</v>
      </c>
      <c r="H67" s="117">
        <v>0</v>
      </c>
      <c r="I67" s="120">
        <v>0</v>
      </c>
      <c r="J67" s="117">
        <v>0</v>
      </c>
      <c r="K67" s="120">
        <v>0</v>
      </c>
      <c r="L67" s="117">
        <v>0</v>
      </c>
      <c r="M67" s="120">
        <v>0</v>
      </c>
      <c r="N67" s="117">
        <v>0</v>
      </c>
      <c r="O67" s="120">
        <v>0</v>
      </c>
      <c r="P67" s="117">
        <v>0</v>
      </c>
      <c r="Q67" s="120">
        <v>0</v>
      </c>
      <c r="R67" s="117">
        <v>0</v>
      </c>
      <c r="S67" s="120">
        <v>0</v>
      </c>
      <c r="T67" s="117">
        <v>0</v>
      </c>
      <c r="U67" s="119">
        <v>0</v>
      </c>
      <c r="V67" t="e">
        <f>VLOOKUP(A67,Projetos_Ciclo!$H$3:$H$124,1,FALSE)</f>
        <v>#N/A</v>
      </c>
    </row>
    <row r="68" spans="1:22" x14ac:dyDescent="0.25">
      <c r="A68" s="111" t="s">
        <v>1188</v>
      </c>
      <c r="B68" s="112" t="s">
        <v>1189</v>
      </c>
      <c r="C68" s="112" t="s">
        <v>1190</v>
      </c>
      <c r="D68" s="113">
        <v>129</v>
      </c>
      <c r="E68" s="114">
        <v>0</v>
      </c>
      <c r="F68" s="113">
        <v>129</v>
      </c>
      <c r="G68" s="114">
        <v>0</v>
      </c>
      <c r="H68" s="113">
        <v>0</v>
      </c>
      <c r="I68" s="114">
        <v>0</v>
      </c>
      <c r="J68" s="113">
        <v>0</v>
      </c>
      <c r="K68" s="114">
        <v>0</v>
      </c>
      <c r="L68" s="113">
        <v>0</v>
      </c>
      <c r="M68" s="114">
        <v>0</v>
      </c>
      <c r="N68" s="113">
        <v>0</v>
      </c>
      <c r="O68" s="114">
        <v>0</v>
      </c>
      <c r="P68" s="113">
        <v>0</v>
      </c>
      <c r="Q68" s="114">
        <v>0</v>
      </c>
      <c r="R68" s="113">
        <v>0</v>
      </c>
      <c r="S68" s="114">
        <v>0</v>
      </c>
      <c r="T68" s="113">
        <v>0</v>
      </c>
      <c r="U68" s="115">
        <v>0</v>
      </c>
      <c r="V68" t="e">
        <f>VLOOKUP(A68,Projetos_Ciclo!$H$3:$H$124,1,FALSE)</f>
        <v>#N/A</v>
      </c>
    </row>
    <row r="69" spans="1:22" x14ac:dyDescent="0.25">
      <c r="A69" s="14" t="s">
        <v>1590</v>
      </c>
      <c r="B69" s="116" t="s">
        <v>1591</v>
      </c>
      <c r="C69" s="116" t="s">
        <v>1592</v>
      </c>
      <c r="D69" s="117">
        <v>0</v>
      </c>
      <c r="E69" s="120">
        <v>0</v>
      </c>
      <c r="F69" s="117">
        <v>0</v>
      </c>
      <c r="G69" s="120">
        <v>98</v>
      </c>
      <c r="H69" s="117">
        <v>0</v>
      </c>
      <c r="I69" s="120">
        <v>0</v>
      </c>
      <c r="J69" s="117">
        <v>0</v>
      </c>
      <c r="K69" s="120">
        <v>0</v>
      </c>
      <c r="L69" s="117">
        <v>97.797317504882813</v>
      </c>
      <c r="M69" s="120">
        <v>97.797317504882813</v>
      </c>
      <c r="N69" s="117">
        <v>0</v>
      </c>
      <c r="O69" s="120">
        <v>0</v>
      </c>
      <c r="P69" s="117">
        <v>0</v>
      </c>
      <c r="Q69" s="120">
        <v>0</v>
      </c>
      <c r="R69" s="117">
        <v>0</v>
      </c>
      <c r="S69" s="120">
        <v>0</v>
      </c>
      <c r="T69" s="117">
        <v>0</v>
      </c>
      <c r="U69" s="119">
        <v>0</v>
      </c>
      <c r="V69" t="e">
        <f>VLOOKUP(A69,Projetos_Ciclo!$H$3:$H$124,1,FALSE)</f>
        <v>#N/A</v>
      </c>
    </row>
    <row r="70" spans="1:22" x14ac:dyDescent="0.25">
      <c r="A70" s="111" t="s">
        <v>1133</v>
      </c>
      <c r="B70" s="112" t="s">
        <v>1157</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c r="V70" t="e">
        <f>VLOOKUP(A70,Projetos_Ciclo!$H$3:$H$124,1,FALSE)</f>
        <v>#N/A</v>
      </c>
    </row>
    <row r="71" spans="1:22" x14ac:dyDescent="0.25">
      <c r="A71" s="14" t="s">
        <v>1135</v>
      </c>
      <c r="B71" s="116" t="s">
        <v>1136</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c r="V71" t="e">
        <f>VLOOKUP(A71,Projetos_Ciclo!$H$3:$H$124,1,FALSE)</f>
        <v>#N/A</v>
      </c>
    </row>
    <row r="72" spans="1:22" x14ac:dyDescent="0.25">
      <c r="A72" s="111" t="s">
        <v>1395</v>
      </c>
      <c r="B72" s="112" t="s">
        <v>1396</v>
      </c>
      <c r="C72" s="112" t="s">
        <v>1397</v>
      </c>
      <c r="D72" s="113">
        <v>3676</v>
      </c>
      <c r="E72" s="114">
        <v>0</v>
      </c>
      <c r="F72" s="113">
        <v>1618</v>
      </c>
      <c r="G72" s="114">
        <v>0</v>
      </c>
      <c r="H72" s="113">
        <v>0</v>
      </c>
      <c r="I72" s="114">
        <v>0</v>
      </c>
      <c r="J72" s="113">
        <v>0</v>
      </c>
      <c r="K72" s="114">
        <v>0</v>
      </c>
      <c r="L72" s="113">
        <v>0</v>
      </c>
      <c r="M72" s="114">
        <v>0</v>
      </c>
      <c r="N72" s="113">
        <v>0</v>
      </c>
      <c r="O72" s="114">
        <v>1050</v>
      </c>
      <c r="P72" s="113">
        <v>1008</v>
      </c>
      <c r="Q72" s="114">
        <v>0</v>
      </c>
      <c r="R72" s="113">
        <v>0</v>
      </c>
      <c r="S72" s="114">
        <v>0</v>
      </c>
      <c r="T72" s="113">
        <v>0</v>
      </c>
      <c r="U72" s="115">
        <v>0</v>
      </c>
      <c r="V72" t="e">
        <f>VLOOKUP(A72,Projetos_Ciclo!$H$3:$H$124,1,FALSE)</f>
        <v>#N/A</v>
      </c>
    </row>
    <row r="73" spans="1:22" x14ac:dyDescent="0.25">
      <c r="A73" s="14" t="s">
        <v>1453</v>
      </c>
      <c r="B73" s="116" t="s">
        <v>1454</v>
      </c>
      <c r="C73" s="116" t="s">
        <v>1455</v>
      </c>
      <c r="D73" s="117">
        <v>0</v>
      </c>
      <c r="E73" s="120">
        <v>0</v>
      </c>
      <c r="F73" s="117">
        <v>0</v>
      </c>
      <c r="G73" s="120">
        <v>1513</v>
      </c>
      <c r="H73" s="117">
        <v>0</v>
      </c>
      <c r="I73" s="120">
        <v>0</v>
      </c>
      <c r="J73" s="117">
        <v>0</v>
      </c>
      <c r="K73" s="120">
        <v>0</v>
      </c>
      <c r="L73" s="117">
        <v>0</v>
      </c>
      <c r="M73" s="120">
        <v>0</v>
      </c>
      <c r="N73" s="117">
        <v>0</v>
      </c>
      <c r="O73" s="120">
        <v>0</v>
      </c>
      <c r="P73" s="117">
        <v>0</v>
      </c>
      <c r="Q73" s="120">
        <v>0</v>
      </c>
      <c r="R73" s="117">
        <v>0</v>
      </c>
      <c r="S73" s="120">
        <v>0</v>
      </c>
      <c r="T73" s="117">
        <v>0</v>
      </c>
      <c r="U73" s="119">
        <v>0</v>
      </c>
      <c r="V73" t="str">
        <f>VLOOKUP(A73,Projetos_Ciclo!$H$3:$H$124,1,FALSE)</f>
        <v>MT00218</v>
      </c>
    </row>
    <row r="74" spans="1:22" x14ac:dyDescent="0.25">
      <c r="A74" s="111" t="s">
        <v>520</v>
      </c>
      <c r="B74" s="112" t="s">
        <v>1137</v>
      </c>
      <c r="C74" s="112" t="s">
        <v>57</v>
      </c>
      <c r="D74" s="113">
        <v>0</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c r="V74" t="str">
        <f>VLOOKUP(A74,Projetos_Ciclo!$H$3:$H$124,1,FALSE)</f>
        <v>NA</v>
      </c>
    </row>
    <row r="75" spans="1:22" x14ac:dyDescent="0.25">
      <c r="A75" s="14" t="s">
        <v>1138</v>
      </c>
      <c r="B75" s="116" t="s">
        <v>1139</v>
      </c>
      <c r="C75" s="116" t="s">
        <v>57</v>
      </c>
      <c r="D75" s="117">
        <v>9.9999999999909106E-2</v>
      </c>
      <c r="E75" s="120">
        <v>0</v>
      </c>
      <c r="F75" s="117">
        <v>0</v>
      </c>
      <c r="G75" s="120">
        <v>0</v>
      </c>
      <c r="H75" s="117">
        <v>0</v>
      </c>
      <c r="I75" s="120">
        <v>0</v>
      </c>
      <c r="J75" s="117">
        <v>0</v>
      </c>
      <c r="K75" s="120">
        <v>0</v>
      </c>
      <c r="L75" s="117">
        <v>0</v>
      </c>
      <c r="M75" s="120">
        <v>0</v>
      </c>
      <c r="N75" s="117">
        <v>0</v>
      </c>
      <c r="O75" s="120">
        <v>0</v>
      </c>
      <c r="P75" s="117">
        <v>0</v>
      </c>
      <c r="Q75" s="120">
        <v>0</v>
      </c>
      <c r="R75" s="117">
        <v>0</v>
      </c>
      <c r="S75" s="120">
        <v>0</v>
      </c>
      <c r="T75" s="117">
        <v>0</v>
      </c>
      <c r="U75" s="119">
        <v>0</v>
      </c>
      <c r="V75" t="e">
        <f>VLOOKUP(A75,Projetos_Ciclo!$H$3:$H$124,1,FALSE)</f>
        <v>#N/A</v>
      </c>
    </row>
    <row r="76" spans="1:22" x14ac:dyDescent="0.25">
      <c r="A76" s="111" t="s">
        <v>1133</v>
      </c>
      <c r="B76" s="112" t="s">
        <v>1191</v>
      </c>
      <c r="C76" s="112" t="s">
        <v>57</v>
      </c>
      <c r="D76" s="113">
        <v>0</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c r="V76" t="e">
        <f>VLOOKUP(A76,Projetos_Ciclo!$H$3:$H$124,1,FALSE)</f>
        <v>#N/A</v>
      </c>
    </row>
    <row r="77" spans="1:22" x14ac:dyDescent="0.25">
      <c r="A77" s="14" t="s">
        <v>1135</v>
      </c>
      <c r="B77" s="116" t="s">
        <v>1136</v>
      </c>
      <c r="C77" s="116" t="s">
        <v>57</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c r="V77" t="e">
        <f>VLOOKUP(A77,Projetos_Ciclo!$H$3:$H$124,1,FALSE)</f>
        <v>#N/A</v>
      </c>
    </row>
    <row r="78" spans="1:22" x14ac:dyDescent="0.25">
      <c r="A78" s="111" t="s">
        <v>1398</v>
      </c>
      <c r="B78" s="112" t="s">
        <v>1399</v>
      </c>
      <c r="C78" s="112" t="s">
        <v>1400</v>
      </c>
      <c r="D78" s="113">
        <v>1815</v>
      </c>
      <c r="E78" s="114">
        <v>0</v>
      </c>
      <c r="F78" s="113">
        <v>1815</v>
      </c>
      <c r="G78" s="114">
        <v>0</v>
      </c>
      <c r="H78" s="113">
        <v>98</v>
      </c>
      <c r="I78" s="114">
        <v>0</v>
      </c>
      <c r="J78" s="113">
        <v>0</v>
      </c>
      <c r="K78" s="114">
        <v>0</v>
      </c>
      <c r="L78" s="113">
        <v>0</v>
      </c>
      <c r="M78" s="114">
        <v>0</v>
      </c>
      <c r="N78" s="113">
        <v>0</v>
      </c>
      <c r="O78" s="114">
        <v>0</v>
      </c>
      <c r="P78" s="113">
        <v>0</v>
      </c>
      <c r="Q78" s="114">
        <v>0</v>
      </c>
      <c r="R78" s="113">
        <v>0</v>
      </c>
      <c r="S78" s="114">
        <v>0</v>
      </c>
      <c r="T78" s="113">
        <v>0</v>
      </c>
      <c r="U78" s="115">
        <v>0</v>
      </c>
      <c r="V78" t="e">
        <f>VLOOKUP(A78,Projetos_Ciclo!$H$3:$H$124,1,FALSE)</f>
        <v>#N/A</v>
      </c>
    </row>
    <row r="79" spans="1:22" x14ac:dyDescent="0.25">
      <c r="A79" s="14" t="s">
        <v>1192</v>
      </c>
      <c r="B79" s="116" t="s">
        <v>1193</v>
      </c>
      <c r="C79" s="116" t="s">
        <v>1194</v>
      </c>
      <c r="D79" s="117">
        <v>0</v>
      </c>
      <c r="E79" s="120">
        <v>0</v>
      </c>
      <c r="F79" s="117">
        <v>0</v>
      </c>
      <c r="G79" s="120">
        <v>5</v>
      </c>
      <c r="H79" s="117">
        <v>0</v>
      </c>
      <c r="I79" s="120">
        <v>4.3380299806594849</v>
      </c>
      <c r="J79" s="117">
        <v>0</v>
      </c>
      <c r="K79" s="120">
        <v>4.3380299806594849</v>
      </c>
      <c r="L79" s="117">
        <v>0</v>
      </c>
      <c r="M79" s="120">
        <v>4.3380299806594849</v>
      </c>
      <c r="N79" s="117">
        <v>0</v>
      </c>
      <c r="O79" s="120">
        <v>0</v>
      </c>
      <c r="P79" s="117">
        <v>0</v>
      </c>
      <c r="Q79" s="120">
        <v>0</v>
      </c>
      <c r="R79" s="117">
        <v>0</v>
      </c>
      <c r="S79" s="120">
        <v>0</v>
      </c>
      <c r="T79" s="117">
        <v>0</v>
      </c>
      <c r="U79" s="119">
        <v>0</v>
      </c>
      <c r="V79" t="str">
        <f>VLOOKUP(A79,Projetos_Ciclo!$H$3:$H$124,1,FALSE)</f>
        <v>MT00516</v>
      </c>
    </row>
    <row r="80" spans="1:22" x14ac:dyDescent="0.25">
      <c r="A80" s="111" t="s">
        <v>1195</v>
      </c>
      <c r="B80" s="112" t="s">
        <v>1196</v>
      </c>
      <c r="C80" s="112" t="s">
        <v>1197</v>
      </c>
      <c r="D80" s="113">
        <v>0</v>
      </c>
      <c r="E80" s="114">
        <v>0</v>
      </c>
      <c r="F80" s="113">
        <v>0</v>
      </c>
      <c r="G80" s="114">
        <v>1088</v>
      </c>
      <c r="H80" s="113">
        <v>0</v>
      </c>
      <c r="I80" s="114">
        <v>18.819390416145325</v>
      </c>
      <c r="J80" s="113">
        <v>0</v>
      </c>
      <c r="K80" s="114">
        <v>18.819390416145325</v>
      </c>
      <c r="L80" s="113">
        <v>168.00705242156982</v>
      </c>
      <c r="M80" s="114">
        <v>186.82644283771515</v>
      </c>
      <c r="N80" s="113">
        <v>0</v>
      </c>
      <c r="O80" s="114">
        <v>0</v>
      </c>
      <c r="P80" s="113">
        <v>0</v>
      </c>
      <c r="Q80" s="114">
        <v>0</v>
      </c>
      <c r="R80" s="113">
        <v>0</v>
      </c>
      <c r="S80" s="114">
        <v>0</v>
      </c>
      <c r="T80" s="113">
        <v>0</v>
      </c>
      <c r="U80" s="115">
        <v>0</v>
      </c>
      <c r="V80" t="str">
        <f>VLOOKUP(A80,Projetos_Ciclo!$H$3:$H$124,1,FALSE)</f>
        <v>MT01017</v>
      </c>
    </row>
    <row r="81" spans="1:22" x14ac:dyDescent="0.25">
      <c r="A81" s="14" t="s">
        <v>520</v>
      </c>
      <c r="B81" s="116" t="s">
        <v>1198</v>
      </c>
      <c r="C81" s="116" t="s">
        <v>57</v>
      </c>
      <c r="D81" s="117">
        <v>4823</v>
      </c>
      <c r="E81" s="120">
        <v>0</v>
      </c>
      <c r="F81" s="117">
        <v>0</v>
      </c>
      <c r="G81" s="120">
        <v>0</v>
      </c>
      <c r="H81" s="117">
        <v>0</v>
      </c>
      <c r="I81" s="120">
        <v>0</v>
      </c>
      <c r="J81" s="117">
        <v>0</v>
      </c>
      <c r="K81" s="120">
        <v>0</v>
      </c>
      <c r="L81" s="117">
        <v>0</v>
      </c>
      <c r="M81" s="120">
        <v>0</v>
      </c>
      <c r="N81" s="117">
        <v>1496</v>
      </c>
      <c r="O81" s="120">
        <v>777</v>
      </c>
      <c r="P81" s="117">
        <v>2550</v>
      </c>
      <c r="Q81" s="120">
        <v>0</v>
      </c>
      <c r="R81" s="117">
        <v>0</v>
      </c>
      <c r="S81" s="120">
        <v>0</v>
      </c>
      <c r="T81" s="117">
        <v>0</v>
      </c>
      <c r="U81" s="119">
        <v>0</v>
      </c>
      <c r="V81" t="str">
        <f>VLOOKUP(A81,Projetos_Ciclo!$H$3:$H$124,1,FALSE)</f>
        <v>NA</v>
      </c>
    </row>
    <row r="82" spans="1:22" x14ac:dyDescent="0.25">
      <c r="A82" s="111" t="s">
        <v>1199</v>
      </c>
      <c r="B82" s="112" t="s">
        <v>1200</v>
      </c>
      <c r="C82" s="112" t="s">
        <v>1201</v>
      </c>
      <c r="D82" s="113">
        <v>0</v>
      </c>
      <c r="E82" s="114">
        <v>0</v>
      </c>
      <c r="F82" s="113">
        <v>0</v>
      </c>
      <c r="G82" s="114">
        <v>715</v>
      </c>
      <c r="H82" s="113">
        <v>0</v>
      </c>
      <c r="I82" s="114">
        <v>87.617710113525391</v>
      </c>
      <c r="J82" s="113">
        <v>0</v>
      </c>
      <c r="K82" s="114">
        <v>87.617710113525391</v>
      </c>
      <c r="L82" s="113">
        <v>590.78504490852356</v>
      </c>
      <c r="M82" s="114">
        <v>678.40275502204895</v>
      </c>
      <c r="N82" s="113">
        <v>0</v>
      </c>
      <c r="O82" s="114">
        <v>0</v>
      </c>
      <c r="P82" s="113">
        <v>0</v>
      </c>
      <c r="Q82" s="114">
        <v>0</v>
      </c>
      <c r="R82" s="113">
        <v>0</v>
      </c>
      <c r="S82" s="114">
        <v>0</v>
      </c>
      <c r="T82" s="113">
        <v>0</v>
      </c>
      <c r="U82" s="115">
        <v>0</v>
      </c>
      <c r="V82" t="str">
        <f>VLOOKUP(A82,Projetos_Ciclo!$H$3:$H$124,1,FALSE)</f>
        <v>PO00417</v>
      </c>
    </row>
    <row r="83" spans="1:22" x14ac:dyDescent="0.25">
      <c r="A83" s="14" t="s">
        <v>1138</v>
      </c>
      <c r="B83" s="116" t="s">
        <v>1139</v>
      </c>
      <c r="C83" s="116" t="s">
        <v>57</v>
      </c>
      <c r="D83" s="117">
        <v>9.9920072216264089E-16</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c r="V83" t="e">
        <f>VLOOKUP(A83,Projetos_Ciclo!$H$3:$H$124,1,FALSE)</f>
        <v>#N/A</v>
      </c>
    </row>
    <row r="84" spans="1:22" x14ac:dyDescent="0.25">
      <c r="A84" s="111" t="s">
        <v>1202</v>
      </c>
      <c r="B84" s="112" t="s">
        <v>1203</v>
      </c>
      <c r="C84" s="112" t="s">
        <v>1204</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c r="V84" t="e">
        <f>VLOOKUP(A84,Projetos_Ciclo!$H$3:$H$124,1,FALSE)</f>
        <v>#N/A</v>
      </c>
    </row>
    <row r="85" spans="1:22" x14ac:dyDescent="0.25">
      <c r="A85" s="14" t="s">
        <v>1205</v>
      </c>
      <c r="B85" s="116" t="s">
        <v>1206</v>
      </c>
      <c r="C85" s="116" t="s">
        <v>1207</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c r="V85" t="e">
        <f>VLOOKUP(A85,Projetos_Ciclo!$H$3:$H$124,1,FALSE)</f>
        <v>#N/A</v>
      </c>
    </row>
    <row r="86" spans="1:22" x14ac:dyDescent="0.25">
      <c r="A86" s="111" t="s">
        <v>1208</v>
      </c>
      <c r="B86" s="112" t="s">
        <v>1209</v>
      </c>
      <c r="C86" s="112" t="s">
        <v>1210</v>
      </c>
      <c r="D86" s="113">
        <v>0</v>
      </c>
      <c r="E86" s="114">
        <v>0</v>
      </c>
      <c r="F86" s="113">
        <v>0</v>
      </c>
      <c r="G86" s="114">
        <v>0</v>
      </c>
      <c r="H86" s="113">
        <v>0</v>
      </c>
      <c r="I86" s="114">
        <v>0</v>
      </c>
      <c r="J86" s="113">
        <v>0</v>
      </c>
      <c r="K86" s="114">
        <v>0</v>
      </c>
      <c r="L86" s="113">
        <v>0</v>
      </c>
      <c r="M86" s="114">
        <v>0</v>
      </c>
      <c r="N86" s="113">
        <v>0</v>
      </c>
      <c r="O86" s="114">
        <v>0</v>
      </c>
      <c r="P86" s="113">
        <v>0</v>
      </c>
      <c r="Q86" s="114">
        <v>0</v>
      </c>
      <c r="R86" s="113">
        <v>0</v>
      </c>
      <c r="S86" s="114">
        <v>0</v>
      </c>
      <c r="T86" s="113">
        <v>0</v>
      </c>
      <c r="U86" s="115">
        <v>0</v>
      </c>
      <c r="V86" t="e">
        <f>VLOOKUP(A86,Projetos_Ciclo!$H$3:$H$124,1,FALSE)</f>
        <v>#N/A</v>
      </c>
    </row>
    <row r="87" spans="1:22" x14ac:dyDescent="0.25">
      <c r="A87" s="14" t="s">
        <v>1211</v>
      </c>
      <c r="B87" s="116" t="s">
        <v>1212</v>
      </c>
      <c r="C87" s="116" t="s">
        <v>1213</v>
      </c>
      <c r="D87" s="117">
        <v>0</v>
      </c>
      <c r="E87" s="120">
        <v>0</v>
      </c>
      <c r="F87" s="117">
        <v>0</v>
      </c>
      <c r="G87" s="120">
        <v>0</v>
      </c>
      <c r="H87" s="117">
        <v>0</v>
      </c>
      <c r="I87" s="120">
        <v>0</v>
      </c>
      <c r="J87" s="117">
        <v>0</v>
      </c>
      <c r="K87" s="120">
        <v>0</v>
      </c>
      <c r="L87" s="117">
        <v>0</v>
      </c>
      <c r="M87" s="120">
        <v>0</v>
      </c>
      <c r="N87" s="117">
        <v>0</v>
      </c>
      <c r="O87" s="120">
        <v>0</v>
      </c>
      <c r="P87" s="117">
        <v>0</v>
      </c>
      <c r="Q87" s="120">
        <v>0</v>
      </c>
      <c r="R87" s="117">
        <v>0</v>
      </c>
      <c r="S87" s="120">
        <v>0</v>
      </c>
      <c r="T87" s="117">
        <v>0</v>
      </c>
      <c r="U87" s="119">
        <v>0</v>
      </c>
      <c r="V87" t="e">
        <f>VLOOKUP(A87,Projetos_Ciclo!$H$3:$H$124,1,FALSE)</f>
        <v>#N/A</v>
      </c>
    </row>
    <row r="88" spans="1:22" x14ac:dyDescent="0.25">
      <c r="A88" s="111" t="s">
        <v>1214</v>
      </c>
      <c r="B88" s="112" t="s">
        <v>1215</v>
      </c>
      <c r="C88" s="112" t="s">
        <v>1216</v>
      </c>
      <c r="D88" s="113">
        <v>0</v>
      </c>
      <c r="E88" s="114">
        <v>0</v>
      </c>
      <c r="F88" s="113">
        <v>0</v>
      </c>
      <c r="G88" s="114">
        <v>0</v>
      </c>
      <c r="H88" s="113">
        <v>0</v>
      </c>
      <c r="I88" s="114">
        <v>0</v>
      </c>
      <c r="J88" s="113">
        <v>0</v>
      </c>
      <c r="K88" s="114">
        <v>0</v>
      </c>
      <c r="L88" s="113">
        <v>0</v>
      </c>
      <c r="M88" s="114">
        <v>0</v>
      </c>
      <c r="N88" s="113">
        <v>0</v>
      </c>
      <c r="O88" s="114">
        <v>0</v>
      </c>
      <c r="P88" s="113">
        <v>0</v>
      </c>
      <c r="Q88" s="114">
        <v>0</v>
      </c>
      <c r="R88" s="113">
        <v>0</v>
      </c>
      <c r="S88" s="114">
        <v>0</v>
      </c>
      <c r="T88" s="113">
        <v>0</v>
      </c>
      <c r="U88" s="115">
        <v>0</v>
      </c>
      <c r="V88" t="e">
        <f>VLOOKUP(A88,Projetos_Ciclo!$H$3:$H$124,1,FALSE)</f>
        <v>#N/A</v>
      </c>
    </row>
    <row r="89" spans="1:22" x14ac:dyDescent="0.25">
      <c r="A89" s="14" t="s">
        <v>1217</v>
      </c>
      <c r="B89" s="116" t="s">
        <v>1218</v>
      </c>
      <c r="C89" s="116" t="s">
        <v>1219</v>
      </c>
      <c r="D89" s="117">
        <v>0</v>
      </c>
      <c r="E89" s="120">
        <v>0</v>
      </c>
      <c r="F89" s="117">
        <v>0</v>
      </c>
      <c r="G89" s="120">
        <v>0</v>
      </c>
      <c r="H89" s="117">
        <v>0</v>
      </c>
      <c r="I89" s="120">
        <v>0</v>
      </c>
      <c r="J89" s="117">
        <v>0</v>
      </c>
      <c r="K89" s="120">
        <v>0</v>
      </c>
      <c r="L89" s="117">
        <v>0</v>
      </c>
      <c r="M89" s="120">
        <v>0</v>
      </c>
      <c r="N89" s="117">
        <v>0</v>
      </c>
      <c r="O89" s="120">
        <v>0</v>
      </c>
      <c r="P89" s="117">
        <v>0</v>
      </c>
      <c r="Q89" s="120">
        <v>0</v>
      </c>
      <c r="R89" s="117">
        <v>0</v>
      </c>
      <c r="S89" s="120">
        <v>0</v>
      </c>
      <c r="T89" s="117">
        <v>0</v>
      </c>
      <c r="U89" s="119">
        <v>0</v>
      </c>
      <c r="V89" t="e">
        <f>VLOOKUP(A89,Projetos_Ciclo!$H$3:$H$124,1,FALSE)</f>
        <v>#N/A</v>
      </c>
    </row>
    <row r="90" spans="1:22" x14ac:dyDescent="0.25">
      <c r="A90" s="111" t="s">
        <v>1220</v>
      </c>
      <c r="B90" s="112" t="s">
        <v>1221</v>
      </c>
      <c r="C90" s="112" t="s">
        <v>1222</v>
      </c>
      <c r="D90" s="113">
        <v>0</v>
      </c>
      <c r="E90" s="114">
        <v>0</v>
      </c>
      <c r="F90" s="113">
        <v>0</v>
      </c>
      <c r="G90" s="114">
        <v>0</v>
      </c>
      <c r="H90" s="113">
        <v>0</v>
      </c>
      <c r="I90" s="114">
        <v>0</v>
      </c>
      <c r="J90" s="113">
        <v>0</v>
      </c>
      <c r="K90" s="114">
        <v>0</v>
      </c>
      <c r="L90" s="113">
        <v>0</v>
      </c>
      <c r="M90" s="114">
        <v>0</v>
      </c>
      <c r="N90" s="113">
        <v>0</v>
      </c>
      <c r="O90" s="114">
        <v>0</v>
      </c>
      <c r="P90" s="113">
        <v>0</v>
      </c>
      <c r="Q90" s="114">
        <v>0</v>
      </c>
      <c r="R90" s="113">
        <v>0</v>
      </c>
      <c r="S90" s="114">
        <v>0</v>
      </c>
      <c r="T90" s="113">
        <v>0</v>
      </c>
      <c r="U90" s="115">
        <v>0</v>
      </c>
      <c r="V90" t="e">
        <f>VLOOKUP(A90,Projetos_Ciclo!$H$3:$H$124,1,FALSE)</f>
        <v>#N/A</v>
      </c>
    </row>
    <row r="91" spans="1:22" x14ac:dyDescent="0.25">
      <c r="A91" s="14" t="s">
        <v>1223</v>
      </c>
      <c r="B91" s="116" t="s">
        <v>1224</v>
      </c>
      <c r="C91" s="116" t="s">
        <v>1225</v>
      </c>
      <c r="D91" s="117">
        <v>0</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c r="V91" t="e">
        <f>VLOOKUP(A91,Projetos_Ciclo!$H$3:$H$124,1,FALSE)</f>
        <v>#N/A</v>
      </c>
    </row>
    <row r="92" spans="1:22" x14ac:dyDescent="0.25">
      <c r="A92" s="111" t="s">
        <v>1133</v>
      </c>
      <c r="B92" s="112" t="s">
        <v>1226</v>
      </c>
      <c r="C92" s="112" t="s">
        <v>57</v>
      </c>
      <c r="D92" s="113">
        <v>0</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c r="V92" t="e">
        <f>VLOOKUP(A92,Projetos_Ciclo!$H$3:$H$124,1,FALSE)</f>
        <v>#N/A</v>
      </c>
    </row>
    <row r="93" spans="1:22" x14ac:dyDescent="0.25">
      <c r="A93" s="14" t="s">
        <v>1227</v>
      </c>
      <c r="B93" s="116" t="s">
        <v>1228</v>
      </c>
      <c r="C93" s="116" t="s">
        <v>1229</v>
      </c>
      <c r="D93" s="117">
        <v>0</v>
      </c>
      <c r="E93" s="120">
        <v>0</v>
      </c>
      <c r="F93" s="117">
        <v>0</v>
      </c>
      <c r="G93" s="120">
        <v>0</v>
      </c>
      <c r="H93" s="117">
        <v>0</v>
      </c>
      <c r="I93" s="120">
        <v>0</v>
      </c>
      <c r="J93" s="117">
        <v>0</v>
      </c>
      <c r="K93" s="120">
        <v>0</v>
      </c>
      <c r="L93" s="117">
        <v>0</v>
      </c>
      <c r="M93" s="120">
        <v>0</v>
      </c>
      <c r="N93" s="117">
        <v>0</v>
      </c>
      <c r="O93" s="120">
        <v>0</v>
      </c>
      <c r="P93" s="117">
        <v>0</v>
      </c>
      <c r="Q93" s="120">
        <v>0</v>
      </c>
      <c r="R93" s="117">
        <v>0</v>
      </c>
      <c r="S93" s="120">
        <v>0</v>
      </c>
      <c r="T93" s="117">
        <v>0</v>
      </c>
      <c r="U93" s="119">
        <v>0</v>
      </c>
      <c r="V93" t="e">
        <f>VLOOKUP(A93,Projetos_Ciclo!$H$3:$H$124,1,FALSE)</f>
        <v>#N/A</v>
      </c>
    </row>
    <row r="94" spans="1:22" x14ac:dyDescent="0.25">
      <c r="A94" s="111" t="s">
        <v>1230</v>
      </c>
      <c r="B94" s="112" t="s">
        <v>1231</v>
      </c>
      <c r="C94" s="112" t="s">
        <v>1232</v>
      </c>
      <c r="D94" s="113">
        <v>0</v>
      </c>
      <c r="E94" s="114">
        <v>0</v>
      </c>
      <c r="F94" s="113">
        <v>0</v>
      </c>
      <c r="G94" s="114">
        <v>13</v>
      </c>
      <c r="H94" s="113">
        <v>0</v>
      </c>
      <c r="I94" s="114">
        <v>11.104649901390076</v>
      </c>
      <c r="J94" s="113">
        <v>0</v>
      </c>
      <c r="K94" s="114">
        <v>11.104649901390076</v>
      </c>
      <c r="L94" s="113">
        <v>0</v>
      </c>
      <c r="M94" s="114">
        <v>11.104649901390076</v>
      </c>
      <c r="N94" s="113">
        <v>0</v>
      </c>
      <c r="O94" s="114">
        <v>0</v>
      </c>
      <c r="P94" s="113">
        <v>0</v>
      </c>
      <c r="Q94" s="114">
        <v>0</v>
      </c>
      <c r="R94" s="113">
        <v>0</v>
      </c>
      <c r="S94" s="114">
        <v>0</v>
      </c>
      <c r="T94" s="113">
        <v>0</v>
      </c>
      <c r="U94" s="115">
        <v>0</v>
      </c>
      <c r="V94" t="str">
        <f>VLOOKUP(A94,Projetos_Ciclo!$H$3:$H$124,1,FALSE)</f>
        <v>CD00315</v>
      </c>
    </row>
    <row r="95" spans="1:22" x14ac:dyDescent="0.25">
      <c r="A95" s="14" t="s">
        <v>1135</v>
      </c>
      <c r="B95" s="116" t="s">
        <v>1136</v>
      </c>
      <c r="C95" s="116" t="s">
        <v>57</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c r="V95" t="e">
        <f>VLOOKUP(A95,Projetos_Ciclo!$H$3:$H$124,1,FALSE)</f>
        <v>#N/A</v>
      </c>
    </row>
    <row r="96" spans="1:22" x14ac:dyDescent="0.25">
      <c r="A96" s="111" t="s">
        <v>1233</v>
      </c>
      <c r="B96" s="112" t="s">
        <v>1234</v>
      </c>
      <c r="C96" s="112" t="s">
        <v>1235</v>
      </c>
      <c r="D96" s="113">
        <v>2417</v>
      </c>
      <c r="E96" s="114">
        <v>0</v>
      </c>
      <c r="F96" s="113">
        <v>2417</v>
      </c>
      <c r="G96" s="114">
        <v>0</v>
      </c>
      <c r="H96" s="113">
        <v>13</v>
      </c>
      <c r="I96" s="114">
        <v>0</v>
      </c>
      <c r="J96" s="113">
        <v>0</v>
      </c>
      <c r="K96" s="114">
        <v>0</v>
      </c>
      <c r="L96" s="113">
        <v>0</v>
      </c>
      <c r="M96" s="114">
        <v>0</v>
      </c>
      <c r="N96" s="113">
        <v>0</v>
      </c>
      <c r="O96" s="114">
        <v>0</v>
      </c>
      <c r="P96" s="113">
        <v>0</v>
      </c>
      <c r="Q96" s="114">
        <v>0</v>
      </c>
      <c r="R96" s="113">
        <v>0</v>
      </c>
      <c r="S96" s="114">
        <v>0</v>
      </c>
      <c r="T96" s="113">
        <v>0</v>
      </c>
      <c r="U96" s="115">
        <v>0</v>
      </c>
      <c r="V96" t="e">
        <f>VLOOKUP(A96,Projetos_Ciclo!$H$3:$H$124,1,FALSE)</f>
        <v>#N/A</v>
      </c>
    </row>
    <row r="97" spans="1:22" x14ac:dyDescent="0.25">
      <c r="A97" s="14" t="s">
        <v>1567</v>
      </c>
      <c r="B97" s="116" t="s">
        <v>1568</v>
      </c>
      <c r="C97" s="116" t="s">
        <v>1569</v>
      </c>
      <c r="D97" s="117">
        <v>0</v>
      </c>
      <c r="E97" s="120">
        <v>0</v>
      </c>
      <c r="F97" s="117">
        <v>0</v>
      </c>
      <c r="G97" s="120">
        <v>350</v>
      </c>
      <c r="H97" s="117">
        <v>0</v>
      </c>
      <c r="I97" s="120">
        <v>0</v>
      </c>
      <c r="J97" s="117">
        <v>0</v>
      </c>
      <c r="K97" s="120">
        <v>0</v>
      </c>
      <c r="L97" s="117">
        <v>0</v>
      </c>
      <c r="M97" s="120">
        <v>0</v>
      </c>
      <c r="N97" s="117">
        <v>0</v>
      </c>
      <c r="O97" s="120">
        <v>0</v>
      </c>
      <c r="P97" s="117">
        <v>0</v>
      </c>
      <c r="Q97" s="120">
        <v>0</v>
      </c>
      <c r="R97" s="117">
        <v>0</v>
      </c>
      <c r="S97" s="120">
        <v>0</v>
      </c>
      <c r="T97" s="117">
        <v>0</v>
      </c>
      <c r="U97" s="119">
        <v>0</v>
      </c>
      <c r="V97" t="str">
        <f>VLOOKUP(A97,Projetos_Ciclo!$H$3:$H$124,1,FALSE)</f>
        <v>GR00118</v>
      </c>
    </row>
    <row r="98" spans="1:22" x14ac:dyDescent="0.25">
      <c r="A98" s="111" t="s">
        <v>1364</v>
      </c>
      <c r="B98" s="112" t="s">
        <v>1016</v>
      </c>
      <c r="C98" s="112" t="s">
        <v>1510</v>
      </c>
      <c r="D98" s="113">
        <v>0</v>
      </c>
      <c r="E98" s="114">
        <v>0</v>
      </c>
      <c r="F98" s="113">
        <v>0</v>
      </c>
      <c r="G98" s="114">
        <v>940</v>
      </c>
      <c r="H98" s="113">
        <v>0</v>
      </c>
      <c r="I98" s="114">
        <v>0</v>
      </c>
      <c r="J98" s="113">
        <v>0</v>
      </c>
      <c r="K98" s="114">
        <v>0</v>
      </c>
      <c r="L98" s="113">
        <v>276</v>
      </c>
      <c r="M98" s="114">
        <v>276</v>
      </c>
      <c r="N98" s="113">
        <v>0</v>
      </c>
      <c r="O98" s="114">
        <v>0</v>
      </c>
      <c r="P98" s="113">
        <v>0</v>
      </c>
      <c r="Q98" s="114">
        <v>0</v>
      </c>
      <c r="R98" s="113">
        <v>0</v>
      </c>
      <c r="S98" s="114">
        <v>0</v>
      </c>
      <c r="T98" s="113">
        <v>0</v>
      </c>
      <c r="U98" s="115">
        <v>0</v>
      </c>
      <c r="V98" t="str">
        <f>VLOOKUP(A98,Projetos_Ciclo!$H$3:$H$124,1,FALSE)</f>
        <v>MD00118</v>
      </c>
    </row>
    <row r="99" spans="1:22" x14ac:dyDescent="0.25">
      <c r="A99" s="14" t="s">
        <v>520</v>
      </c>
      <c r="B99" s="116" t="s">
        <v>1137</v>
      </c>
      <c r="C99" s="116" t="s">
        <v>57</v>
      </c>
      <c r="D99" s="117">
        <v>11667</v>
      </c>
      <c r="E99" s="120">
        <v>0</v>
      </c>
      <c r="F99" s="117">
        <v>0</v>
      </c>
      <c r="G99" s="120">
        <v>0</v>
      </c>
      <c r="H99" s="117">
        <v>0</v>
      </c>
      <c r="I99" s="120">
        <v>0</v>
      </c>
      <c r="J99" s="117">
        <v>0</v>
      </c>
      <c r="K99" s="120">
        <v>0</v>
      </c>
      <c r="L99" s="117">
        <v>0</v>
      </c>
      <c r="M99" s="120">
        <v>0</v>
      </c>
      <c r="N99" s="117">
        <v>2235</v>
      </c>
      <c r="O99" s="120">
        <v>3005</v>
      </c>
      <c r="P99" s="117">
        <v>3898</v>
      </c>
      <c r="Q99" s="120">
        <v>2529</v>
      </c>
      <c r="R99" s="117">
        <v>0</v>
      </c>
      <c r="S99" s="120">
        <v>0</v>
      </c>
      <c r="T99" s="117">
        <v>0</v>
      </c>
      <c r="U99" s="119">
        <v>0</v>
      </c>
      <c r="V99" t="str">
        <f>VLOOKUP(A99,Projetos_Ciclo!$H$3:$H$124,1,FALSE)</f>
        <v>NA</v>
      </c>
    </row>
    <row r="100" spans="1:22" x14ac:dyDescent="0.25">
      <c r="A100" s="111" t="s">
        <v>1507</v>
      </c>
      <c r="B100" s="112" t="s">
        <v>1527</v>
      </c>
      <c r="C100" s="112" t="s">
        <v>1528</v>
      </c>
      <c r="D100" s="113">
        <v>0</v>
      </c>
      <c r="E100" s="114">
        <v>0</v>
      </c>
      <c r="F100" s="113">
        <v>0</v>
      </c>
      <c r="G100" s="114">
        <v>230</v>
      </c>
      <c r="H100" s="113">
        <v>0</v>
      </c>
      <c r="I100" s="114">
        <v>0</v>
      </c>
      <c r="J100" s="113">
        <v>0</v>
      </c>
      <c r="K100" s="114">
        <v>0</v>
      </c>
      <c r="L100" s="113">
        <v>3.4000000953674316</v>
      </c>
      <c r="M100" s="114">
        <v>3.4000000953674316</v>
      </c>
      <c r="N100" s="113">
        <v>0</v>
      </c>
      <c r="O100" s="114">
        <v>0</v>
      </c>
      <c r="P100" s="113">
        <v>0</v>
      </c>
      <c r="Q100" s="114">
        <v>0</v>
      </c>
      <c r="R100" s="113">
        <v>0</v>
      </c>
      <c r="S100" s="114">
        <v>0</v>
      </c>
      <c r="T100" s="113">
        <v>0</v>
      </c>
      <c r="U100" s="115">
        <v>0</v>
      </c>
      <c r="V100" t="str">
        <f>VLOOKUP(A100,Projetos_Ciclo!$H$3:$H$124,1,FALSE)</f>
        <v>RH00218</v>
      </c>
    </row>
    <row r="101" spans="1:22" x14ac:dyDescent="0.25">
      <c r="A101" s="14" t="s">
        <v>1138</v>
      </c>
      <c r="B101" s="116" t="s">
        <v>1139</v>
      </c>
      <c r="C101" s="116" t="s">
        <v>57</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c r="V101" t="e">
        <f>VLOOKUP(A101,Projetos_Ciclo!$H$3:$H$124,1,FALSE)</f>
        <v>#N/A</v>
      </c>
    </row>
    <row r="102" spans="1:22" x14ac:dyDescent="0.25">
      <c r="A102" s="111" t="s">
        <v>1133</v>
      </c>
      <c r="B102" s="112" t="s">
        <v>1134</v>
      </c>
      <c r="C102" s="112" t="s">
        <v>57</v>
      </c>
      <c r="D102" s="113">
        <v>0</v>
      </c>
      <c r="E102" s="114">
        <v>0</v>
      </c>
      <c r="F102" s="113">
        <v>0</v>
      </c>
      <c r="G102" s="114">
        <v>0</v>
      </c>
      <c r="H102" s="113">
        <v>0</v>
      </c>
      <c r="I102" s="114">
        <v>0</v>
      </c>
      <c r="J102" s="113">
        <v>0</v>
      </c>
      <c r="K102" s="114">
        <v>0</v>
      </c>
      <c r="L102" s="113">
        <v>0</v>
      </c>
      <c r="M102" s="114">
        <v>0</v>
      </c>
      <c r="N102" s="113">
        <v>0</v>
      </c>
      <c r="O102" s="114">
        <v>0</v>
      </c>
      <c r="P102" s="113">
        <v>0</v>
      </c>
      <c r="Q102" s="114">
        <v>0</v>
      </c>
      <c r="R102" s="113">
        <v>0</v>
      </c>
      <c r="S102" s="114">
        <v>0</v>
      </c>
      <c r="T102" s="113">
        <v>0</v>
      </c>
      <c r="U102" s="115">
        <v>0</v>
      </c>
      <c r="V102" t="e">
        <f>VLOOKUP(A102,Projetos_Ciclo!$H$3:$H$124,1,FALSE)</f>
        <v>#N/A</v>
      </c>
    </row>
    <row r="103" spans="1:22" x14ac:dyDescent="0.25">
      <c r="A103" s="14" t="s">
        <v>1236</v>
      </c>
      <c r="B103" s="116" t="s">
        <v>1237</v>
      </c>
      <c r="C103" s="116" t="s">
        <v>1238</v>
      </c>
      <c r="D103" s="117">
        <v>0</v>
      </c>
      <c r="E103" s="120">
        <v>0</v>
      </c>
      <c r="F103" s="117">
        <v>0</v>
      </c>
      <c r="G103" s="120">
        <v>0</v>
      </c>
      <c r="H103" s="117">
        <v>0</v>
      </c>
      <c r="I103" s="120">
        <v>0</v>
      </c>
      <c r="J103" s="117">
        <v>0</v>
      </c>
      <c r="K103" s="120">
        <v>0</v>
      </c>
      <c r="L103" s="117">
        <v>0</v>
      </c>
      <c r="M103" s="120">
        <v>0</v>
      </c>
      <c r="N103" s="117">
        <v>0</v>
      </c>
      <c r="O103" s="120">
        <v>0</v>
      </c>
      <c r="P103" s="117">
        <v>0</v>
      </c>
      <c r="Q103" s="120">
        <v>0</v>
      </c>
      <c r="R103" s="117">
        <v>0</v>
      </c>
      <c r="S103" s="120">
        <v>0</v>
      </c>
      <c r="T103" s="117">
        <v>0</v>
      </c>
      <c r="U103" s="119">
        <v>0</v>
      </c>
      <c r="V103" t="e">
        <f>VLOOKUP(A103,Projetos_Ciclo!$H$3:$H$124,1,FALSE)</f>
        <v>#N/A</v>
      </c>
    </row>
    <row r="104" spans="1:22" x14ac:dyDescent="0.25">
      <c r="A104" s="111" t="s">
        <v>1096</v>
      </c>
      <c r="B104" s="112" t="s">
        <v>1239</v>
      </c>
      <c r="C104" s="112" t="s">
        <v>1097</v>
      </c>
      <c r="D104" s="113">
        <v>0</v>
      </c>
      <c r="E104" s="114">
        <v>0</v>
      </c>
      <c r="F104" s="113">
        <v>0</v>
      </c>
      <c r="G104" s="114">
        <v>56</v>
      </c>
      <c r="H104" s="113">
        <v>0</v>
      </c>
      <c r="I104" s="114">
        <v>54.296999216079712</v>
      </c>
      <c r="J104" s="113">
        <v>0</v>
      </c>
      <c r="K104" s="114">
        <v>54.296999216079712</v>
      </c>
      <c r="L104" s="113">
        <v>0</v>
      </c>
      <c r="M104" s="114">
        <v>54.296999216079712</v>
      </c>
      <c r="N104" s="113">
        <v>0</v>
      </c>
      <c r="O104" s="114">
        <v>0</v>
      </c>
      <c r="P104" s="113">
        <v>0</v>
      </c>
      <c r="Q104" s="114">
        <v>0</v>
      </c>
      <c r="R104" s="113">
        <v>0</v>
      </c>
      <c r="S104" s="114">
        <v>0</v>
      </c>
      <c r="T104" s="113">
        <v>0</v>
      </c>
      <c r="U104" s="115">
        <v>0</v>
      </c>
      <c r="V104" t="str">
        <f>VLOOKUP(A104,Projetos_Ciclo!$H$3:$H$124,1,FALSE)</f>
        <v>CD00215</v>
      </c>
    </row>
    <row r="105" spans="1:22" x14ac:dyDescent="0.25">
      <c r="A105" s="14" t="s">
        <v>1135</v>
      </c>
      <c r="B105" s="116" t="s">
        <v>1136</v>
      </c>
      <c r="C105" s="116" t="s">
        <v>57</v>
      </c>
      <c r="D105" s="117">
        <v>0</v>
      </c>
      <c r="E105" s="120">
        <v>0</v>
      </c>
      <c r="F105" s="117">
        <v>0</v>
      </c>
      <c r="G105" s="120">
        <v>0</v>
      </c>
      <c r="H105" s="117">
        <v>0</v>
      </c>
      <c r="I105" s="120">
        <v>0</v>
      </c>
      <c r="J105" s="117">
        <v>0</v>
      </c>
      <c r="K105" s="120">
        <v>0</v>
      </c>
      <c r="L105" s="117">
        <v>0</v>
      </c>
      <c r="M105" s="120">
        <v>0</v>
      </c>
      <c r="N105" s="117">
        <v>0</v>
      </c>
      <c r="O105" s="120">
        <v>0</v>
      </c>
      <c r="P105" s="117">
        <v>0</v>
      </c>
      <c r="Q105" s="120">
        <v>0</v>
      </c>
      <c r="R105" s="117">
        <v>0</v>
      </c>
      <c r="S105" s="120">
        <v>0</v>
      </c>
      <c r="T105" s="117">
        <v>0</v>
      </c>
      <c r="U105" s="119">
        <v>0</v>
      </c>
      <c r="V105" t="e">
        <f>VLOOKUP(A105,Projetos_Ciclo!$H$3:$H$124,1,FALSE)</f>
        <v>#N/A</v>
      </c>
    </row>
    <row r="106" spans="1:22" x14ac:dyDescent="0.25">
      <c r="A106" s="111" t="s">
        <v>1100</v>
      </c>
      <c r="B106" s="112" t="s">
        <v>1240</v>
      </c>
      <c r="C106" s="112" t="s">
        <v>1241</v>
      </c>
      <c r="D106" s="113">
        <v>0</v>
      </c>
      <c r="E106" s="114">
        <v>0</v>
      </c>
      <c r="F106" s="113">
        <v>0</v>
      </c>
      <c r="G106" s="114">
        <v>9</v>
      </c>
      <c r="H106" s="113">
        <v>0</v>
      </c>
      <c r="I106" s="114">
        <v>1.7749999761581421</v>
      </c>
      <c r="J106" s="113">
        <v>0</v>
      </c>
      <c r="K106" s="114">
        <v>1.7749999761581421</v>
      </c>
      <c r="L106" s="113">
        <v>0</v>
      </c>
      <c r="M106" s="114">
        <v>1.7749999761581421</v>
      </c>
      <c r="N106" s="113">
        <v>0</v>
      </c>
      <c r="O106" s="114">
        <v>0</v>
      </c>
      <c r="P106" s="113">
        <v>0</v>
      </c>
      <c r="Q106" s="114">
        <v>0</v>
      </c>
      <c r="R106" s="113">
        <v>0</v>
      </c>
      <c r="S106" s="114">
        <v>0</v>
      </c>
      <c r="T106" s="113">
        <v>0</v>
      </c>
      <c r="U106" s="115">
        <v>0</v>
      </c>
      <c r="V106" t="str">
        <f>VLOOKUP(A106,Projetos_Ciclo!$H$3:$H$124,1,FALSE)</f>
        <v>GE00214</v>
      </c>
    </row>
    <row r="107" spans="1:22" x14ac:dyDescent="0.25">
      <c r="A107" s="14" t="s">
        <v>1242</v>
      </c>
      <c r="B107" s="116" t="s">
        <v>1243</v>
      </c>
      <c r="C107" s="116" t="s">
        <v>1456</v>
      </c>
      <c r="D107" s="117">
        <v>8474</v>
      </c>
      <c r="E107" s="120">
        <v>0</v>
      </c>
      <c r="F107" s="117">
        <v>6259</v>
      </c>
      <c r="G107" s="120">
        <v>0</v>
      </c>
      <c r="H107" s="117">
        <v>56</v>
      </c>
      <c r="I107" s="120">
        <v>0</v>
      </c>
      <c r="J107" s="117">
        <v>0</v>
      </c>
      <c r="K107" s="120">
        <v>0</v>
      </c>
      <c r="L107" s="117">
        <v>0</v>
      </c>
      <c r="M107" s="120">
        <v>0</v>
      </c>
      <c r="N107" s="117">
        <v>841</v>
      </c>
      <c r="O107" s="120">
        <v>1374</v>
      </c>
      <c r="P107" s="117">
        <v>0</v>
      </c>
      <c r="Q107" s="120">
        <v>0</v>
      </c>
      <c r="R107" s="117">
        <v>0</v>
      </c>
      <c r="S107" s="120">
        <v>0</v>
      </c>
      <c r="T107" s="117">
        <v>0</v>
      </c>
      <c r="U107" s="119">
        <v>0</v>
      </c>
      <c r="V107" t="e">
        <f>VLOOKUP(A107,Projetos_Ciclo!$H$3:$H$124,1,FALSE)</f>
        <v>#N/A</v>
      </c>
    </row>
    <row r="108" spans="1:22" x14ac:dyDescent="0.25">
      <c r="A108" s="111" t="s">
        <v>1545</v>
      </c>
      <c r="B108" s="112" t="s">
        <v>58</v>
      </c>
      <c r="C108" s="112" t="s">
        <v>1546</v>
      </c>
      <c r="D108" s="113">
        <v>0</v>
      </c>
      <c r="E108" s="114">
        <v>0</v>
      </c>
      <c r="F108" s="113">
        <v>0</v>
      </c>
      <c r="G108" s="114">
        <v>479</v>
      </c>
      <c r="H108" s="113">
        <v>0</v>
      </c>
      <c r="I108" s="114">
        <v>0</v>
      </c>
      <c r="J108" s="113">
        <v>0</v>
      </c>
      <c r="K108" s="114">
        <v>0</v>
      </c>
      <c r="L108" s="113">
        <v>48.087001800537109</v>
      </c>
      <c r="M108" s="114">
        <v>48.087001800537109</v>
      </c>
      <c r="N108" s="113">
        <v>0</v>
      </c>
      <c r="O108" s="114">
        <v>0</v>
      </c>
      <c r="P108" s="113">
        <v>0</v>
      </c>
      <c r="Q108" s="114">
        <v>0</v>
      </c>
      <c r="R108" s="113">
        <v>0</v>
      </c>
      <c r="S108" s="114">
        <v>0</v>
      </c>
      <c r="T108" s="113">
        <v>0</v>
      </c>
      <c r="U108" s="115">
        <v>0</v>
      </c>
      <c r="V108" t="str">
        <f>VLOOKUP(A108,Projetos_Ciclo!$H$3:$H$124,1,FALSE)</f>
        <v>GE01018</v>
      </c>
    </row>
    <row r="109" spans="1:22" x14ac:dyDescent="0.25">
      <c r="A109" s="14" t="s">
        <v>520</v>
      </c>
      <c r="B109" s="116" t="s">
        <v>1137</v>
      </c>
      <c r="C109" s="116" t="s">
        <v>57</v>
      </c>
      <c r="D109" s="117">
        <v>31977</v>
      </c>
      <c r="E109" s="120">
        <v>0</v>
      </c>
      <c r="F109" s="117">
        <v>0</v>
      </c>
      <c r="G109" s="120">
        <v>0</v>
      </c>
      <c r="H109" s="117">
        <v>0</v>
      </c>
      <c r="I109" s="120">
        <v>0</v>
      </c>
      <c r="J109" s="117">
        <v>0</v>
      </c>
      <c r="K109" s="120">
        <v>0</v>
      </c>
      <c r="L109" s="117">
        <v>0</v>
      </c>
      <c r="M109" s="120">
        <v>0</v>
      </c>
      <c r="N109" s="117">
        <v>7862</v>
      </c>
      <c r="O109" s="120">
        <v>8462</v>
      </c>
      <c r="P109" s="117">
        <v>9596</v>
      </c>
      <c r="Q109" s="120">
        <v>6057</v>
      </c>
      <c r="R109" s="117">
        <v>0</v>
      </c>
      <c r="S109" s="120">
        <v>0</v>
      </c>
      <c r="T109" s="117">
        <v>0</v>
      </c>
      <c r="U109" s="119">
        <v>0</v>
      </c>
      <c r="V109" t="str">
        <f>VLOOKUP(A109,Projetos_Ciclo!$H$3:$H$124,1,FALSE)</f>
        <v>NA</v>
      </c>
    </row>
    <row r="110" spans="1:22" x14ac:dyDescent="0.25">
      <c r="A110" s="111" t="s">
        <v>1457</v>
      </c>
      <c r="B110" s="112" t="s">
        <v>1458</v>
      </c>
      <c r="C110" s="112" t="s">
        <v>1459</v>
      </c>
      <c r="D110" s="113">
        <v>0</v>
      </c>
      <c r="E110" s="114">
        <v>0</v>
      </c>
      <c r="F110" s="113">
        <v>0</v>
      </c>
      <c r="G110" s="114">
        <v>513</v>
      </c>
      <c r="H110" s="113">
        <v>0</v>
      </c>
      <c r="I110" s="114">
        <v>0</v>
      </c>
      <c r="J110" s="113">
        <v>0</v>
      </c>
      <c r="K110" s="114">
        <v>0</v>
      </c>
      <c r="L110" s="113">
        <v>0</v>
      </c>
      <c r="M110" s="114">
        <v>0</v>
      </c>
      <c r="N110" s="113">
        <v>0</v>
      </c>
      <c r="O110" s="114">
        <v>0</v>
      </c>
      <c r="P110" s="113">
        <v>0</v>
      </c>
      <c r="Q110" s="114">
        <v>0</v>
      </c>
      <c r="R110" s="113">
        <v>0</v>
      </c>
      <c r="S110" s="114">
        <v>0</v>
      </c>
      <c r="T110" s="113">
        <v>0</v>
      </c>
      <c r="U110" s="115">
        <v>0</v>
      </c>
      <c r="V110" t="str">
        <f>VLOOKUP(A110,Projetos_Ciclo!$H$3:$H$124,1,FALSE)</f>
        <v>RH00118</v>
      </c>
    </row>
    <row r="111" spans="1:22" x14ac:dyDescent="0.25">
      <c r="A111" s="14" t="s">
        <v>1093</v>
      </c>
      <c r="B111" s="116" t="s">
        <v>443</v>
      </c>
      <c r="C111" s="116" t="s">
        <v>1245</v>
      </c>
      <c r="D111" s="117">
        <v>0</v>
      </c>
      <c r="E111" s="120">
        <v>0</v>
      </c>
      <c r="F111" s="117">
        <v>0</v>
      </c>
      <c r="G111" s="120">
        <v>250</v>
      </c>
      <c r="H111" s="117">
        <v>0</v>
      </c>
      <c r="I111" s="120">
        <v>0</v>
      </c>
      <c r="J111" s="117">
        <v>0</v>
      </c>
      <c r="K111" s="120">
        <v>0</v>
      </c>
      <c r="L111" s="117">
        <v>51.18402099609375</v>
      </c>
      <c r="M111" s="120">
        <v>51.18402099609375</v>
      </c>
      <c r="N111" s="117">
        <v>0</v>
      </c>
      <c r="O111" s="120">
        <v>0</v>
      </c>
      <c r="P111" s="117">
        <v>0</v>
      </c>
      <c r="Q111" s="120">
        <v>0</v>
      </c>
      <c r="R111" s="117">
        <v>0</v>
      </c>
      <c r="S111" s="120">
        <v>0</v>
      </c>
      <c r="T111" s="117">
        <v>0</v>
      </c>
      <c r="U111" s="119">
        <v>0</v>
      </c>
      <c r="V111" t="str">
        <f>VLOOKUP(A111,Projetos_Ciclo!$H$3:$H$124,1,FALSE)</f>
        <v>SC00117</v>
      </c>
    </row>
    <row r="112" spans="1:22" x14ac:dyDescent="0.25">
      <c r="A112" s="111" t="s">
        <v>1092</v>
      </c>
      <c r="B112" s="112" t="s">
        <v>1522</v>
      </c>
      <c r="C112" s="112" t="s">
        <v>1425</v>
      </c>
      <c r="D112" s="113">
        <v>0</v>
      </c>
      <c r="E112" s="114">
        <v>0</v>
      </c>
      <c r="F112" s="113">
        <v>0</v>
      </c>
      <c r="G112" s="114">
        <v>30</v>
      </c>
      <c r="H112" s="113">
        <v>0</v>
      </c>
      <c r="I112" s="114">
        <v>0</v>
      </c>
      <c r="J112" s="113">
        <v>0</v>
      </c>
      <c r="K112" s="114">
        <v>0</v>
      </c>
      <c r="L112" s="113">
        <v>0</v>
      </c>
      <c r="M112" s="114">
        <v>0</v>
      </c>
      <c r="N112" s="113">
        <v>0</v>
      </c>
      <c r="O112" s="114">
        <v>0</v>
      </c>
      <c r="P112" s="113">
        <v>0</v>
      </c>
      <c r="Q112" s="114">
        <v>0</v>
      </c>
      <c r="R112" s="113">
        <v>0</v>
      </c>
      <c r="S112" s="114">
        <v>0</v>
      </c>
      <c r="T112" s="113">
        <v>0</v>
      </c>
      <c r="U112" s="115">
        <v>0</v>
      </c>
      <c r="V112" t="str">
        <f>VLOOKUP(A112,Projetos_Ciclo!$H$3:$H$124,1,FALSE)</f>
        <v>SC00118</v>
      </c>
    </row>
    <row r="113" spans="1:22" x14ac:dyDescent="0.25">
      <c r="A113" s="14" t="s">
        <v>1472</v>
      </c>
      <c r="B113" s="116" t="s">
        <v>1523</v>
      </c>
      <c r="C113" s="116" t="s">
        <v>1473</v>
      </c>
      <c r="D113" s="117">
        <v>0</v>
      </c>
      <c r="E113" s="120">
        <v>0</v>
      </c>
      <c r="F113" s="117">
        <v>0</v>
      </c>
      <c r="G113" s="120">
        <v>153</v>
      </c>
      <c r="H113" s="117">
        <v>0</v>
      </c>
      <c r="I113" s="120">
        <v>0</v>
      </c>
      <c r="J113" s="117">
        <v>0</v>
      </c>
      <c r="K113" s="120">
        <v>0</v>
      </c>
      <c r="L113" s="117">
        <v>89.426961898803711</v>
      </c>
      <c r="M113" s="120">
        <v>89.426961898803711</v>
      </c>
      <c r="N113" s="117">
        <v>0</v>
      </c>
      <c r="O113" s="120">
        <v>0</v>
      </c>
      <c r="P113" s="117">
        <v>0</v>
      </c>
      <c r="Q113" s="120">
        <v>0</v>
      </c>
      <c r="R113" s="117">
        <v>0</v>
      </c>
      <c r="S113" s="120">
        <v>0</v>
      </c>
      <c r="T113" s="117">
        <v>0</v>
      </c>
      <c r="U113" s="119">
        <v>0</v>
      </c>
      <c r="V113" t="str">
        <f>VLOOKUP(A113,Projetos_Ciclo!$H$3:$H$124,1,FALSE)</f>
        <v>SC00418</v>
      </c>
    </row>
    <row r="114" spans="1:22" x14ac:dyDescent="0.25">
      <c r="A114" s="111" t="s">
        <v>1551</v>
      </c>
      <c r="B114" s="112" t="s">
        <v>1570</v>
      </c>
      <c r="C114" s="112" t="s">
        <v>1552</v>
      </c>
      <c r="D114" s="113">
        <v>0</v>
      </c>
      <c r="E114" s="114">
        <v>0</v>
      </c>
      <c r="F114" s="113">
        <v>0</v>
      </c>
      <c r="G114" s="114">
        <v>23</v>
      </c>
      <c r="H114" s="113">
        <v>0</v>
      </c>
      <c r="I114" s="114">
        <v>0</v>
      </c>
      <c r="J114" s="113">
        <v>0</v>
      </c>
      <c r="K114" s="114">
        <v>0</v>
      </c>
      <c r="L114" s="113">
        <v>0</v>
      </c>
      <c r="M114" s="114">
        <v>0</v>
      </c>
      <c r="N114" s="113">
        <v>0</v>
      </c>
      <c r="O114" s="114">
        <v>0</v>
      </c>
      <c r="P114" s="113">
        <v>0</v>
      </c>
      <c r="Q114" s="114">
        <v>0</v>
      </c>
      <c r="R114" s="113">
        <v>0</v>
      </c>
      <c r="S114" s="114">
        <v>0</v>
      </c>
      <c r="T114" s="113">
        <v>0</v>
      </c>
      <c r="U114" s="115">
        <v>0</v>
      </c>
      <c r="V114" t="str">
        <f>VLOOKUP(A114,Projetos_Ciclo!$H$3:$H$124,1,FALSE)</f>
        <v>SC00518</v>
      </c>
    </row>
    <row r="115" spans="1:22" x14ac:dyDescent="0.25">
      <c r="A115" s="14" t="s">
        <v>1582</v>
      </c>
      <c r="B115" s="116" t="s">
        <v>1584</v>
      </c>
      <c r="C115" s="116" t="s">
        <v>1583</v>
      </c>
      <c r="D115" s="117">
        <v>0</v>
      </c>
      <c r="E115" s="120">
        <v>0</v>
      </c>
      <c r="F115" s="117">
        <v>0</v>
      </c>
      <c r="G115" s="120">
        <v>0</v>
      </c>
      <c r="H115" s="117">
        <v>0</v>
      </c>
      <c r="I115" s="120">
        <v>0</v>
      </c>
      <c r="J115" s="117">
        <v>0</v>
      </c>
      <c r="K115" s="120">
        <v>0</v>
      </c>
      <c r="L115" s="117">
        <v>0</v>
      </c>
      <c r="M115" s="120">
        <v>0</v>
      </c>
      <c r="N115" s="117">
        <v>0</v>
      </c>
      <c r="O115" s="120">
        <v>0</v>
      </c>
      <c r="P115" s="117">
        <v>0</v>
      </c>
      <c r="Q115" s="120">
        <v>0</v>
      </c>
      <c r="R115" s="117">
        <v>0</v>
      </c>
      <c r="S115" s="120">
        <v>0</v>
      </c>
      <c r="T115" s="117">
        <v>0</v>
      </c>
      <c r="U115" s="119">
        <v>0</v>
      </c>
      <c r="V115" t="str">
        <f>VLOOKUP(A115,Projetos_Ciclo!$H$3:$H$124,1,FALSE)</f>
        <v>SC00718</v>
      </c>
    </row>
    <row r="116" spans="1:22" x14ac:dyDescent="0.25">
      <c r="A116" s="111" t="s">
        <v>1138</v>
      </c>
      <c r="B116" s="112" t="s">
        <v>1139</v>
      </c>
      <c r="C116" s="112" t="s">
        <v>57</v>
      </c>
      <c r="D116" s="113">
        <v>0.5</v>
      </c>
      <c r="E116" s="114">
        <v>0</v>
      </c>
      <c r="F116" s="113">
        <v>0</v>
      </c>
      <c r="G116" s="114">
        <v>0</v>
      </c>
      <c r="H116" s="113">
        <v>0</v>
      </c>
      <c r="I116" s="114">
        <v>0</v>
      </c>
      <c r="J116" s="113">
        <v>0</v>
      </c>
      <c r="K116" s="114">
        <v>0</v>
      </c>
      <c r="L116" s="113">
        <v>0</v>
      </c>
      <c r="M116" s="114">
        <v>0</v>
      </c>
      <c r="N116" s="113">
        <v>0</v>
      </c>
      <c r="O116" s="114">
        <v>0</v>
      </c>
      <c r="P116" s="113">
        <v>0</v>
      </c>
      <c r="Q116" s="114">
        <v>0</v>
      </c>
      <c r="R116" s="113">
        <v>0</v>
      </c>
      <c r="S116" s="114">
        <v>0</v>
      </c>
      <c r="T116" s="113">
        <v>0</v>
      </c>
      <c r="U116" s="115">
        <v>0</v>
      </c>
      <c r="V116" t="e">
        <f>VLOOKUP(A116,Projetos_Ciclo!$H$3:$H$124,1,FALSE)</f>
        <v>#N/A</v>
      </c>
    </row>
    <row r="117" spans="1:22" x14ac:dyDescent="0.25">
      <c r="A117" s="14" t="s">
        <v>1476</v>
      </c>
      <c r="B117" s="116" t="s">
        <v>1486</v>
      </c>
      <c r="C117" s="116" t="s">
        <v>1477</v>
      </c>
      <c r="D117" s="117">
        <v>0</v>
      </c>
      <c r="E117" s="120">
        <v>0</v>
      </c>
      <c r="F117" s="117">
        <v>0</v>
      </c>
      <c r="G117" s="120">
        <v>20</v>
      </c>
      <c r="H117" s="117">
        <v>0</v>
      </c>
      <c r="I117" s="120">
        <v>0</v>
      </c>
      <c r="J117" s="117">
        <v>0</v>
      </c>
      <c r="K117" s="120">
        <v>0</v>
      </c>
      <c r="L117" s="117">
        <v>10.010999917984009</v>
      </c>
      <c r="M117" s="120">
        <v>10.010999917984009</v>
      </c>
      <c r="N117" s="117">
        <v>0</v>
      </c>
      <c r="O117" s="120">
        <v>0</v>
      </c>
      <c r="P117" s="117">
        <v>0</v>
      </c>
      <c r="Q117" s="120">
        <v>0</v>
      </c>
      <c r="R117" s="117">
        <v>0</v>
      </c>
      <c r="S117" s="120">
        <v>0</v>
      </c>
      <c r="T117" s="117">
        <v>0</v>
      </c>
      <c r="U117" s="119">
        <v>0</v>
      </c>
      <c r="V117" t="e">
        <f>VLOOKUP(A117,Projetos_Ciclo!$H$3:$H$124,1,FALSE)</f>
        <v>#N/A</v>
      </c>
    </row>
    <row r="118" spans="1:22" x14ac:dyDescent="0.25">
      <c r="A118" s="111" t="s">
        <v>1133</v>
      </c>
      <c r="B118" s="112" t="s">
        <v>1246</v>
      </c>
      <c r="C118" s="112" t="s">
        <v>57</v>
      </c>
      <c r="D118" s="113">
        <v>0</v>
      </c>
      <c r="E118" s="114">
        <v>0</v>
      </c>
      <c r="F118" s="113">
        <v>0</v>
      </c>
      <c r="G118" s="114">
        <v>0</v>
      </c>
      <c r="H118" s="113">
        <v>0</v>
      </c>
      <c r="I118" s="114">
        <v>0</v>
      </c>
      <c r="J118" s="113">
        <v>0</v>
      </c>
      <c r="K118" s="114">
        <v>0</v>
      </c>
      <c r="L118" s="113">
        <v>0</v>
      </c>
      <c r="M118" s="114">
        <v>0</v>
      </c>
      <c r="N118" s="113">
        <v>0</v>
      </c>
      <c r="O118" s="114">
        <v>0</v>
      </c>
      <c r="P118" s="113">
        <v>0</v>
      </c>
      <c r="Q118" s="114">
        <v>0</v>
      </c>
      <c r="R118" s="113">
        <v>0</v>
      </c>
      <c r="S118" s="114">
        <v>0</v>
      </c>
      <c r="T118" s="113">
        <v>0</v>
      </c>
      <c r="U118" s="115">
        <v>0</v>
      </c>
      <c r="V118" t="e">
        <f>VLOOKUP(A118,Projetos_Ciclo!$H$3:$H$124,1,FALSE)</f>
        <v>#N/A</v>
      </c>
    </row>
    <row r="119" spans="1:22" x14ac:dyDescent="0.25">
      <c r="A119" s="14" t="s">
        <v>1135</v>
      </c>
      <c r="B119" s="116" t="s">
        <v>1136</v>
      </c>
      <c r="C119" s="116" t="s">
        <v>57</v>
      </c>
      <c r="D119" s="117">
        <v>0</v>
      </c>
      <c r="E119" s="120">
        <v>0</v>
      </c>
      <c r="F119" s="117">
        <v>0</v>
      </c>
      <c r="G119" s="120">
        <v>0</v>
      </c>
      <c r="H119" s="117">
        <v>0</v>
      </c>
      <c r="I119" s="120">
        <v>0</v>
      </c>
      <c r="J119" s="117">
        <v>0</v>
      </c>
      <c r="K119" s="120">
        <v>0</v>
      </c>
      <c r="L119" s="117">
        <v>0</v>
      </c>
      <c r="M119" s="120">
        <v>0</v>
      </c>
      <c r="N119" s="117">
        <v>0</v>
      </c>
      <c r="O119" s="120">
        <v>0</v>
      </c>
      <c r="P119" s="117">
        <v>0</v>
      </c>
      <c r="Q119" s="120">
        <v>0</v>
      </c>
      <c r="R119" s="117">
        <v>0</v>
      </c>
      <c r="S119" s="120">
        <v>0</v>
      </c>
      <c r="T119" s="117">
        <v>0</v>
      </c>
      <c r="U119" s="119">
        <v>0</v>
      </c>
      <c r="V119" t="e">
        <f>VLOOKUP(A119,Projetos_Ciclo!$H$3:$H$124,1,FALSE)</f>
        <v>#N/A</v>
      </c>
    </row>
    <row r="120" spans="1:22" x14ac:dyDescent="0.25">
      <c r="A120" s="111" t="s">
        <v>520</v>
      </c>
      <c r="B120" s="112" t="s">
        <v>1137</v>
      </c>
      <c r="C120" s="112" t="s">
        <v>57</v>
      </c>
      <c r="D120" s="113">
        <v>0</v>
      </c>
      <c r="E120" s="114">
        <v>0</v>
      </c>
      <c r="F120" s="113">
        <v>0</v>
      </c>
      <c r="G120" s="114">
        <v>0</v>
      </c>
      <c r="H120" s="113">
        <v>0</v>
      </c>
      <c r="I120" s="114">
        <v>0</v>
      </c>
      <c r="J120" s="113">
        <v>0</v>
      </c>
      <c r="K120" s="114">
        <v>0</v>
      </c>
      <c r="L120" s="113">
        <v>0</v>
      </c>
      <c r="M120" s="114">
        <v>0</v>
      </c>
      <c r="N120" s="113">
        <v>0</v>
      </c>
      <c r="O120" s="114">
        <v>0</v>
      </c>
      <c r="P120" s="113">
        <v>0</v>
      </c>
      <c r="Q120" s="114">
        <v>0</v>
      </c>
      <c r="R120" s="113">
        <v>0</v>
      </c>
      <c r="S120" s="114">
        <v>0</v>
      </c>
      <c r="T120" s="113">
        <v>0</v>
      </c>
      <c r="U120" s="115">
        <v>0</v>
      </c>
      <c r="V120" t="str">
        <f>VLOOKUP(A120,Projetos_Ciclo!$H$3:$H$124,1,FALSE)</f>
        <v>NA</v>
      </c>
    </row>
    <row r="121" spans="1:22" x14ac:dyDescent="0.25">
      <c r="A121" s="14" t="s">
        <v>1138</v>
      </c>
      <c r="B121" s="116" t="s">
        <v>1139</v>
      </c>
      <c r="C121" s="116" t="s">
        <v>57</v>
      </c>
      <c r="D121" s="117">
        <v>-1</v>
      </c>
      <c r="E121" s="120">
        <v>0</v>
      </c>
      <c r="F121" s="117">
        <v>0</v>
      </c>
      <c r="G121" s="120">
        <v>0</v>
      </c>
      <c r="H121" s="117">
        <v>0</v>
      </c>
      <c r="I121" s="120">
        <v>0</v>
      </c>
      <c r="J121" s="117">
        <v>0</v>
      </c>
      <c r="K121" s="120">
        <v>0</v>
      </c>
      <c r="L121" s="117">
        <v>0</v>
      </c>
      <c r="M121" s="120">
        <v>0</v>
      </c>
      <c r="N121" s="117">
        <v>0</v>
      </c>
      <c r="O121" s="120">
        <v>0</v>
      </c>
      <c r="P121" s="117">
        <v>0</v>
      </c>
      <c r="Q121" s="120">
        <v>0</v>
      </c>
      <c r="R121" s="117">
        <v>0</v>
      </c>
      <c r="S121" s="120">
        <v>0</v>
      </c>
      <c r="T121" s="117">
        <v>0</v>
      </c>
      <c r="U121" s="119">
        <v>0</v>
      </c>
      <c r="V121" t="e">
        <f>VLOOKUP(A121,Projetos_Ciclo!$H$3:$H$124,1,FALSE)</f>
        <v>#N/A</v>
      </c>
    </row>
    <row r="122" spans="1:22" x14ac:dyDescent="0.25">
      <c r="A122" s="111" t="s">
        <v>1247</v>
      </c>
      <c r="B122" s="112" t="s">
        <v>1248</v>
      </c>
      <c r="C122" s="112" t="s">
        <v>1249</v>
      </c>
      <c r="D122" s="113">
        <v>34563</v>
      </c>
      <c r="E122" s="114">
        <v>0</v>
      </c>
      <c r="F122" s="113">
        <v>4112</v>
      </c>
      <c r="G122" s="114">
        <v>0</v>
      </c>
      <c r="H122" s="113">
        <v>0</v>
      </c>
      <c r="I122" s="114">
        <v>0</v>
      </c>
      <c r="J122" s="113">
        <v>0</v>
      </c>
      <c r="K122" s="114">
        <v>0</v>
      </c>
      <c r="L122" s="113">
        <v>0</v>
      </c>
      <c r="M122" s="114">
        <v>0</v>
      </c>
      <c r="N122" s="113">
        <v>5203</v>
      </c>
      <c r="O122" s="114">
        <v>8313</v>
      </c>
      <c r="P122" s="113">
        <v>9847</v>
      </c>
      <c r="Q122" s="114">
        <v>7088</v>
      </c>
      <c r="R122" s="113">
        <v>0</v>
      </c>
      <c r="S122" s="114">
        <v>0</v>
      </c>
      <c r="T122" s="113">
        <v>0</v>
      </c>
      <c r="U122" s="115">
        <v>0</v>
      </c>
      <c r="V122" t="e">
        <f>VLOOKUP(A122,Projetos_Ciclo!$H$3:$H$124,1,FALSE)</f>
        <v>#N/A</v>
      </c>
    </row>
    <row r="123" spans="1:22" x14ac:dyDescent="0.25">
      <c r="A123" s="14" t="s">
        <v>1131</v>
      </c>
      <c r="B123" s="116" t="s">
        <v>1250</v>
      </c>
      <c r="C123" s="116" t="s">
        <v>1132</v>
      </c>
      <c r="D123" s="117">
        <v>0</v>
      </c>
      <c r="E123" s="120">
        <v>0</v>
      </c>
      <c r="F123" s="117">
        <v>0</v>
      </c>
      <c r="G123" s="120">
        <v>367</v>
      </c>
      <c r="H123" s="117">
        <v>0</v>
      </c>
      <c r="I123" s="120">
        <v>0</v>
      </c>
      <c r="J123" s="117">
        <v>0</v>
      </c>
      <c r="K123" s="120">
        <v>0</v>
      </c>
      <c r="L123" s="117">
        <v>356.9999942779541</v>
      </c>
      <c r="M123" s="120">
        <v>356.9999942779541</v>
      </c>
      <c r="N123" s="117">
        <v>0</v>
      </c>
      <c r="O123" s="120">
        <v>0</v>
      </c>
      <c r="P123" s="117">
        <v>0</v>
      </c>
      <c r="Q123" s="120">
        <v>0</v>
      </c>
      <c r="R123" s="117">
        <v>0</v>
      </c>
      <c r="S123" s="120">
        <v>0</v>
      </c>
      <c r="T123" s="117">
        <v>0</v>
      </c>
      <c r="U123" s="119">
        <v>0</v>
      </c>
      <c r="V123" t="e">
        <f>VLOOKUP(A123,Projetos_Ciclo!$H$3:$H$124,1,FALSE)</f>
        <v>#N/A</v>
      </c>
    </row>
    <row r="124" spans="1:22" x14ac:dyDescent="0.25">
      <c r="A124" s="111" t="s">
        <v>1251</v>
      </c>
      <c r="B124" s="112" t="s">
        <v>1252</v>
      </c>
      <c r="C124" s="112" t="s">
        <v>1253</v>
      </c>
      <c r="D124" s="113">
        <v>0</v>
      </c>
      <c r="E124" s="114">
        <v>0</v>
      </c>
      <c r="F124" s="113">
        <v>0</v>
      </c>
      <c r="G124" s="114">
        <v>108</v>
      </c>
      <c r="H124" s="113">
        <v>0</v>
      </c>
      <c r="I124" s="114">
        <v>0</v>
      </c>
      <c r="J124" s="113">
        <v>0</v>
      </c>
      <c r="K124" s="114">
        <v>0</v>
      </c>
      <c r="L124" s="113">
        <v>22.19502067565918</v>
      </c>
      <c r="M124" s="114">
        <v>22.19502067565918</v>
      </c>
      <c r="N124" s="113">
        <v>0</v>
      </c>
      <c r="O124" s="114">
        <v>0</v>
      </c>
      <c r="P124" s="113">
        <v>0</v>
      </c>
      <c r="Q124" s="114">
        <v>0</v>
      </c>
      <c r="R124" s="113">
        <v>0</v>
      </c>
      <c r="S124" s="114">
        <v>0</v>
      </c>
      <c r="T124" s="113">
        <v>0</v>
      </c>
      <c r="U124" s="115">
        <v>0</v>
      </c>
      <c r="V124" t="e">
        <f>VLOOKUP(A124,Projetos_Ciclo!$H$3:$H$124,1,FALSE)</f>
        <v>#N/A</v>
      </c>
    </row>
    <row r="125" spans="1:22" x14ac:dyDescent="0.25">
      <c r="A125" s="14" t="s">
        <v>1460</v>
      </c>
      <c r="B125" s="116" t="s">
        <v>944</v>
      </c>
      <c r="C125" s="116" t="s">
        <v>1461</v>
      </c>
      <c r="D125" s="117">
        <v>0</v>
      </c>
      <c r="E125" s="120">
        <v>0</v>
      </c>
      <c r="F125" s="117">
        <v>0</v>
      </c>
      <c r="G125" s="120">
        <v>200</v>
      </c>
      <c r="H125" s="117">
        <v>0</v>
      </c>
      <c r="I125" s="120">
        <v>0</v>
      </c>
      <c r="J125" s="117">
        <v>0</v>
      </c>
      <c r="K125" s="120">
        <v>0</v>
      </c>
      <c r="L125" s="117">
        <v>0</v>
      </c>
      <c r="M125" s="120">
        <v>0</v>
      </c>
      <c r="N125" s="117">
        <v>0</v>
      </c>
      <c r="O125" s="120">
        <v>0</v>
      </c>
      <c r="P125" s="117">
        <v>0</v>
      </c>
      <c r="Q125" s="120">
        <v>0</v>
      </c>
      <c r="R125" s="117">
        <v>0</v>
      </c>
      <c r="S125" s="120">
        <v>0</v>
      </c>
      <c r="T125" s="117">
        <v>0</v>
      </c>
      <c r="U125" s="119">
        <v>0</v>
      </c>
      <c r="V125" t="e">
        <f>VLOOKUP(A125,Projetos_Ciclo!$H$3:$H$124,1,FALSE)</f>
        <v>#N/A</v>
      </c>
    </row>
    <row r="126" spans="1:22" x14ac:dyDescent="0.25">
      <c r="A126" s="111" t="s">
        <v>1593</v>
      </c>
      <c r="B126" s="112" t="s">
        <v>689</v>
      </c>
      <c r="C126" s="112" t="s">
        <v>1594</v>
      </c>
      <c r="D126" s="113">
        <v>0</v>
      </c>
      <c r="E126" s="114">
        <v>0</v>
      </c>
      <c r="F126" s="113">
        <v>0</v>
      </c>
      <c r="G126" s="114">
        <v>2925</v>
      </c>
      <c r="H126" s="113">
        <v>0</v>
      </c>
      <c r="I126" s="114">
        <v>0</v>
      </c>
      <c r="J126" s="113">
        <v>0</v>
      </c>
      <c r="K126" s="114">
        <v>0</v>
      </c>
      <c r="L126" s="113">
        <v>0</v>
      </c>
      <c r="M126" s="114">
        <v>0</v>
      </c>
      <c r="N126" s="113">
        <v>0</v>
      </c>
      <c r="O126" s="114">
        <v>0</v>
      </c>
      <c r="P126" s="113">
        <v>0</v>
      </c>
      <c r="Q126" s="114">
        <v>0</v>
      </c>
      <c r="R126" s="113">
        <v>0</v>
      </c>
      <c r="S126" s="114">
        <v>0</v>
      </c>
      <c r="T126" s="113">
        <v>0</v>
      </c>
      <c r="U126" s="115">
        <v>0</v>
      </c>
      <c r="V126" t="e">
        <f>VLOOKUP(A126,Projetos_Ciclo!$H$3:$H$124,1,FALSE)</f>
        <v>#N/A</v>
      </c>
    </row>
    <row r="127" spans="1:22" x14ac:dyDescent="0.25">
      <c r="A127" s="14" t="s">
        <v>1133</v>
      </c>
      <c r="B127" s="116" t="s">
        <v>1254</v>
      </c>
      <c r="C127" s="116" t="s">
        <v>57</v>
      </c>
      <c r="D127" s="117">
        <v>0</v>
      </c>
      <c r="E127" s="120">
        <v>0</v>
      </c>
      <c r="F127" s="117">
        <v>0</v>
      </c>
      <c r="G127" s="120">
        <v>0</v>
      </c>
      <c r="H127" s="117">
        <v>0</v>
      </c>
      <c r="I127" s="120">
        <v>0</v>
      </c>
      <c r="J127" s="117">
        <v>0</v>
      </c>
      <c r="K127" s="120">
        <v>0</v>
      </c>
      <c r="L127" s="117">
        <v>0</v>
      </c>
      <c r="M127" s="120">
        <v>0</v>
      </c>
      <c r="N127" s="117">
        <v>0</v>
      </c>
      <c r="O127" s="120">
        <v>0</v>
      </c>
      <c r="P127" s="117">
        <v>0</v>
      </c>
      <c r="Q127" s="120">
        <v>0</v>
      </c>
      <c r="R127" s="117">
        <v>0</v>
      </c>
      <c r="S127" s="120">
        <v>0</v>
      </c>
      <c r="T127" s="117">
        <v>0</v>
      </c>
      <c r="U127" s="119">
        <v>0</v>
      </c>
      <c r="V127" t="e">
        <f>VLOOKUP(A127,Projetos_Ciclo!$H$3:$H$124,1,FALSE)</f>
        <v>#N/A</v>
      </c>
    </row>
    <row r="128" spans="1:22" x14ac:dyDescent="0.25">
      <c r="A128" s="111" t="s">
        <v>1135</v>
      </c>
      <c r="B128" s="112" t="s">
        <v>1136</v>
      </c>
      <c r="C128" s="112" t="s">
        <v>57</v>
      </c>
      <c r="D128" s="113">
        <v>0</v>
      </c>
      <c r="E128" s="114">
        <v>0</v>
      </c>
      <c r="F128" s="113">
        <v>0</v>
      </c>
      <c r="G128" s="114">
        <v>0</v>
      </c>
      <c r="H128" s="113">
        <v>0</v>
      </c>
      <c r="I128" s="114">
        <v>0</v>
      </c>
      <c r="J128" s="113">
        <v>0</v>
      </c>
      <c r="K128" s="114">
        <v>0</v>
      </c>
      <c r="L128" s="113">
        <v>0</v>
      </c>
      <c r="M128" s="114">
        <v>0</v>
      </c>
      <c r="N128" s="113">
        <v>0</v>
      </c>
      <c r="O128" s="114">
        <v>0</v>
      </c>
      <c r="P128" s="113">
        <v>0</v>
      </c>
      <c r="Q128" s="114">
        <v>0</v>
      </c>
      <c r="R128" s="113">
        <v>0</v>
      </c>
      <c r="S128" s="114">
        <v>0</v>
      </c>
      <c r="T128" s="113">
        <v>0</v>
      </c>
      <c r="U128" s="115">
        <v>0</v>
      </c>
      <c r="V128" t="e">
        <f>VLOOKUP(A128,Projetos_Ciclo!$H$3:$H$124,1,FALSE)</f>
        <v>#N/A</v>
      </c>
    </row>
    <row r="129" spans="1:22" x14ac:dyDescent="0.25">
      <c r="A129" s="14" t="s">
        <v>520</v>
      </c>
      <c r="B129" s="116" t="s">
        <v>1255</v>
      </c>
      <c r="C129" s="116" t="s">
        <v>57</v>
      </c>
      <c r="D129" s="117">
        <v>0</v>
      </c>
      <c r="E129" s="120">
        <v>0</v>
      </c>
      <c r="F129" s="117">
        <v>0</v>
      </c>
      <c r="G129" s="120">
        <v>0</v>
      </c>
      <c r="H129" s="117">
        <v>0</v>
      </c>
      <c r="I129" s="120">
        <v>0</v>
      </c>
      <c r="J129" s="117">
        <v>0</v>
      </c>
      <c r="K129" s="120">
        <v>0</v>
      </c>
      <c r="L129" s="117">
        <v>0</v>
      </c>
      <c r="M129" s="120">
        <v>0</v>
      </c>
      <c r="N129" s="117">
        <v>0</v>
      </c>
      <c r="O129" s="120">
        <v>0</v>
      </c>
      <c r="P129" s="117">
        <v>0</v>
      </c>
      <c r="Q129" s="120">
        <v>0</v>
      </c>
      <c r="R129" s="117">
        <v>0</v>
      </c>
      <c r="S129" s="120">
        <v>0</v>
      </c>
      <c r="T129" s="117">
        <v>0</v>
      </c>
      <c r="U129" s="119">
        <v>0</v>
      </c>
      <c r="V129" t="str">
        <f>VLOOKUP(A129,Projetos_Ciclo!$H$3:$H$124,1,FALSE)</f>
        <v>NA</v>
      </c>
    </row>
    <row r="130" spans="1:22" x14ac:dyDescent="0.25">
      <c r="A130" s="111" t="s">
        <v>1138</v>
      </c>
      <c r="B130" s="112" t="s">
        <v>1139</v>
      </c>
      <c r="C130" s="112" t="s">
        <v>57</v>
      </c>
      <c r="D130" s="113">
        <v>0</v>
      </c>
      <c r="E130" s="114">
        <v>0</v>
      </c>
      <c r="F130" s="113">
        <v>0</v>
      </c>
      <c r="G130" s="114">
        <v>0</v>
      </c>
      <c r="H130" s="113">
        <v>0</v>
      </c>
      <c r="I130" s="114">
        <v>0</v>
      </c>
      <c r="J130" s="113">
        <v>0</v>
      </c>
      <c r="K130" s="114">
        <v>0</v>
      </c>
      <c r="L130" s="113">
        <v>0</v>
      </c>
      <c r="M130" s="114">
        <v>0</v>
      </c>
      <c r="N130" s="113">
        <v>0</v>
      </c>
      <c r="O130" s="114">
        <v>0</v>
      </c>
      <c r="P130" s="113">
        <v>0</v>
      </c>
      <c r="Q130" s="114">
        <v>0</v>
      </c>
      <c r="R130" s="113">
        <v>0</v>
      </c>
      <c r="S130" s="114">
        <v>0</v>
      </c>
      <c r="T130" s="113">
        <v>0</v>
      </c>
      <c r="U130" s="115">
        <v>0</v>
      </c>
      <c r="V130" t="e">
        <f>VLOOKUP(A130,Projetos_Ciclo!$H$3:$H$124,1,FALSE)</f>
        <v>#N/A</v>
      </c>
    </row>
    <row r="131" spans="1:22" x14ac:dyDescent="0.25">
      <c r="A131" s="14" t="s">
        <v>1256</v>
      </c>
      <c r="B131" s="116" t="s">
        <v>1257</v>
      </c>
      <c r="C131" s="116" t="s">
        <v>1258</v>
      </c>
      <c r="D131" s="117">
        <v>25864</v>
      </c>
      <c r="E131" s="120">
        <v>0</v>
      </c>
      <c r="F131" s="117">
        <v>4684</v>
      </c>
      <c r="G131" s="120">
        <v>0</v>
      </c>
      <c r="H131" s="117">
        <v>0</v>
      </c>
      <c r="I131" s="120">
        <v>0</v>
      </c>
      <c r="J131" s="117">
        <v>0</v>
      </c>
      <c r="K131" s="120">
        <v>0</v>
      </c>
      <c r="L131" s="117">
        <v>0</v>
      </c>
      <c r="M131" s="120">
        <v>0</v>
      </c>
      <c r="N131" s="117">
        <v>15470</v>
      </c>
      <c r="O131" s="120">
        <v>2660</v>
      </c>
      <c r="P131" s="117">
        <v>390</v>
      </c>
      <c r="Q131" s="120">
        <v>2660</v>
      </c>
      <c r="R131" s="117">
        <v>0</v>
      </c>
      <c r="S131" s="120">
        <v>0</v>
      </c>
      <c r="T131" s="117">
        <v>0</v>
      </c>
      <c r="U131" s="119">
        <v>0</v>
      </c>
      <c r="V131" t="e">
        <f>VLOOKUP(A131,Projetos_Ciclo!$H$3:$H$124,1,FALSE)</f>
        <v>#N/A</v>
      </c>
    </row>
    <row r="132" spans="1:22" x14ac:dyDescent="0.25">
      <c r="A132" s="111" t="s">
        <v>655</v>
      </c>
      <c r="B132" s="112" t="s">
        <v>1259</v>
      </c>
      <c r="C132" s="112" t="s">
        <v>1260</v>
      </c>
      <c r="D132" s="113">
        <v>0</v>
      </c>
      <c r="E132" s="114">
        <v>0</v>
      </c>
      <c r="F132" s="113">
        <v>0</v>
      </c>
      <c r="G132" s="114">
        <v>280</v>
      </c>
      <c r="H132" s="113">
        <v>0</v>
      </c>
      <c r="I132" s="114">
        <v>0</v>
      </c>
      <c r="J132" s="113">
        <v>0</v>
      </c>
      <c r="K132" s="114">
        <v>0</v>
      </c>
      <c r="L132" s="113">
        <v>280</v>
      </c>
      <c r="M132" s="114">
        <v>280</v>
      </c>
      <c r="N132" s="113">
        <v>0</v>
      </c>
      <c r="O132" s="114">
        <v>0</v>
      </c>
      <c r="P132" s="113">
        <v>0</v>
      </c>
      <c r="Q132" s="114">
        <v>0</v>
      </c>
      <c r="R132" s="113">
        <v>0</v>
      </c>
      <c r="S132" s="114">
        <v>0</v>
      </c>
      <c r="T132" s="113">
        <v>0</v>
      </c>
      <c r="U132" s="115">
        <v>0</v>
      </c>
      <c r="V132" t="e">
        <f>VLOOKUP(A132,Projetos_Ciclo!$H$3:$H$124,1,FALSE)</f>
        <v>#N/A</v>
      </c>
    </row>
    <row r="133" spans="1:22" x14ac:dyDescent="0.25">
      <c r="A133" s="14" t="s">
        <v>1401</v>
      </c>
      <c r="B133" s="116" t="s">
        <v>1402</v>
      </c>
      <c r="C133" s="116" t="s">
        <v>1403</v>
      </c>
      <c r="D133" s="117">
        <v>0</v>
      </c>
      <c r="E133" s="120">
        <v>0</v>
      </c>
      <c r="F133" s="117">
        <v>0</v>
      </c>
      <c r="G133" s="120">
        <v>4184</v>
      </c>
      <c r="H133" s="117">
        <v>0</v>
      </c>
      <c r="I133" s="120">
        <v>0</v>
      </c>
      <c r="J133" s="117">
        <v>0</v>
      </c>
      <c r="K133" s="120">
        <v>0</v>
      </c>
      <c r="L133" s="117">
        <v>4157.25</v>
      </c>
      <c r="M133" s="120">
        <v>4157.25</v>
      </c>
      <c r="N133" s="117">
        <v>0</v>
      </c>
      <c r="O133" s="120">
        <v>0</v>
      </c>
      <c r="P133" s="117">
        <v>0</v>
      </c>
      <c r="Q133" s="120">
        <v>0</v>
      </c>
      <c r="R133" s="117">
        <v>0</v>
      </c>
      <c r="S133" s="120">
        <v>0</v>
      </c>
      <c r="T133" s="117">
        <v>0</v>
      </c>
      <c r="U133" s="119">
        <v>0</v>
      </c>
      <c r="V133" t="e">
        <f>VLOOKUP(A133,Projetos_Ciclo!$H$3:$H$124,1,FALSE)</f>
        <v>#N/A</v>
      </c>
    </row>
    <row r="134" spans="1:22" x14ac:dyDescent="0.25">
      <c r="A134" s="111" t="s">
        <v>1462</v>
      </c>
      <c r="B134" s="112" t="s">
        <v>1463</v>
      </c>
      <c r="C134" s="112" t="s">
        <v>1464</v>
      </c>
      <c r="D134" s="113">
        <v>0</v>
      </c>
      <c r="E134" s="114">
        <v>0</v>
      </c>
      <c r="F134" s="113">
        <v>0</v>
      </c>
      <c r="G134" s="114">
        <v>55</v>
      </c>
      <c r="H134" s="113">
        <v>0</v>
      </c>
      <c r="I134" s="114">
        <v>16.69773006439209</v>
      </c>
      <c r="J134" s="113">
        <v>0</v>
      </c>
      <c r="K134" s="114">
        <v>16.69773006439209</v>
      </c>
      <c r="L134" s="113">
        <v>35.170589447021484</v>
      </c>
      <c r="M134" s="114">
        <v>51.868319511413574</v>
      </c>
      <c r="N134" s="113">
        <v>0</v>
      </c>
      <c r="O134" s="114">
        <v>0</v>
      </c>
      <c r="P134" s="113">
        <v>0</v>
      </c>
      <c r="Q134" s="114">
        <v>0</v>
      </c>
      <c r="R134" s="113">
        <v>0</v>
      </c>
      <c r="S134" s="114">
        <v>0</v>
      </c>
      <c r="T134" s="113">
        <v>0</v>
      </c>
      <c r="U134" s="115">
        <v>0</v>
      </c>
      <c r="V134" t="e">
        <f>VLOOKUP(A134,Projetos_Ciclo!$H$3:$H$124,1,FALSE)</f>
        <v>#N/A</v>
      </c>
    </row>
    <row r="135" spans="1:22" x14ac:dyDescent="0.25">
      <c r="A135" s="14" t="s">
        <v>1133</v>
      </c>
      <c r="B135" s="116" t="s">
        <v>1261</v>
      </c>
      <c r="C135" s="116" t="s">
        <v>57</v>
      </c>
      <c r="D135" s="117">
        <v>0</v>
      </c>
      <c r="E135" s="120">
        <v>0</v>
      </c>
      <c r="F135" s="117">
        <v>0</v>
      </c>
      <c r="G135" s="120">
        <v>0</v>
      </c>
      <c r="H135" s="117">
        <v>0</v>
      </c>
      <c r="I135" s="120">
        <v>0</v>
      </c>
      <c r="J135" s="117">
        <v>0</v>
      </c>
      <c r="K135" s="120">
        <v>0</v>
      </c>
      <c r="L135" s="117">
        <v>0</v>
      </c>
      <c r="M135" s="120">
        <v>0</v>
      </c>
      <c r="N135" s="117">
        <v>0</v>
      </c>
      <c r="O135" s="120">
        <v>0</v>
      </c>
      <c r="P135" s="117">
        <v>0</v>
      </c>
      <c r="Q135" s="120">
        <v>0</v>
      </c>
      <c r="R135" s="117">
        <v>0</v>
      </c>
      <c r="S135" s="120">
        <v>0</v>
      </c>
      <c r="T135" s="117">
        <v>0</v>
      </c>
      <c r="U135" s="119">
        <v>0</v>
      </c>
      <c r="V135" t="e">
        <f>VLOOKUP(A135,Projetos_Ciclo!$H$3:$H$124,1,FALSE)</f>
        <v>#N/A</v>
      </c>
    </row>
    <row r="136" spans="1:22" x14ac:dyDescent="0.25">
      <c r="A136" s="111" t="s">
        <v>1135</v>
      </c>
      <c r="B136" s="112" t="s">
        <v>1136</v>
      </c>
      <c r="C136" s="112" t="s">
        <v>57</v>
      </c>
      <c r="D136" s="113">
        <v>0</v>
      </c>
      <c r="E136" s="114">
        <v>0</v>
      </c>
      <c r="F136" s="113">
        <v>0</v>
      </c>
      <c r="G136" s="114">
        <v>0</v>
      </c>
      <c r="H136" s="113">
        <v>0</v>
      </c>
      <c r="I136" s="114">
        <v>0</v>
      </c>
      <c r="J136" s="113">
        <v>0</v>
      </c>
      <c r="K136" s="114">
        <v>0</v>
      </c>
      <c r="L136" s="113">
        <v>0</v>
      </c>
      <c r="M136" s="114">
        <v>0</v>
      </c>
      <c r="N136" s="113">
        <v>0</v>
      </c>
      <c r="O136" s="114">
        <v>0</v>
      </c>
      <c r="P136" s="113">
        <v>0</v>
      </c>
      <c r="Q136" s="114">
        <v>0</v>
      </c>
      <c r="R136" s="113">
        <v>0</v>
      </c>
      <c r="S136" s="114">
        <v>0</v>
      </c>
      <c r="T136" s="113">
        <v>0</v>
      </c>
      <c r="U136" s="115">
        <v>0</v>
      </c>
      <c r="V136" t="e">
        <f>VLOOKUP(A136,Projetos_Ciclo!$H$3:$H$124,1,FALSE)</f>
        <v>#N/A</v>
      </c>
    </row>
    <row r="137" spans="1:22" x14ac:dyDescent="0.25">
      <c r="A137" s="14" t="s">
        <v>520</v>
      </c>
      <c r="B137" s="116" t="s">
        <v>1262</v>
      </c>
      <c r="C137" s="116" t="s">
        <v>57</v>
      </c>
      <c r="D137" s="117">
        <v>134891</v>
      </c>
      <c r="E137" s="120">
        <v>0</v>
      </c>
      <c r="F137" s="117">
        <v>0</v>
      </c>
      <c r="G137" s="120">
        <v>0</v>
      </c>
      <c r="H137" s="117">
        <v>0</v>
      </c>
      <c r="I137" s="120">
        <v>0</v>
      </c>
      <c r="J137" s="117">
        <v>0</v>
      </c>
      <c r="K137" s="120">
        <v>0</v>
      </c>
      <c r="L137" s="117">
        <v>0</v>
      </c>
      <c r="M137" s="120">
        <v>0</v>
      </c>
      <c r="N137" s="117">
        <v>43164</v>
      </c>
      <c r="O137" s="120">
        <v>45931</v>
      </c>
      <c r="P137" s="117">
        <v>19449</v>
      </c>
      <c r="Q137" s="120">
        <v>26347</v>
      </c>
      <c r="R137" s="117">
        <v>0</v>
      </c>
      <c r="S137" s="120">
        <v>0</v>
      </c>
      <c r="T137" s="117">
        <v>0</v>
      </c>
      <c r="U137" s="119">
        <v>0</v>
      </c>
      <c r="V137" t="str">
        <f>VLOOKUP(A137,Projetos_Ciclo!$H$3:$H$124,1,FALSE)</f>
        <v>NA</v>
      </c>
    </row>
    <row r="138" spans="1:22" x14ac:dyDescent="0.25">
      <c r="A138" s="111" t="s">
        <v>1138</v>
      </c>
      <c r="B138" s="112" t="s">
        <v>1139</v>
      </c>
      <c r="C138" s="112" t="s">
        <v>57</v>
      </c>
      <c r="D138" s="113">
        <v>0</v>
      </c>
      <c r="E138" s="114">
        <v>0</v>
      </c>
      <c r="F138" s="113">
        <v>0</v>
      </c>
      <c r="G138" s="114">
        <v>0</v>
      </c>
      <c r="H138" s="113">
        <v>0</v>
      </c>
      <c r="I138" s="114">
        <v>0</v>
      </c>
      <c r="J138" s="113">
        <v>0</v>
      </c>
      <c r="K138" s="114">
        <v>0</v>
      </c>
      <c r="L138" s="113">
        <v>0</v>
      </c>
      <c r="M138" s="114">
        <v>0</v>
      </c>
      <c r="N138" s="113">
        <v>0</v>
      </c>
      <c r="O138" s="114">
        <v>0</v>
      </c>
      <c r="P138" s="113">
        <v>0</v>
      </c>
      <c r="Q138" s="114">
        <v>0</v>
      </c>
      <c r="R138" s="113">
        <v>0</v>
      </c>
      <c r="S138" s="114">
        <v>0</v>
      </c>
      <c r="T138" s="113">
        <v>0</v>
      </c>
      <c r="U138" s="115">
        <v>0</v>
      </c>
      <c r="V138" t="e">
        <f>VLOOKUP(A138,Projetos_Ciclo!$H$3:$H$124,1,FALSE)</f>
        <v>#N/A</v>
      </c>
    </row>
    <row r="139" spans="1:22" x14ac:dyDescent="0.25">
      <c r="A139" s="14" t="s">
        <v>1077</v>
      </c>
      <c r="B139" s="116" t="s">
        <v>1149</v>
      </c>
      <c r="C139" s="116" t="s">
        <v>1263</v>
      </c>
      <c r="D139" s="117">
        <v>0</v>
      </c>
      <c r="E139" s="120">
        <v>0</v>
      </c>
      <c r="F139" s="117">
        <v>0</v>
      </c>
      <c r="G139" s="120">
        <v>479</v>
      </c>
      <c r="H139" s="117">
        <v>0</v>
      </c>
      <c r="I139" s="120">
        <v>479.32675170898437</v>
      </c>
      <c r="J139" s="117">
        <v>0</v>
      </c>
      <c r="K139" s="120">
        <v>479.32675170898437</v>
      </c>
      <c r="L139" s="117">
        <v>0</v>
      </c>
      <c r="M139" s="120">
        <v>479.32675170898437</v>
      </c>
      <c r="N139" s="117">
        <v>0</v>
      </c>
      <c r="O139" s="120">
        <v>0</v>
      </c>
      <c r="P139" s="117">
        <v>0</v>
      </c>
      <c r="Q139" s="120">
        <v>0</v>
      </c>
      <c r="R139" s="117">
        <v>0</v>
      </c>
      <c r="S139" s="120">
        <v>0</v>
      </c>
      <c r="T139" s="117">
        <v>0</v>
      </c>
      <c r="U139" s="119">
        <v>0</v>
      </c>
      <c r="V139" t="e">
        <f>VLOOKUP(A139,Projetos_Ciclo!$H$3:$H$124,1,FALSE)</f>
        <v>#N/A</v>
      </c>
    </row>
    <row r="140" spans="1:22" x14ac:dyDescent="0.25">
      <c r="A140" s="111" t="s">
        <v>1116</v>
      </c>
      <c r="B140" s="112" t="s">
        <v>1118</v>
      </c>
      <c r="C140" s="112" t="s">
        <v>1117</v>
      </c>
      <c r="D140" s="113">
        <v>0</v>
      </c>
      <c r="E140" s="114">
        <v>0</v>
      </c>
      <c r="F140" s="113">
        <v>0</v>
      </c>
      <c r="G140" s="114">
        <v>14</v>
      </c>
      <c r="H140" s="113">
        <v>0</v>
      </c>
      <c r="I140" s="114">
        <v>14.010740280151367</v>
      </c>
      <c r="J140" s="113">
        <v>0</v>
      </c>
      <c r="K140" s="114">
        <v>14.010740280151367</v>
      </c>
      <c r="L140" s="113">
        <v>0</v>
      </c>
      <c r="M140" s="114">
        <v>14.010740280151367</v>
      </c>
      <c r="N140" s="113">
        <v>0</v>
      </c>
      <c r="O140" s="114">
        <v>0</v>
      </c>
      <c r="P140" s="113">
        <v>0</v>
      </c>
      <c r="Q140" s="114">
        <v>0</v>
      </c>
      <c r="R140" s="113">
        <v>0</v>
      </c>
      <c r="S140" s="114">
        <v>0</v>
      </c>
      <c r="T140" s="113">
        <v>0</v>
      </c>
      <c r="U140" s="115">
        <v>0</v>
      </c>
      <c r="V140" t="e">
        <f>VLOOKUP(A140,Projetos_Ciclo!$H$3:$H$124,1,FALSE)</f>
        <v>#N/A</v>
      </c>
    </row>
    <row r="141" spans="1:22" x14ac:dyDescent="0.25">
      <c r="A141" s="14" t="s">
        <v>1124</v>
      </c>
      <c r="B141" s="116" t="s">
        <v>1126</v>
      </c>
      <c r="C141" s="116" t="s">
        <v>1125</v>
      </c>
      <c r="D141" s="117">
        <v>0</v>
      </c>
      <c r="E141" s="120">
        <v>0</v>
      </c>
      <c r="F141" s="117">
        <v>0</v>
      </c>
      <c r="G141" s="120">
        <v>10</v>
      </c>
      <c r="H141" s="117">
        <v>0</v>
      </c>
      <c r="I141" s="120">
        <v>9.5870800018310547</v>
      </c>
      <c r="J141" s="117">
        <v>0</v>
      </c>
      <c r="K141" s="120">
        <v>9.5870800018310547</v>
      </c>
      <c r="L141" s="117">
        <v>0</v>
      </c>
      <c r="M141" s="120">
        <v>9.5870800018310547</v>
      </c>
      <c r="N141" s="117">
        <v>0</v>
      </c>
      <c r="O141" s="120">
        <v>0</v>
      </c>
      <c r="P141" s="117">
        <v>0</v>
      </c>
      <c r="Q141" s="120">
        <v>0</v>
      </c>
      <c r="R141" s="117">
        <v>0</v>
      </c>
      <c r="S141" s="120">
        <v>0</v>
      </c>
      <c r="T141" s="117">
        <v>0</v>
      </c>
      <c r="U141" s="119">
        <v>0</v>
      </c>
      <c r="V141" t="e">
        <f>VLOOKUP(A141,Projetos_Ciclo!$H$3:$H$124,1,FALSE)</f>
        <v>#N/A</v>
      </c>
    </row>
    <row r="142" spans="1:22" x14ac:dyDescent="0.25">
      <c r="A142" s="111" t="s">
        <v>1120</v>
      </c>
      <c r="B142" s="112" t="s">
        <v>1122</v>
      </c>
      <c r="C142" s="112" t="s">
        <v>1121</v>
      </c>
      <c r="D142" s="113">
        <v>0</v>
      </c>
      <c r="E142" s="114">
        <v>0</v>
      </c>
      <c r="F142" s="113">
        <v>0</v>
      </c>
      <c r="G142" s="114">
        <v>11</v>
      </c>
      <c r="H142" s="113">
        <v>0</v>
      </c>
      <c r="I142" s="114">
        <v>10.502650260925293</v>
      </c>
      <c r="J142" s="113">
        <v>0</v>
      </c>
      <c r="K142" s="114">
        <v>10.502650260925293</v>
      </c>
      <c r="L142" s="113">
        <v>0</v>
      </c>
      <c r="M142" s="114">
        <v>10.502650260925293</v>
      </c>
      <c r="N142" s="113">
        <v>0</v>
      </c>
      <c r="O142" s="114">
        <v>0</v>
      </c>
      <c r="P142" s="113">
        <v>0</v>
      </c>
      <c r="Q142" s="114">
        <v>0</v>
      </c>
      <c r="R142" s="113">
        <v>0</v>
      </c>
      <c r="S142" s="114">
        <v>0</v>
      </c>
      <c r="T142" s="113">
        <v>0</v>
      </c>
      <c r="U142" s="115">
        <v>0</v>
      </c>
      <c r="V142" t="e">
        <f>VLOOKUP(A142,Projetos_Ciclo!$H$3:$H$124,1,FALSE)</f>
        <v>#N/A</v>
      </c>
    </row>
    <row r="143" spans="1:22" x14ac:dyDescent="0.25">
      <c r="A143" s="14" t="s">
        <v>702</v>
      </c>
      <c r="B143" s="116" t="s">
        <v>1264</v>
      </c>
      <c r="C143" s="116" t="s">
        <v>1265</v>
      </c>
      <c r="D143" s="117">
        <v>0</v>
      </c>
      <c r="E143" s="120">
        <v>0</v>
      </c>
      <c r="F143" s="117">
        <v>0</v>
      </c>
      <c r="G143" s="120">
        <v>101</v>
      </c>
      <c r="H143" s="117">
        <v>0</v>
      </c>
      <c r="I143" s="120">
        <v>52.566009163856506</v>
      </c>
      <c r="J143" s="117">
        <v>0</v>
      </c>
      <c r="K143" s="120">
        <v>52.566009163856506</v>
      </c>
      <c r="L143" s="117">
        <v>0</v>
      </c>
      <c r="M143" s="120">
        <v>52.566009163856506</v>
      </c>
      <c r="N143" s="117">
        <v>0</v>
      </c>
      <c r="O143" s="120">
        <v>0</v>
      </c>
      <c r="P143" s="117">
        <v>0</v>
      </c>
      <c r="Q143" s="120">
        <v>0</v>
      </c>
      <c r="R143" s="117">
        <v>0</v>
      </c>
      <c r="S143" s="120">
        <v>0</v>
      </c>
      <c r="T143" s="117">
        <v>0</v>
      </c>
      <c r="U143" s="119">
        <v>0</v>
      </c>
      <c r="V143" t="e">
        <f>VLOOKUP(A143,Projetos_Ciclo!$H$3:$H$124,1,FALSE)</f>
        <v>#N/A</v>
      </c>
    </row>
    <row r="144" spans="1:22" x14ac:dyDescent="0.25">
      <c r="A144" s="111" t="s">
        <v>1266</v>
      </c>
      <c r="B144" s="112" t="s">
        <v>1267</v>
      </c>
      <c r="C144" s="112" t="s">
        <v>1268</v>
      </c>
      <c r="D144" s="113">
        <v>0</v>
      </c>
      <c r="E144" s="114">
        <v>0</v>
      </c>
      <c r="F144" s="113">
        <v>0</v>
      </c>
      <c r="G144" s="114">
        <v>0</v>
      </c>
      <c r="H144" s="113">
        <v>0</v>
      </c>
      <c r="I144" s="114">
        <v>0</v>
      </c>
      <c r="J144" s="113">
        <v>0</v>
      </c>
      <c r="K144" s="114">
        <v>0</v>
      </c>
      <c r="L144" s="113">
        <v>0</v>
      </c>
      <c r="M144" s="114">
        <v>0</v>
      </c>
      <c r="N144" s="113">
        <v>0</v>
      </c>
      <c r="O144" s="114">
        <v>0</v>
      </c>
      <c r="P144" s="113">
        <v>0</v>
      </c>
      <c r="Q144" s="114">
        <v>0</v>
      </c>
      <c r="R144" s="113">
        <v>0</v>
      </c>
      <c r="S144" s="114">
        <v>0</v>
      </c>
      <c r="T144" s="113">
        <v>0</v>
      </c>
      <c r="U144" s="115">
        <v>0</v>
      </c>
      <c r="V144" t="e">
        <f>VLOOKUP(A144,Projetos_Ciclo!$H$3:$H$124,1,FALSE)</f>
        <v>#N/A</v>
      </c>
    </row>
    <row r="145" spans="1:22" x14ac:dyDescent="0.25">
      <c r="A145" s="14" t="s">
        <v>701</v>
      </c>
      <c r="B145" s="116" t="s">
        <v>316</v>
      </c>
      <c r="C145" s="116" t="s">
        <v>1269</v>
      </c>
      <c r="D145" s="117">
        <v>0</v>
      </c>
      <c r="E145" s="120">
        <v>0</v>
      </c>
      <c r="F145" s="117">
        <v>0</v>
      </c>
      <c r="G145" s="120">
        <v>122</v>
      </c>
      <c r="H145" s="117">
        <v>0</v>
      </c>
      <c r="I145" s="120">
        <v>64.575159072875977</v>
      </c>
      <c r="J145" s="117">
        <v>0</v>
      </c>
      <c r="K145" s="120">
        <v>64.575159072875977</v>
      </c>
      <c r="L145" s="117">
        <v>0</v>
      </c>
      <c r="M145" s="120">
        <v>64.575159072875977</v>
      </c>
      <c r="N145" s="117">
        <v>0</v>
      </c>
      <c r="O145" s="120">
        <v>0</v>
      </c>
      <c r="P145" s="117">
        <v>0</v>
      </c>
      <c r="Q145" s="120">
        <v>0</v>
      </c>
      <c r="R145" s="117">
        <v>0</v>
      </c>
      <c r="S145" s="120">
        <v>0</v>
      </c>
      <c r="T145" s="117">
        <v>0</v>
      </c>
      <c r="U145" s="119">
        <v>0</v>
      </c>
      <c r="V145" t="e">
        <f>VLOOKUP(A145,Projetos_Ciclo!$H$3:$H$124,1,FALSE)</f>
        <v>#N/A</v>
      </c>
    </row>
    <row r="146" spans="1:22" x14ac:dyDescent="0.25">
      <c r="A146" s="111" t="s">
        <v>699</v>
      </c>
      <c r="B146" s="112" t="s">
        <v>1270</v>
      </c>
      <c r="C146" s="112" t="s">
        <v>1271</v>
      </c>
      <c r="D146" s="113">
        <v>0</v>
      </c>
      <c r="E146" s="114">
        <v>0</v>
      </c>
      <c r="F146" s="113">
        <v>0</v>
      </c>
      <c r="G146" s="114">
        <v>440</v>
      </c>
      <c r="H146" s="113">
        <v>0</v>
      </c>
      <c r="I146" s="114">
        <v>159.43008804321289</v>
      </c>
      <c r="J146" s="113">
        <v>0</v>
      </c>
      <c r="K146" s="114">
        <v>159.43008804321289</v>
      </c>
      <c r="L146" s="113">
        <v>278.73110961914062</v>
      </c>
      <c r="M146" s="114">
        <v>438.16119766235352</v>
      </c>
      <c r="N146" s="113">
        <v>0</v>
      </c>
      <c r="O146" s="114">
        <v>0</v>
      </c>
      <c r="P146" s="113">
        <v>0</v>
      </c>
      <c r="Q146" s="114">
        <v>0</v>
      </c>
      <c r="R146" s="113">
        <v>0</v>
      </c>
      <c r="S146" s="114">
        <v>0</v>
      </c>
      <c r="T146" s="113">
        <v>0</v>
      </c>
      <c r="U146" s="115">
        <v>0</v>
      </c>
      <c r="V146" t="e">
        <f>VLOOKUP(A146,Projetos_Ciclo!$H$3:$H$124,1,FALSE)</f>
        <v>#N/A</v>
      </c>
    </row>
    <row r="147" spans="1:22" x14ac:dyDescent="0.25">
      <c r="A147" s="14" t="s">
        <v>1272</v>
      </c>
      <c r="B147" s="116" t="s">
        <v>1273</v>
      </c>
      <c r="C147" s="116" t="s">
        <v>1274</v>
      </c>
      <c r="D147" s="117">
        <v>0</v>
      </c>
      <c r="E147" s="120">
        <v>0</v>
      </c>
      <c r="F147" s="117">
        <v>0</v>
      </c>
      <c r="G147" s="120">
        <v>0</v>
      </c>
      <c r="H147" s="117">
        <v>0</v>
      </c>
      <c r="I147" s="120">
        <v>0</v>
      </c>
      <c r="J147" s="117">
        <v>0</v>
      </c>
      <c r="K147" s="120">
        <v>0</v>
      </c>
      <c r="L147" s="117">
        <v>0</v>
      </c>
      <c r="M147" s="120">
        <v>0</v>
      </c>
      <c r="N147" s="117">
        <v>0</v>
      </c>
      <c r="O147" s="120">
        <v>0</v>
      </c>
      <c r="P147" s="117">
        <v>0</v>
      </c>
      <c r="Q147" s="120">
        <v>0</v>
      </c>
      <c r="R147" s="117">
        <v>0</v>
      </c>
      <c r="S147" s="120">
        <v>0</v>
      </c>
      <c r="T147" s="117">
        <v>0</v>
      </c>
      <c r="U147" s="119">
        <v>0</v>
      </c>
      <c r="V147" t="e">
        <f>VLOOKUP(A147,Projetos_Ciclo!$H$3:$H$124,1,FALSE)</f>
        <v>#N/A</v>
      </c>
    </row>
    <row r="148" spans="1:22" x14ac:dyDescent="0.25">
      <c r="A148" s="111" t="s">
        <v>1275</v>
      </c>
      <c r="B148" s="112" t="s">
        <v>767</v>
      </c>
      <c r="C148" s="112" t="s">
        <v>1276</v>
      </c>
      <c r="D148" s="113">
        <v>0</v>
      </c>
      <c r="E148" s="114">
        <v>0</v>
      </c>
      <c r="F148" s="113">
        <v>0</v>
      </c>
      <c r="G148" s="114">
        <v>0</v>
      </c>
      <c r="H148" s="113">
        <v>0</v>
      </c>
      <c r="I148" s="114">
        <v>0</v>
      </c>
      <c r="J148" s="113">
        <v>0</v>
      </c>
      <c r="K148" s="114">
        <v>0</v>
      </c>
      <c r="L148" s="113">
        <v>0</v>
      </c>
      <c r="M148" s="114">
        <v>0</v>
      </c>
      <c r="N148" s="113">
        <v>0</v>
      </c>
      <c r="O148" s="114">
        <v>0</v>
      </c>
      <c r="P148" s="113">
        <v>0</v>
      </c>
      <c r="Q148" s="114">
        <v>0</v>
      </c>
      <c r="R148" s="113">
        <v>0</v>
      </c>
      <c r="S148" s="114">
        <v>0</v>
      </c>
      <c r="T148" s="113">
        <v>0</v>
      </c>
      <c r="U148" s="115">
        <v>0</v>
      </c>
      <c r="V148" t="e">
        <f>VLOOKUP(A148,Projetos_Ciclo!$H$3:$H$124,1,FALSE)</f>
        <v>#N/A</v>
      </c>
    </row>
    <row r="149" spans="1:22" x14ac:dyDescent="0.25">
      <c r="A149" s="14" t="s">
        <v>1128</v>
      </c>
      <c r="B149" s="116" t="s">
        <v>1277</v>
      </c>
      <c r="C149" s="116" t="s">
        <v>1129</v>
      </c>
      <c r="D149" s="117">
        <v>0</v>
      </c>
      <c r="E149" s="120">
        <v>0</v>
      </c>
      <c r="F149" s="117">
        <v>0</v>
      </c>
      <c r="G149" s="120">
        <v>1</v>
      </c>
      <c r="H149" s="117">
        <v>0</v>
      </c>
      <c r="I149" s="120">
        <v>0.70901525020599365</v>
      </c>
      <c r="J149" s="117">
        <v>0</v>
      </c>
      <c r="K149" s="120">
        <v>0.70901525020599365</v>
      </c>
      <c r="L149" s="117">
        <v>0</v>
      </c>
      <c r="M149" s="120">
        <v>0.70901525020599365</v>
      </c>
      <c r="N149" s="117">
        <v>0</v>
      </c>
      <c r="O149" s="120">
        <v>0</v>
      </c>
      <c r="P149" s="117">
        <v>0</v>
      </c>
      <c r="Q149" s="120">
        <v>0</v>
      </c>
      <c r="R149" s="117">
        <v>0</v>
      </c>
      <c r="S149" s="120">
        <v>0</v>
      </c>
      <c r="T149" s="117">
        <v>0</v>
      </c>
      <c r="U149" s="119">
        <v>0</v>
      </c>
      <c r="V149" t="e">
        <f>VLOOKUP(A149,Projetos_Ciclo!$H$3:$H$124,1,FALSE)</f>
        <v>#N/A</v>
      </c>
    </row>
    <row r="150" spans="1:22" x14ac:dyDescent="0.25">
      <c r="A150" s="111" t="s">
        <v>1278</v>
      </c>
      <c r="B150" s="112" t="s">
        <v>946</v>
      </c>
      <c r="C150" s="112" t="s">
        <v>1279</v>
      </c>
      <c r="D150" s="113">
        <v>0</v>
      </c>
      <c r="E150" s="114">
        <v>0</v>
      </c>
      <c r="F150" s="113">
        <v>0</v>
      </c>
      <c r="G150" s="114">
        <v>0</v>
      </c>
      <c r="H150" s="113">
        <v>0</v>
      </c>
      <c r="I150" s="114">
        <v>0</v>
      </c>
      <c r="J150" s="113">
        <v>0</v>
      </c>
      <c r="K150" s="114">
        <v>0</v>
      </c>
      <c r="L150" s="113">
        <v>0</v>
      </c>
      <c r="M150" s="114">
        <v>0</v>
      </c>
      <c r="N150" s="113">
        <v>0</v>
      </c>
      <c r="O150" s="114">
        <v>0</v>
      </c>
      <c r="P150" s="113">
        <v>0</v>
      </c>
      <c r="Q150" s="114">
        <v>0</v>
      </c>
      <c r="R150" s="113">
        <v>0</v>
      </c>
      <c r="S150" s="114">
        <v>0</v>
      </c>
      <c r="T150" s="113">
        <v>0</v>
      </c>
      <c r="U150" s="115">
        <v>0</v>
      </c>
      <c r="V150" t="e">
        <f>VLOOKUP(A150,Projetos_Ciclo!$H$3:$H$124,1,FALSE)</f>
        <v>#N/A</v>
      </c>
    </row>
    <row r="151" spans="1:22" x14ac:dyDescent="0.25">
      <c r="A151" s="14" t="s">
        <v>519</v>
      </c>
      <c r="B151" s="116" t="s">
        <v>1280</v>
      </c>
      <c r="C151" s="116" t="s">
        <v>1281</v>
      </c>
      <c r="D151" s="117">
        <v>0</v>
      </c>
      <c r="E151" s="120">
        <v>0</v>
      </c>
      <c r="F151" s="117">
        <v>0</v>
      </c>
      <c r="G151" s="120">
        <v>2954</v>
      </c>
      <c r="H151" s="117">
        <v>0</v>
      </c>
      <c r="I151" s="120">
        <v>126.48376083374023</v>
      </c>
      <c r="J151" s="117">
        <v>0</v>
      </c>
      <c r="K151" s="120">
        <v>126.48376083374023</v>
      </c>
      <c r="L151" s="117">
        <v>786.53277587890625</v>
      </c>
      <c r="M151" s="120">
        <v>913.01653671264648</v>
      </c>
      <c r="N151" s="117">
        <v>0</v>
      </c>
      <c r="O151" s="120">
        <v>0</v>
      </c>
      <c r="P151" s="117">
        <v>0</v>
      </c>
      <c r="Q151" s="120">
        <v>0</v>
      </c>
      <c r="R151" s="117">
        <v>0</v>
      </c>
      <c r="S151" s="120">
        <v>0</v>
      </c>
      <c r="T151" s="117">
        <v>0</v>
      </c>
      <c r="U151" s="119">
        <v>0</v>
      </c>
      <c r="V151" t="e">
        <f>VLOOKUP(A151,Projetos_Ciclo!$H$3:$H$124,1,FALSE)</f>
        <v>#N/A</v>
      </c>
    </row>
    <row r="152" spans="1:22" x14ac:dyDescent="0.25">
      <c r="A152" s="111" t="s">
        <v>1282</v>
      </c>
      <c r="B152" s="112" t="s">
        <v>1283</v>
      </c>
      <c r="C152" s="112" t="s">
        <v>1284</v>
      </c>
      <c r="D152" s="113">
        <v>0</v>
      </c>
      <c r="E152" s="114">
        <v>0</v>
      </c>
      <c r="F152" s="113">
        <v>0</v>
      </c>
      <c r="G152" s="114">
        <v>0</v>
      </c>
      <c r="H152" s="113">
        <v>0</v>
      </c>
      <c r="I152" s="114">
        <v>0</v>
      </c>
      <c r="J152" s="113">
        <v>0</v>
      </c>
      <c r="K152" s="114">
        <v>0</v>
      </c>
      <c r="L152" s="113">
        <v>0</v>
      </c>
      <c r="M152" s="114">
        <v>0</v>
      </c>
      <c r="N152" s="113">
        <v>0</v>
      </c>
      <c r="O152" s="114">
        <v>0</v>
      </c>
      <c r="P152" s="113">
        <v>0</v>
      </c>
      <c r="Q152" s="114">
        <v>0</v>
      </c>
      <c r="R152" s="113">
        <v>0</v>
      </c>
      <c r="S152" s="114">
        <v>0</v>
      </c>
      <c r="T152" s="113">
        <v>0</v>
      </c>
      <c r="U152" s="115">
        <v>0</v>
      </c>
      <c r="V152" t="e">
        <f>VLOOKUP(A152,Projetos_Ciclo!$H$3:$H$124,1,FALSE)</f>
        <v>#N/A</v>
      </c>
    </row>
    <row r="153" spans="1:22" x14ac:dyDescent="0.25">
      <c r="A153" s="14" t="s">
        <v>1106</v>
      </c>
      <c r="B153" s="116" t="s">
        <v>1285</v>
      </c>
      <c r="C153" s="116" t="s">
        <v>1107</v>
      </c>
      <c r="D153" s="117">
        <v>0</v>
      </c>
      <c r="E153" s="120">
        <v>0</v>
      </c>
      <c r="F153" s="117">
        <v>0</v>
      </c>
      <c r="G153" s="120">
        <v>1606</v>
      </c>
      <c r="H153" s="117">
        <v>0</v>
      </c>
      <c r="I153" s="120">
        <v>1236.459716796875</v>
      </c>
      <c r="J153" s="117">
        <v>0</v>
      </c>
      <c r="K153" s="120">
        <v>1236.459716796875</v>
      </c>
      <c r="L153" s="117">
        <v>0</v>
      </c>
      <c r="M153" s="120">
        <v>1236.459716796875</v>
      </c>
      <c r="N153" s="117">
        <v>0</v>
      </c>
      <c r="O153" s="120">
        <v>0</v>
      </c>
      <c r="P153" s="117">
        <v>0</v>
      </c>
      <c r="Q153" s="120">
        <v>0</v>
      </c>
      <c r="R153" s="117">
        <v>0</v>
      </c>
      <c r="S153" s="120">
        <v>0</v>
      </c>
      <c r="T153" s="117">
        <v>0</v>
      </c>
      <c r="U153" s="119">
        <v>0</v>
      </c>
      <c r="V153" t="e">
        <f>VLOOKUP(A153,Projetos_Ciclo!$H$3:$H$124,1,FALSE)</f>
        <v>#N/A</v>
      </c>
    </row>
    <row r="154" spans="1:22" x14ac:dyDescent="0.25">
      <c r="A154" s="111" t="s">
        <v>1286</v>
      </c>
      <c r="B154" s="112" t="s">
        <v>1287</v>
      </c>
      <c r="C154" s="112" t="s">
        <v>1288</v>
      </c>
      <c r="D154" s="113">
        <v>0</v>
      </c>
      <c r="E154" s="114">
        <v>0</v>
      </c>
      <c r="F154" s="113">
        <v>0</v>
      </c>
      <c r="G154" s="114">
        <v>0</v>
      </c>
      <c r="H154" s="113">
        <v>0</v>
      </c>
      <c r="I154" s="114">
        <v>-0.51274001598358154</v>
      </c>
      <c r="J154" s="113">
        <v>0</v>
      </c>
      <c r="K154" s="114">
        <v>-0.51274001598358154</v>
      </c>
      <c r="L154" s="113">
        <v>0</v>
      </c>
      <c r="M154" s="114">
        <v>-0.51274001598358154</v>
      </c>
      <c r="N154" s="113">
        <v>0</v>
      </c>
      <c r="O154" s="114">
        <v>0</v>
      </c>
      <c r="P154" s="113">
        <v>0</v>
      </c>
      <c r="Q154" s="114">
        <v>0</v>
      </c>
      <c r="R154" s="113">
        <v>0</v>
      </c>
      <c r="S154" s="114">
        <v>0</v>
      </c>
      <c r="T154" s="113">
        <v>0</v>
      </c>
      <c r="U154" s="115">
        <v>0</v>
      </c>
      <c r="V154" t="e">
        <f>VLOOKUP(A154,Projetos_Ciclo!$H$3:$H$124,1,FALSE)</f>
        <v>#N/A</v>
      </c>
    </row>
    <row r="155" spans="1:22" x14ac:dyDescent="0.25">
      <c r="A155" s="14" t="s">
        <v>1289</v>
      </c>
      <c r="B155" s="116" t="s">
        <v>1290</v>
      </c>
      <c r="C155" s="116" t="s">
        <v>1291</v>
      </c>
      <c r="D155" s="117">
        <v>0</v>
      </c>
      <c r="E155" s="120">
        <v>0</v>
      </c>
      <c r="F155" s="117">
        <v>0</v>
      </c>
      <c r="G155" s="120">
        <v>0</v>
      </c>
      <c r="H155" s="117">
        <v>0</v>
      </c>
      <c r="I155" s="120">
        <v>0</v>
      </c>
      <c r="J155" s="117">
        <v>0</v>
      </c>
      <c r="K155" s="120">
        <v>0</v>
      </c>
      <c r="L155" s="117">
        <v>0</v>
      </c>
      <c r="M155" s="120">
        <v>0</v>
      </c>
      <c r="N155" s="117">
        <v>0</v>
      </c>
      <c r="O155" s="120">
        <v>0</v>
      </c>
      <c r="P155" s="117">
        <v>0</v>
      </c>
      <c r="Q155" s="120">
        <v>0</v>
      </c>
      <c r="R155" s="117">
        <v>0</v>
      </c>
      <c r="S155" s="120">
        <v>0</v>
      </c>
      <c r="T155" s="117">
        <v>0</v>
      </c>
      <c r="U155" s="119">
        <v>0</v>
      </c>
      <c r="V155" t="e">
        <f>VLOOKUP(A155,Projetos_Ciclo!$H$3:$H$124,1,FALSE)</f>
        <v>#N/A</v>
      </c>
    </row>
    <row r="156" spans="1:22" x14ac:dyDescent="0.25">
      <c r="A156" s="111" t="s">
        <v>703</v>
      </c>
      <c r="B156" s="112" t="s">
        <v>322</v>
      </c>
      <c r="C156" s="112" t="s">
        <v>1292</v>
      </c>
      <c r="D156" s="113">
        <v>0</v>
      </c>
      <c r="E156" s="114">
        <v>0</v>
      </c>
      <c r="F156" s="113">
        <v>0</v>
      </c>
      <c r="G156" s="114">
        <v>217</v>
      </c>
      <c r="H156" s="113">
        <v>0</v>
      </c>
      <c r="I156" s="114">
        <v>141.84867095947266</v>
      </c>
      <c r="J156" s="113">
        <v>0</v>
      </c>
      <c r="K156" s="114">
        <v>141.84867095947266</v>
      </c>
      <c r="L156" s="113">
        <v>56.086551666259766</v>
      </c>
      <c r="M156" s="114">
        <v>197.93522262573242</v>
      </c>
      <c r="N156" s="113">
        <v>0</v>
      </c>
      <c r="O156" s="114">
        <v>0</v>
      </c>
      <c r="P156" s="113">
        <v>0</v>
      </c>
      <c r="Q156" s="114">
        <v>0</v>
      </c>
      <c r="R156" s="113">
        <v>0</v>
      </c>
      <c r="S156" s="114">
        <v>0</v>
      </c>
      <c r="T156" s="113">
        <v>0</v>
      </c>
      <c r="U156" s="115">
        <v>0</v>
      </c>
      <c r="V156" t="e">
        <f>VLOOKUP(A156,Projetos_Ciclo!$H$3:$H$124,1,FALSE)</f>
        <v>#N/A</v>
      </c>
    </row>
    <row r="157" spans="1:22" x14ac:dyDescent="0.25">
      <c r="A157" s="14" t="s">
        <v>1293</v>
      </c>
      <c r="B157" s="116" t="s">
        <v>1294</v>
      </c>
      <c r="C157" s="116" t="s">
        <v>1295</v>
      </c>
      <c r="D157" s="117">
        <v>69204</v>
      </c>
      <c r="E157" s="120">
        <v>0</v>
      </c>
      <c r="F157" s="117">
        <v>54226</v>
      </c>
      <c r="G157" s="120">
        <v>0</v>
      </c>
      <c r="H157" s="117">
        <v>12885</v>
      </c>
      <c r="I157" s="120">
        <v>0</v>
      </c>
      <c r="J157" s="117">
        <v>0</v>
      </c>
      <c r="K157" s="120">
        <v>0</v>
      </c>
      <c r="L157" s="117">
        <v>0</v>
      </c>
      <c r="M157" s="120">
        <v>0</v>
      </c>
      <c r="N157" s="117">
        <v>8147</v>
      </c>
      <c r="O157" s="120">
        <v>3690</v>
      </c>
      <c r="P157" s="117">
        <v>3141</v>
      </c>
      <c r="Q157" s="120">
        <v>0</v>
      </c>
      <c r="R157" s="117">
        <v>0</v>
      </c>
      <c r="S157" s="120">
        <v>0</v>
      </c>
      <c r="T157" s="117">
        <v>0</v>
      </c>
      <c r="U157" s="119">
        <v>0</v>
      </c>
      <c r="V157" t="e">
        <f>VLOOKUP(A157,Projetos_Ciclo!$H$3:$H$124,1,FALSE)</f>
        <v>#N/A</v>
      </c>
    </row>
    <row r="158" spans="1:22" x14ac:dyDescent="0.25">
      <c r="A158" s="111" t="s">
        <v>1296</v>
      </c>
      <c r="B158" s="112" t="s">
        <v>1297</v>
      </c>
      <c r="C158" s="112" t="s">
        <v>1298</v>
      </c>
      <c r="D158" s="113">
        <v>0</v>
      </c>
      <c r="E158" s="114">
        <v>0</v>
      </c>
      <c r="F158" s="113">
        <v>0</v>
      </c>
      <c r="G158" s="114">
        <v>0</v>
      </c>
      <c r="H158" s="113">
        <v>0</v>
      </c>
      <c r="I158" s="114">
        <v>0</v>
      </c>
      <c r="J158" s="113">
        <v>0</v>
      </c>
      <c r="K158" s="114">
        <v>0</v>
      </c>
      <c r="L158" s="113">
        <v>0</v>
      </c>
      <c r="M158" s="114">
        <v>0</v>
      </c>
      <c r="N158" s="113">
        <v>0</v>
      </c>
      <c r="O158" s="114">
        <v>0</v>
      </c>
      <c r="P158" s="113">
        <v>0</v>
      </c>
      <c r="Q158" s="114">
        <v>0</v>
      </c>
      <c r="R158" s="113">
        <v>0</v>
      </c>
      <c r="S158" s="114">
        <v>0</v>
      </c>
      <c r="T158" s="113">
        <v>0</v>
      </c>
      <c r="U158" s="115">
        <v>0</v>
      </c>
      <c r="V158" t="e">
        <f>VLOOKUP(A158,Projetos_Ciclo!$H$3:$H$124,1,FALSE)</f>
        <v>#N/A</v>
      </c>
    </row>
    <row r="159" spans="1:22" x14ac:dyDescent="0.25">
      <c r="A159" s="14" t="s">
        <v>696</v>
      </c>
      <c r="B159" s="116" t="s">
        <v>304</v>
      </c>
      <c r="C159" s="116" t="s">
        <v>1299</v>
      </c>
      <c r="D159" s="117">
        <v>0</v>
      </c>
      <c r="E159" s="120">
        <v>0</v>
      </c>
      <c r="F159" s="117">
        <v>0</v>
      </c>
      <c r="G159" s="120">
        <v>5268</v>
      </c>
      <c r="H159" s="117">
        <v>0</v>
      </c>
      <c r="I159" s="120">
        <v>3489.3745973110199</v>
      </c>
      <c r="J159" s="117">
        <v>0</v>
      </c>
      <c r="K159" s="120">
        <v>3489.3745973110199</v>
      </c>
      <c r="L159" s="117">
        <v>0</v>
      </c>
      <c r="M159" s="120">
        <v>3489.3745973110199</v>
      </c>
      <c r="N159" s="117">
        <v>0</v>
      </c>
      <c r="O159" s="120">
        <v>0</v>
      </c>
      <c r="P159" s="117">
        <v>0</v>
      </c>
      <c r="Q159" s="120">
        <v>0</v>
      </c>
      <c r="R159" s="117">
        <v>0</v>
      </c>
      <c r="S159" s="120">
        <v>0</v>
      </c>
      <c r="T159" s="117">
        <v>0</v>
      </c>
      <c r="U159" s="119">
        <v>0</v>
      </c>
      <c r="V159" t="e">
        <f>VLOOKUP(A159,Projetos_Ciclo!$H$3:$H$124,1,FALSE)</f>
        <v>#N/A</v>
      </c>
    </row>
    <row r="160" spans="1:22" x14ac:dyDescent="0.25">
      <c r="A160" s="111" t="s">
        <v>707</v>
      </c>
      <c r="B160" s="112" t="s">
        <v>1300</v>
      </c>
      <c r="C160" s="112" t="s">
        <v>1301</v>
      </c>
      <c r="D160" s="113">
        <v>0</v>
      </c>
      <c r="E160" s="114">
        <v>0</v>
      </c>
      <c r="F160" s="113">
        <v>0</v>
      </c>
      <c r="G160" s="114">
        <v>684</v>
      </c>
      <c r="H160" s="113">
        <v>0</v>
      </c>
      <c r="I160" s="114">
        <v>133.71533203125</v>
      </c>
      <c r="J160" s="113">
        <v>0</v>
      </c>
      <c r="K160" s="114">
        <v>133.71533203125</v>
      </c>
      <c r="L160" s="113">
        <v>0</v>
      </c>
      <c r="M160" s="114">
        <v>133.71533203125</v>
      </c>
      <c r="N160" s="113">
        <v>0</v>
      </c>
      <c r="O160" s="114">
        <v>0</v>
      </c>
      <c r="P160" s="113">
        <v>0</v>
      </c>
      <c r="Q160" s="114">
        <v>0</v>
      </c>
      <c r="R160" s="113">
        <v>0</v>
      </c>
      <c r="S160" s="114">
        <v>0</v>
      </c>
      <c r="T160" s="113">
        <v>0</v>
      </c>
      <c r="U160" s="115">
        <v>0</v>
      </c>
      <c r="V160" t="e">
        <f>VLOOKUP(A160,Projetos_Ciclo!$H$3:$H$124,1,FALSE)</f>
        <v>#N/A</v>
      </c>
    </row>
    <row r="161" spans="1:22" x14ac:dyDescent="0.25">
      <c r="A161" s="14" t="s">
        <v>518</v>
      </c>
      <c r="B161" s="116" t="s">
        <v>1302</v>
      </c>
      <c r="C161" s="116" t="s">
        <v>1303</v>
      </c>
      <c r="D161" s="117">
        <v>0</v>
      </c>
      <c r="E161" s="120">
        <v>0</v>
      </c>
      <c r="F161" s="117">
        <v>0</v>
      </c>
      <c r="G161" s="120">
        <v>6163</v>
      </c>
      <c r="H161" s="117">
        <v>0</v>
      </c>
      <c r="I161" s="120">
        <v>456.630859375</v>
      </c>
      <c r="J161" s="117">
        <v>0</v>
      </c>
      <c r="K161" s="120">
        <v>456.630859375</v>
      </c>
      <c r="L161" s="117">
        <v>14.13325023651123</v>
      </c>
      <c r="M161" s="120">
        <v>470.76410961151123</v>
      </c>
      <c r="N161" s="117">
        <v>0</v>
      </c>
      <c r="O161" s="120">
        <v>0</v>
      </c>
      <c r="P161" s="117">
        <v>0</v>
      </c>
      <c r="Q161" s="120">
        <v>0</v>
      </c>
      <c r="R161" s="117">
        <v>0</v>
      </c>
      <c r="S161" s="120">
        <v>0</v>
      </c>
      <c r="T161" s="117">
        <v>0</v>
      </c>
      <c r="U161" s="119">
        <v>0</v>
      </c>
      <c r="V161" t="e">
        <f>VLOOKUP(A161,Projetos_Ciclo!$H$3:$H$124,1,FALSE)</f>
        <v>#N/A</v>
      </c>
    </row>
    <row r="162" spans="1:22" x14ac:dyDescent="0.25">
      <c r="A162" s="111" t="s">
        <v>711</v>
      </c>
      <c r="B162" s="112" t="s">
        <v>712</v>
      </c>
      <c r="C162" s="112" t="s">
        <v>1304</v>
      </c>
      <c r="D162" s="113">
        <v>0</v>
      </c>
      <c r="E162" s="114">
        <v>0</v>
      </c>
      <c r="F162" s="113">
        <v>0</v>
      </c>
      <c r="G162" s="114">
        <v>0</v>
      </c>
      <c r="H162" s="113">
        <v>0</v>
      </c>
      <c r="I162" s="114">
        <v>0</v>
      </c>
      <c r="J162" s="113">
        <v>0</v>
      </c>
      <c r="K162" s="114">
        <v>0</v>
      </c>
      <c r="L162" s="113">
        <v>0</v>
      </c>
      <c r="M162" s="114">
        <v>0</v>
      </c>
      <c r="N162" s="113">
        <v>0</v>
      </c>
      <c r="O162" s="114">
        <v>0</v>
      </c>
      <c r="P162" s="113">
        <v>0</v>
      </c>
      <c r="Q162" s="114">
        <v>0</v>
      </c>
      <c r="R162" s="113">
        <v>0</v>
      </c>
      <c r="S162" s="114">
        <v>0</v>
      </c>
      <c r="T162" s="113">
        <v>0</v>
      </c>
      <c r="U162" s="115">
        <v>0</v>
      </c>
      <c r="V162" t="e">
        <f>VLOOKUP(A162,Projetos_Ciclo!$H$3:$H$124,1,FALSE)</f>
        <v>#N/A</v>
      </c>
    </row>
    <row r="163" spans="1:22" x14ac:dyDescent="0.25">
      <c r="A163" s="14" t="s">
        <v>698</v>
      </c>
      <c r="B163" s="116" t="s">
        <v>1305</v>
      </c>
      <c r="C163" s="116" t="s">
        <v>1306</v>
      </c>
      <c r="D163" s="117">
        <v>0</v>
      </c>
      <c r="E163" s="120">
        <v>0</v>
      </c>
      <c r="F163" s="117">
        <v>0</v>
      </c>
      <c r="G163" s="120">
        <v>0</v>
      </c>
      <c r="H163" s="117">
        <v>0</v>
      </c>
      <c r="I163" s="120">
        <v>0</v>
      </c>
      <c r="J163" s="117">
        <v>0</v>
      </c>
      <c r="K163" s="120">
        <v>0</v>
      </c>
      <c r="L163" s="117">
        <v>0</v>
      </c>
      <c r="M163" s="120">
        <v>0</v>
      </c>
      <c r="N163" s="117">
        <v>0</v>
      </c>
      <c r="O163" s="120">
        <v>0</v>
      </c>
      <c r="P163" s="117">
        <v>0</v>
      </c>
      <c r="Q163" s="120">
        <v>0</v>
      </c>
      <c r="R163" s="117">
        <v>0</v>
      </c>
      <c r="S163" s="120">
        <v>0</v>
      </c>
      <c r="T163" s="117">
        <v>0</v>
      </c>
      <c r="U163" s="119">
        <v>0</v>
      </c>
      <c r="V163" t="e">
        <f>VLOOKUP(A163,Projetos_Ciclo!$H$3:$H$124,1,FALSE)</f>
        <v>#N/A</v>
      </c>
    </row>
    <row r="164" spans="1:22" x14ac:dyDescent="0.25">
      <c r="A164" s="111" t="s">
        <v>1114</v>
      </c>
      <c r="B164" s="112" t="s">
        <v>1112</v>
      </c>
      <c r="C164" s="112" t="s">
        <v>1115</v>
      </c>
      <c r="D164" s="113">
        <v>0</v>
      </c>
      <c r="E164" s="114">
        <v>0</v>
      </c>
      <c r="F164" s="113">
        <v>0</v>
      </c>
      <c r="G164" s="114">
        <v>300</v>
      </c>
      <c r="H164" s="113">
        <v>0</v>
      </c>
      <c r="I164" s="114">
        <v>0</v>
      </c>
      <c r="J164" s="113">
        <v>0</v>
      </c>
      <c r="K164" s="114">
        <v>0</v>
      </c>
      <c r="L164" s="113">
        <v>0</v>
      </c>
      <c r="M164" s="114">
        <v>0</v>
      </c>
      <c r="N164" s="113">
        <v>0</v>
      </c>
      <c r="O164" s="114">
        <v>0</v>
      </c>
      <c r="P164" s="113">
        <v>0</v>
      </c>
      <c r="Q164" s="114">
        <v>0</v>
      </c>
      <c r="R164" s="113">
        <v>0</v>
      </c>
      <c r="S164" s="114">
        <v>0</v>
      </c>
      <c r="T164" s="113">
        <v>0</v>
      </c>
      <c r="U164" s="115">
        <v>0</v>
      </c>
      <c r="V164" t="e">
        <f>VLOOKUP(A164,Projetos_Ciclo!$H$3:$H$124,1,FALSE)</f>
        <v>#N/A</v>
      </c>
    </row>
    <row r="165" spans="1:22" x14ac:dyDescent="0.25">
      <c r="A165" s="14" t="s">
        <v>1307</v>
      </c>
      <c r="B165" s="116" t="s">
        <v>1308</v>
      </c>
      <c r="C165" s="116" t="s">
        <v>1309</v>
      </c>
      <c r="D165" s="117">
        <v>0</v>
      </c>
      <c r="E165" s="120">
        <v>0</v>
      </c>
      <c r="F165" s="117">
        <v>0</v>
      </c>
      <c r="G165" s="120">
        <v>373</v>
      </c>
      <c r="H165" s="117">
        <v>0</v>
      </c>
      <c r="I165" s="120">
        <v>69.509599685668945</v>
      </c>
      <c r="J165" s="117">
        <v>0</v>
      </c>
      <c r="K165" s="120">
        <v>69.509599685668945</v>
      </c>
      <c r="L165" s="117">
        <v>176.40750122070312</v>
      </c>
      <c r="M165" s="120">
        <v>245.91710090637207</v>
      </c>
      <c r="N165" s="117">
        <v>0</v>
      </c>
      <c r="O165" s="120">
        <v>0</v>
      </c>
      <c r="P165" s="117">
        <v>0</v>
      </c>
      <c r="Q165" s="120">
        <v>0</v>
      </c>
      <c r="R165" s="117">
        <v>0</v>
      </c>
      <c r="S165" s="120">
        <v>0</v>
      </c>
      <c r="T165" s="117">
        <v>0</v>
      </c>
      <c r="U165" s="119">
        <v>0</v>
      </c>
      <c r="V165" t="e">
        <f>VLOOKUP(A165,Projetos_Ciclo!$H$3:$H$124,1,FALSE)</f>
        <v>#N/A</v>
      </c>
    </row>
    <row r="166" spans="1:22" x14ac:dyDescent="0.25">
      <c r="A166" s="111" t="s">
        <v>1110</v>
      </c>
      <c r="B166" s="112" t="s">
        <v>708</v>
      </c>
      <c r="C166" s="112" t="s">
        <v>1111</v>
      </c>
      <c r="D166" s="113">
        <v>0</v>
      </c>
      <c r="E166" s="114">
        <v>0</v>
      </c>
      <c r="F166" s="113">
        <v>0</v>
      </c>
      <c r="G166" s="114">
        <v>693</v>
      </c>
      <c r="H166" s="113">
        <v>0</v>
      </c>
      <c r="I166" s="114">
        <v>693.4403076171875</v>
      </c>
      <c r="J166" s="113">
        <v>0</v>
      </c>
      <c r="K166" s="114">
        <v>693.4403076171875</v>
      </c>
      <c r="L166" s="113">
        <v>0</v>
      </c>
      <c r="M166" s="114">
        <v>693.4403076171875</v>
      </c>
      <c r="N166" s="113">
        <v>0</v>
      </c>
      <c r="O166" s="114">
        <v>0</v>
      </c>
      <c r="P166" s="113">
        <v>0</v>
      </c>
      <c r="Q166" s="114">
        <v>0</v>
      </c>
      <c r="R166" s="113">
        <v>0</v>
      </c>
      <c r="S166" s="114">
        <v>0</v>
      </c>
      <c r="T166" s="113">
        <v>0</v>
      </c>
      <c r="U166" s="115">
        <v>0</v>
      </c>
      <c r="V166" t="e">
        <f>VLOOKUP(A166,Projetos_Ciclo!$H$3:$H$124,1,FALSE)</f>
        <v>#N/A</v>
      </c>
    </row>
    <row r="167" spans="1:22" x14ac:dyDescent="0.25">
      <c r="A167" s="14" t="s">
        <v>697</v>
      </c>
      <c r="B167" s="116" t="s">
        <v>1310</v>
      </c>
      <c r="C167" s="116" t="s">
        <v>1311</v>
      </c>
      <c r="D167" s="117">
        <v>0</v>
      </c>
      <c r="E167" s="120">
        <v>0</v>
      </c>
      <c r="F167" s="117">
        <v>0</v>
      </c>
      <c r="G167" s="120">
        <v>350</v>
      </c>
      <c r="H167" s="117">
        <v>0</v>
      </c>
      <c r="I167" s="120">
        <v>41.252120971679688</v>
      </c>
      <c r="J167" s="117">
        <v>0</v>
      </c>
      <c r="K167" s="120">
        <v>41.252120971679688</v>
      </c>
      <c r="L167" s="117">
        <v>0</v>
      </c>
      <c r="M167" s="120">
        <v>41.252120971679688</v>
      </c>
      <c r="N167" s="117">
        <v>0</v>
      </c>
      <c r="O167" s="120">
        <v>0</v>
      </c>
      <c r="P167" s="117">
        <v>0</v>
      </c>
      <c r="Q167" s="120">
        <v>0</v>
      </c>
      <c r="R167" s="117">
        <v>0</v>
      </c>
      <c r="S167" s="120">
        <v>0</v>
      </c>
      <c r="T167" s="117">
        <v>0</v>
      </c>
      <c r="U167" s="119">
        <v>0</v>
      </c>
      <c r="V167" t="e">
        <f>VLOOKUP(A167,Projetos_Ciclo!$H$3:$H$124,1,FALSE)</f>
        <v>#N/A</v>
      </c>
    </row>
    <row r="168" spans="1:22" x14ac:dyDescent="0.25">
      <c r="A168" s="111" t="s">
        <v>521</v>
      </c>
      <c r="B168" s="112" t="s">
        <v>1312</v>
      </c>
      <c r="C168" s="112" t="s">
        <v>1313</v>
      </c>
      <c r="D168" s="113">
        <v>0</v>
      </c>
      <c r="E168" s="114">
        <v>0</v>
      </c>
      <c r="F168" s="113">
        <v>0</v>
      </c>
      <c r="G168" s="114">
        <v>0</v>
      </c>
      <c r="H168" s="113">
        <v>0</v>
      </c>
      <c r="I168" s="114">
        <v>0</v>
      </c>
      <c r="J168" s="113">
        <v>0</v>
      </c>
      <c r="K168" s="114">
        <v>0</v>
      </c>
      <c r="L168" s="113">
        <v>0</v>
      </c>
      <c r="M168" s="114">
        <v>0</v>
      </c>
      <c r="N168" s="113">
        <v>0</v>
      </c>
      <c r="O168" s="114">
        <v>0</v>
      </c>
      <c r="P168" s="113">
        <v>0</v>
      </c>
      <c r="Q168" s="114">
        <v>0</v>
      </c>
      <c r="R168" s="113">
        <v>0</v>
      </c>
      <c r="S168" s="114">
        <v>0</v>
      </c>
      <c r="T168" s="113">
        <v>0</v>
      </c>
      <c r="U168" s="115">
        <v>0</v>
      </c>
      <c r="V168" t="e">
        <f>VLOOKUP(A168,Projetos_Ciclo!$H$3:$H$124,1,FALSE)</f>
        <v>#N/A</v>
      </c>
    </row>
    <row r="169" spans="1:22" x14ac:dyDescent="0.25">
      <c r="A169" s="14" t="s">
        <v>523</v>
      </c>
      <c r="B169" s="116" t="s">
        <v>522</v>
      </c>
      <c r="C169" s="116" t="s">
        <v>1314</v>
      </c>
      <c r="D169" s="117">
        <v>0</v>
      </c>
      <c r="E169" s="120">
        <v>0</v>
      </c>
      <c r="F169" s="117">
        <v>0</v>
      </c>
      <c r="G169" s="120">
        <v>0</v>
      </c>
      <c r="H169" s="117">
        <v>0</v>
      </c>
      <c r="I169" s="120">
        <v>0</v>
      </c>
      <c r="J169" s="117">
        <v>0</v>
      </c>
      <c r="K169" s="120">
        <v>0</v>
      </c>
      <c r="L169" s="117">
        <v>0</v>
      </c>
      <c r="M169" s="120">
        <v>0</v>
      </c>
      <c r="N169" s="117">
        <v>0</v>
      </c>
      <c r="O169" s="120">
        <v>0</v>
      </c>
      <c r="P169" s="117">
        <v>0</v>
      </c>
      <c r="Q169" s="120">
        <v>0</v>
      </c>
      <c r="R169" s="117">
        <v>0</v>
      </c>
      <c r="S169" s="120">
        <v>0</v>
      </c>
      <c r="T169" s="117">
        <v>0</v>
      </c>
      <c r="U169" s="119">
        <v>0</v>
      </c>
      <c r="V169" t="e">
        <f>VLOOKUP(A169,Projetos_Ciclo!$H$3:$H$124,1,FALSE)</f>
        <v>#N/A</v>
      </c>
    </row>
    <row r="170" spans="1:22" x14ac:dyDescent="0.25">
      <c r="A170" s="111" t="s">
        <v>1103</v>
      </c>
      <c r="B170" s="112" t="s">
        <v>1315</v>
      </c>
      <c r="C170" s="112" t="s">
        <v>1104</v>
      </c>
      <c r="D170" s="113">
        <v>0</v>
      </c>
      <c r="E170" s="114">
        <v>0</v>
      </c>
      <c r="F170" s="113">
        <v>0</v>
      </c>
      <c r="G170" s="114">
        <v>1225</v>
      </c>
      <c r="H170" s="113">
        <v>0</v>
      </c>
      <c r="I170" s="114">
        <v>0</v>
      </c>
      <c r="J170" s="113">
        <v>0</v>
      </c>
      <c r="K170" s="114">
        <v>0</v>
      </c>
      <c r="L170" s="113">
        <v>1080</v>
      </c>
      <c r="M170" s="114">
        <v>1080</v>
      </c>
      <c r="N170" s="113">
        <v>0</v>
      </c>
      <c r="O170" s="114">
        <v>0</v>
      </c>
      <c r="P170" s="113">
        <v>0</v>
      </c>
      <c r="Q170" s="114">
        <v>0</v>
      </c>
      <c r="R170" s="113">
        <v>0</v>
      </c>
      <c r="S170" s="114">
        <v>0</v>
      </c>
      <c r="T170" s="113">
        <v>0</v>
      </c>
      <c r="U170" s="115">
        <v>0</v>
      </c>
      <c r="V170" t="e">
        <f>VLOOKUP(A170,Projetos_Ciclo!$H$3:$H$124,1,FALSE)</f>
        <v>#N/A</v>
      </c>
    </row>
    <row r="171" spans="1:22" x14ac:dyDescent="0.25">
      <c r="A171" s="14" t="s">
        <v>1316</v>
      </c>
      <c r="B171" s="116" t="s">
        <v>1317</v>
      </c>
      <c r="C171" s="116" t="s">
        <v>1318</v>
      </c>
      <c r="D171" s="117">
        <v>0</v>
      </c>
      <c r="E171" s="120">
        <v>0</v>
      </c>
      <c r="F171" s="117">
        <v>0</v>
      </c>
      <c r="G171" s="120">
        <v>3223</v>
      </c>
      <c r="H171" s="117">
        <v>0</v>
      </c>
      <c r="I171" s="120">
        <v>28.273269653320313</v>
      </c>
      <c r="J171" s="117">
        <v>0</v>
      </c>
      <c r="K171" s="120">
        <v>28.273269653320313</v>
      </c>
      <c r="L171" s="117">
        <v>2843.8819100856781</v>
      </c>
      <c r="M171" s="120">
        <v>2872.1551797389984</v>
      </c>
      <c r="N171" s="117">
        <v>0</v>
      </c>
      <c r="O171" s="120">
        <v>0</v>
      </c>
      <c r="P171" s="117">
        <v>0</v>
      </c>
      <c r="Q171" s="120">
        <v>0</v>
      </c>
      <c r="R171" s="117">
        <v>0</v>
      </c>
      <c r="S171" s="120">
        <v>0</v>
      </c>
      <c r="T171" s="117">
        <v>0</v>
      </c>
      <c r="U171" s="119">
        <v>0</v>
      </c>
      <c r="V171" t="e">
        <f>VLOOKUP(A171,Projetos_Ciclo!$H$3:$H$124,1,FALSE)</f>
        <v>#N/A</v>
      </c>
    </row>
    <row r="172" spans="1:22" x14ac:dyDescent="0.25">
      <c r="A172" s="111" t="s">
        <v>953</v>
      </c>
      <c r="B172" s="112" t="s">
        <v>954</v>
      </c>
      <c r="C172" s="112" t="s">
        <v>1319</v>
      </c>
      <c r="D172" s="113">
        <v>0</v>
      </c>
      <c r="E172" s="114">
        <v>0</v>
      </c>
      <c r="F172" s="113">
        <v>0</v>
      </c>
      <c r="G172" s="114">
        <v>600</v>
      </c>
      <c r="H172" s="113">
        <v>0</v>
      </c>
      <c r="I172" s="114">
        <v>599.97772216796875</v>
      </c>
      <c r="J172" s="113">
        <v>0</v>
      </c>
      <c r="K172" s="114">
        <v>599.97772216796875</v>
      </c>
      <c r="L172" s="113">
        <v>0</v>
      </c>
      <c r="M172" s="114">
        <v>599.97772216796875</v>
      </c>
      <c r="N172" s="113">
        <v>0</v>
      </c>
      <c r="O172" s="114">
        <v>0</v>
      </c>
      <c r="P172" s="113">
        <v>0</v>
      </c>
      <c r="Q172" s="114">
        <v>0</v>
      </c>
      <c r="R172" s="113">
        <v>0</v>
      </c>
      <c r="S172" s="114">
        <v>0</v>
      </c>
      <c r="T172" s="113">
        <v>0</v>
      </c>
      <c r="U172" s="115">
        <v>0</v>
      </c>
      <c r="V172" t="e">
        <f>VLOOKUP(A172,Projetos_Ciclo!$H$3:$H$124,1,FALSE)</f>
        <v>#N/A</v>
      </c>
    </row>
    <row r="173" spans="1:22" x14ac:dyDescent="0.25">
      <c r="A173" s="14" t="s">
        <v>1102</v>
      </c>
      <c r="B173" s="116" t="s">
        <v>310</v>
      </c>
      <c r="C173" s="116" t="s">
        <v>1320</v>
      </c>
      <c r="D173" s="117">
        <v>0</v>
      </c>
      <c r="E173" s="120">
        <v>0</v>
      </c>
      <c r="F173" s="117">
        <v>0</v>
      </c>
      <c r="G173" s="120">
        <v>504</v>
      </c>
      <c r="H173" s="117">
        <v>0</v>
      </c>
      <c r="I173" s="120">
        <v>96.815998077392578</v>
      </c>
      <c r="J173" s="117">
        <v>0</v>
      </c>
      <c r="K173" s="120">
        <v>96.815998077392578</v>
      </c>
      <c r="L173" s="117">
        <v>407.36207246780396</v>
      </c>
      <c r="M173" s="120">
        <v>504.17807054519653</v>
      </c>
      <c r="N173" s="117">
        <v>0</v>
      </c>
      <c r="O173" s="120">
        <v>0</v>
      </c>
      <c r="P173" s="117">
        <v>0</v>
      </c>
      <c r="Q173" s="120">
        <v>0</v>
      </c>
      <c r="R173" s="117">
        <v>0</v>
      </c>
      <c r="S173" s="120">
        <v>0</v>
      </c>
      <c r="T173" s="117">
        <v>0</v>
      </c>
      <c r="U173" s="119">
        <v>0</v>
      </c>
      <c r="V173" t="e">
        <f>VLOOKUP(A173,Projetos_Ciclo!$H$3:$H$124,1,FALSE)</f>
        <v>#N/A</v>
      </c>
    </row>
    <row r="174" spans="1:22" x14ac:dyDescent="0.25">
      <c r="A174" s="111" t="s">
        <v>1084</v>
      </c>
      <c r="B174" s="112" t="s">
        <v>1321</v>
      </c>
      <c r="C174" s="112" t="s">
        <v>1322</v>
      </c>
      <c r="D174" s="113">
        <v>0</v>
      </c>
      <c r="E174" s="114">
        <v>0</v>
      </c>
      <c r="F174" s="113">
        <v>0</v>
      </c>
      <c r="G174" s="114">
        <v>216</v>
      </c>
      <c r="H174" s="113">
        <v>0</v>
      </c>
      <c r="I174" s="114">
        <v>11.423999786376953</v>
      </c>
      <c r="J174" s="113">
        <v>0</v>
      </c>
      <c r="K174" s="114">
        <v>11.423999786376953</v>
      </c>
      <c r="L174" s="113">
        <v>204.57600402832031</v>
      </c>
      <c r="M174" s="114">
        <v>216.00000381469727</v>
      </c>
      <c r="N174" s="113">
        <v>0</v>
      </c>
      <c r="O174" s="114">
        <v>0</v>
      </c>
      <c r="P174" s="113">
        <v>0</v>
      </c>
      <c r="Q174" s="114">
        <v>0</v>
      </c>
      <c r="R174" s="113">
        <v>0</v>
      </c>
      <c r="S174" s="114">
        <v>0</v>
      </c>
      <c r="T174" s="113">
        <v>0</v>
      </c>
      <c r="U174" s="115">
        <v>0</v>
      </c>
      <c r="V174" t="e">
        <f>VLOOKUP(A174,Projetos_Ciclo!$H$3:$H$124,1,FALSE)</f>
        <v>#N/A</v>
      </c>
    </row>
    <row r="175" spans="1:22" x14ac:dyDescent="0.25">
      <c r="A175" s="14" t="s">
        <v>990</v>
      </c>
      <c r="B175" s="116" t="s">
        <v>1277</v>
      </c>
      <c r="C175" s="116" t="s">
        <v>1323</v>
      </c>
      <c r="D175" s="117">
        <v>0</v>
      </c>
      <c r="E175" s="120">
        <v>0</v>
      </c>
      <c r="F175" s="117">
        <v>0</v>
      </c>
      <c r="G175" s="120">
        <v>1500</v>
      </c>
      <c r="H175" s="117">
        <v>0</v>
      </c>
      <c r="I175" s="120">
        <v>0</v>
      </c>
      <c r="J175" s="117">
        <v>0</v>
      </c>
      <c r="K175" s="120">
        <v>0</v>
      </c>
      <c r="L175" s="117">
        <v>1496.0580673217773</v>
      </c>
      <c r="M175" s="120">
        <v>1496.0580673217773</v>
      </c>
      <c r="N175" s="117">
        <v>0</v>
      </c>
      <c r="O175" s="120">
        <v>0</v>
      </c>
      <c r="P175" s="117">
        <v>0</v>
      </c>
      <c r="Q175" s="120">
        <v>0</v>
      </c>
      <c r="R175" s="117">
        <v>0</v>
      </c>
      <c r="S175" s="120">
        <v>0</v>
      </c>
      <c r="T175" s="117">
        <v>0</v>
      </c>
      <c r="U175" s="119">
        <v>0</v>
      </c>
      <c r="V175" t="e">
        <f>VLOOKUP(A175,Projetos_Ciclo!$H$3:$H$124,1,FALSE)</f>
        <v>#N/A</v>
      </c>
    </row>
    <row r="176" spans="1:22" x14ac:dyDescent="0.25">
      <c r="A176" s="111" t="s">
        <v>992</v>
      </c>
      <c r="B176" s="112" t="s">
        <v>967</v>
      </c>
      <c r="C176" s="112" t="s">
        <v>1324</v>
      </c>
      <c r="D176" s="113">
        <v>0</v>
      </c>
      <c r="E176" s="114">
        <v>0</v>
      </c>
      <c r="F176" s="113">
        <v>0</v>
      </c>
      <c r="G176" s="114">
        <v>278</v>
      </c>
      <c r="H176" s="113">
        <v>0</v>
      </c>
      <c r="I176" s="114">
        <v>108.51967239379883</v>
      </c>
      <c r="J176" s="113">
        <v>0</v>
      </c>
      <c r="K176" s="114">
        <v>108.51967239379883</v>
      </c>
      <c r="L176" s="113">
        <v>169.582275390625</v>
      </c>
      <c r="M176" s="114">
        <v>278.10194778442383</v>
      </c>
      <c r="N176" s="113">
        <v>0</v>
      </c>
      <c r="O176" s="114">
        <v>0</v>
      </c>
      <c r="P176" s="113">
        <v>0</v>
      </c>
      <c r="Q176" s="114">
        <v>0</v>
      </c>
      <c r="R176" s="113">
        <v>0</v>
      </c>
      <c r="S176" s="114">
        <v>0</v>
      </c>
      <c r="T176" s="113">
        <v>0</v>
      </c>
      <c r="U176" s="115">
        <v>0</v>
      </c>
      <c r="V176" t="e">
        <f>VLOOKUP(A176,Projetos_Ciclo!$H$3:$H$124,1,FALSE)</f>
        <v>#N/A</v>
      </c>
    </row>
    <row r="177" spans="1:22" x14ac:dyDescent="0.25">
      <c r="A177" s="14" t="s">
        <v>1404</v>
      </c>
      <c r="B177" s="116" t="s">
        <v>1405</v>
      </c>
      <c r="C177" s="116" t="s">
        <v>1406</v>
      </c>
      <c r="D177" s="117">
        <v>0</v>
      </c>
      <c r="E177" s="120">
        <v>0</v>
      </c>
      <c r="F177" s="117">
        <v>0</v>
      </c>
      <c r="G177" s="120">
        <v>245</v>
      </c>
      <c r="H177" s="117">
        <v>0</v>
      </c>
      <c r="I177" s="120">
        <v>0</v>
      </c>
      <c r="J177" s="117">
        <v>0</v>
      </c>
      <c r="K177" s="120">
        <v>0</v>
      </c>
      <c r="L177" s="117">
        <v>232.37596130371094</v>
      </c>
      <c r="M177" s="120">
        <v>232.37596130371094</v>
      </c>
      <c r="N177" s="117">
        <v>0</v>
      </c>
      <c r="O177" s="120">
        <v>0</v>
      </c>
      <c r="P177" s="117">
        <v>0</v>
      </c>
      <c r="Q177" s="120">
        <v>0</v>
      </c>
      <c r="R177" s="117">
        <v>0</v>
      </c>
      <c r="S177" s="120">
        <v>0</v>
      </c>
      <c r="T177" s="117">
        <v>0</v>
      </c>
      <c r="U177" s="119">
        <v>0</v>
      </c>
      <c r="V177" t="e">
        <f>VLOOKUP(A177,Projetos_Ciclo!$H$3:$H$124,1,FALSE)</f>
        <v>#N/A</v>
      </c>
    </row>
    <row r="178" spans="1:22" x14ac:dyDescent="0.25">
      <c r="A178" s="111" t="s">
        <v>1080</v>
      </c>
      <c r="B178" s="112" t="s">
        <v>1325</v>
      </c>
      <c r="C178" s="112" t="s">
        <v>1326</v>
      </c>
      <c r="D178" s="113">
        <v>0</v>
      </c>
      <c r="E178" s="114">
        <v>0</v>
      </c>
      <c r="F178" s="113">
        <v>0</v>
      </c>
      <c r="G178" s="114">
        <v>814</v>
      </c>
      <c r="H178" s="113">
        <v>0</v>
      </c>
      <c r="I178" s="114">
        <v>813.67767333984375</v>
      </c>
      <c r="J178" s="113">
        <v>0</v>
      </c>
      <c r="K178" s="114">
        <v>813.67767333984375</v>
      </c>
      <c r="L178" s="113">
        <v>0</v>
      </c>
      <c r="M178" s="114">
        <v>813.67767333984375</v>
      </c>
      <c r="N178" s="113">
        <v>0</v>
      </c>
      <c r="O178" s="114">
        <v>0</v>
      </c>
      <c r="P178" s="113">
        <v>0</v>
      </c>
      <c r="Q178" s="114">
        <v>0</v>
      </c>
      <c r="R178" s="113">
        <v>0</v>
      </c>
      <c r="S178" s="114">
        <v>0</v>
      </c>
      <c r="T178" s="113">
        <v>0</v>
      </c>
      <c r="U178" s="115">
        <v>0</v>
      </c>
      <c r="V178" t="e">
        <f>VLOOKUP(A178,Projetos_Ciclo!$H$3:$H$124,1,FALSE)</f>
        <v>#N/A</v>
      </c>
    </row>
    <row r="179" spans="1:22" x14ac:dyDescent="0.25">
      <c r="A179" s="14" t="s">
        <v>1087</v>
      </c>
      <c r="B179" s="116" t="s">
        <v>966</v>
      </c>
      <c r="C179" s="116" t="s">
        <v>1327</v>
      </c>
      <c r="D179" s="117">
        <v>0</v>
      </c>
      <c r="E179" s="120">
        <v>0</v>
      </c>
      <c r="F179" s="117">
        <v>0</v>
      </c>
      <c r="G179" s="120">
        <v>155</v>
      </c>
      <c r="H179" s="117">
        <v>0</v>
      </c>
      <c r="I179" s="120">
        <v>0</v>
      </c>
      <c r="J179" s="117">
        <v>0</v>
      </c>
      <c r="K179" s="120">
        <v>0</v>
      </c>
      <c r="L179" s="117">
        <v>154.5</v>
      </c>
      <c r="M179" s="120">
        <v>154.5</v>
      </c>
      <c r="N179" s="117">
        <v>0</v>
      </c>
      <c r="O179" s="120">
        <v>0</v>
      </c>
      <c r="P179" s="117">
        <v>0</v>
      </c>
      <c r="Q179" s="120">
        <v>0</v>
      </c>
      <c r="R179" s="117">
        <v>0</v>
      </c>
      <c r="S179" s="120">
        <v>0</v>
      </c>
      <c r="T179" s="117">
        <v>0</v>
      </c>
      <c r="U179" s="119">
        <v>0</v>
      </c>
      <c r="V179" t="e">
        <f>VLOOKUP(A179,Projetos_Ciclo!$H$3:$H$124,1,FALSE)</f>
        <v>#N/A</v>
      </c>
    </row>
    <row r="180" spans="1:22" x14ac:dyDescent="0.25">
      <c r="A180" s="111" t="s">
        <v>991</v>
      </c>
      <c r="B180" s="112" t="s">
        <v>965</v>
      </c>
      <c r="C180" s="112" t="s">
        <v>1328</v>
      </c>
      <c r="D180" s="113">
        <v>0</v>
      </c>
      <c r="E180" s="114">
        <v>0</v>
      </c>
      <c r="F180" s="113">
        <v>0</v>
      </c>
      <c r="G180" s="114">
        <v>247</v>
      </c>
      <c r="H180" s="113">
        <v>0</v>
      </c>
      <c r="I180" s="114">
        <v>0</v>
      </c>
      <c r="J180" s="113">
        <v>0</v>
      </c>
      <c r="K180" s="114">
        <v>0</v>
      </c>
      <c r="L180" s="113">
        <v>247.19999694824219</v>
      </c>
      <c r="M180" s="114">
        <v>247.19999694824219</v>
      </c>
      <c r="N180" s="113">
        <v>0</v>
      </c>
      <c r="O180" s="114">
        <v>0</v>
      </c>
      <c r="P180" s="113">
        <v>0</v>
      </c>
      <c r="Q180" s="114">
        <v>0</v>
      </c>
      <c r="R180" s="113">
        <v>0</v>
      </c>
      <c r="S180" s="114">
        <v>0</v>
      </c>
      <c r="T180" s="113">
        <v>0</v>
      </c>
      <c r="U180" s="115">
        <v>0</v>
      </c>
      <c r="V180" t="e">
        <f>VLOOKUP(A180,Projetos_Ciclo!$H$3:$H$124,1,FALSE)</f>
        <v>#N/A</v>
      </c>
    </row>
    <row r="181" spans="1:22" x14ac:dyDescent="0.25">
      <c r="A181" s="14" t="s">
        <v>1083</v>
      </c>
      <c r="B181" s="116" t="s">
        <v>1329</v>
      </c>
      <c r="C181" s="116" t="s">
        <v>1330</v>
      </c>
      <c r="D181" s="117">
        <v>0</v>
      </c>
      <c r="E181" s="120">
        <v>0</v>
      </c>
      <c r="F181" s="117">
        <v>0</v>
      </c>
      <c r="G181" s="120">
        <v>871</v>
      </c>
      <c r="H181" s="117">
        <v>0</v>
      </c>
      <c r="I181" s="120">
        <v>0</v>
      </c>
      <c r="J181" s="117">
        <v>0</v>
      </c>
      <c r="K181" s="120">
        <v>0</v>
      </c>
      <c r="L181" s="117">
        <v>384.39999389648437</v>
      </c>
      <c r="M181" s="120">
        <v>384.39999389648437</v>
      </c>
      <c r="N181" s="117">
        <v>0</v>
      </c>
      <c r="O181" s="120">
        <v>0</v>
      </c>
      <c r="P181" s="117">
        <v>0</v>
      </c>
      <c r="Q181" s="120">
        <v>0</v>
      </c>
      <c r="R181" s="117">
        <v>0</v>
      </c>
      <c r="S181" s="120">
        <v>0</v>
      </c>
      <c r="T181" s="117">
        <v>0</v>
      </c>
      <c r="U181" s="119">
        <v>0</v>
      </c>
      <c r="V181" t="e">
        <f>VLOOKUP(A181,Projetos_Ciclo!$H$3:$H$124,1,FALSE)</f>
        <v>#N/A</v>
      </c>
    </row>
    <row r="182" spans="1:22" x14ac:dyDescent="0.25">
      <c r="A182" s="111" t="s">
        <v>1487</v>
      </c>
      <c r="B182" s="112" t="s">
        <v>1488</v>
      </c>
      <c r="C182" s="112" t="s">
        <v>1489</v>
      </c>
      <c r="D182" s="113">
        <v>0</v>
      </c>
      <c r="E182" s="114">
        <v>0</v>
      </c>
      <c r="F182" s="113">
        <v>0</v>
      </c>
      <c r="G182" s="114">
        <v>150</v>
      </c>
      <c r="H182" s="113">
        <v>0</v>
      </c>
      <c r="I182" s="114">
        <v>0</v>
      </c>
      <c r="J182" s="113">
        <v>0</v>
      </c>
      <c r="K182" s="114">
        <v>0</v>
      </c>
      <c r="L182" s="113">
        <v>0</v>
      </c>
      <c r="M182" s="114">
        <v>0</v>
      </c>
      <c r="N182" s="113">
        <v>0</v>
      </c>
      <c r="O182" s="114">
        <v>0</v>
      </c>
      <c r="P182" s="113">
        <v>0</v>
      </c>
      <c r="Q182" s="114">
        <v>0</v>
      </c>
      <c r="R182" s="113">
        <v>0</v>
      </c>
      <c r="S182" s="114">
        <v>0</v>
      </c>
      <c r="T182" s="113">
        <v>0</v>
      </c>
      <c r="U182" s="115">
        <v>0</v>
      </c>
      <c r="V182" t="e">
        <f>VLOOKUP(A182,Projetos_Ciclo!$H$3:$H$124,1,FALSE)</f>
        <v>#N/A</v>
      </c>
    </row>
    <row r="183" spans="1:22" x14ac:dyDescent="0.25">
      <c r="A183" s="14" t="s">
        <v>1418</v>
      </c>
      <c r="B183" s="116" t="s">
        <v>1419</v>
      </c>
      <c r="C183" s="116" t="s">
        <v>1420</v>
      </c>
      <c r="D183" s="117">
        <v>0</v>
      </c>
      <c r="E183" s="120">
        <v>0</v>
      </c>
      <c r="F183" s="117">
        <v>0</v>
      </c>
      <c r="G183" s="120">
        <v>141</v>
      </c>
      <c r="H183" s="117">
        <v>0</v>
      </c>
      <c r="I183" s="120">
        <v>0</v>
      </c>
      <c r="J183" s="117">
        <v>0</v>
      </c>
      <c r="K183" s="120">
        <v>0</v>
      </c>
      <c r="L183" s="117">
        <v>141.22349548339844</v>
      </c>
      <c r="M183" s="120">
        <v>141.22349548339844</v>
      </c>
      <c r="N183" s="117">
        <v>0</v>
      </c>
      <c r="O183" s="120">
        <v>0</v>
      </c>
      <c r="P183" s="117">
        <v>0</v>
      </c>
      <c r="Q183" s="120">
        <v>0</v>
      </c>
      <c r="R183" s="117">
        <v>0</v>
      </c>
      <c r="S183" s="120">
        <v>0</v>
      </c>
      <c r="T183" s="117">
        <v>0</v>
      </c>
      <c r="U183" s="119">
        <v>0</v>
      </c>
      <c r="V183" t="e">
        <f>VLOOKUP(A183,Projetos_Ciclo!$H$3:$H$124,1,FALSE)</f>
        <v>#N/A</v>
      </c>
    </row>
    <row r="184" spans="1:22" x14ac:dyDescent="0.25">
      <c r="A184" s="111" t="s">
        <v>1524</v>
      </c>
      <c r="B184" s="112" t="s">
        <v>1525</v>
      </c>
      <c r="C184" s="112" t="s">
        <v>1526</v>
      </c>
      <c r="D184" s="113">
        <v>0</v>
      </c>
      <c r="E184" s="114">
        <v>0</v>
      </c>
      <c r="F184" s="113">
        <v>0</v>
      </c>
      <c r="G184" s="114">
        <v>420</v>
      </c>
      <c r="H184" s="113">
        <v>0</v>
      </c>
      <c r="I184" s="114">
        <v>0</v>
      </c>
      <c r="J184" s="113">
        <v>0</v>
      </c>
      <c r="K184" s="114">
        <v>0</v>
      </c>
      <c r="L184" s="113">
        <v>420.44839477539062</v>
      </c>
      <c r="M184" s="114">
        <v>420.44839477539062</v>
      </c>
      <c r="N184" s="113">
        <v>0</v>
      </c>
      <c r="O184" s="114">
        <v>0</v>
      </c>
      <c r="P184" s="113">
        <v>0</v>
      </c>
      <c r="Q184" s="114">
        <v>0</v>
      </c>
      <c r="R184" s="113">
        <v>0</v>
      </c>
      <c r="S184" s="114">
        <v>0</v>
      </c>
      <c r="T184" s="113">
        <v>0</v>
      </c>
      <c r="U184" s="115">
        <v>0</v>
      </c>
      <c r="V184" t="e">
        <f>VLOOKUP(A184,Projetos_Ciclo!$H$3:$H$124,1,FALSE)</f>
        <v>#N/A</v>
      </c>
    </row>
    <row r="185" spans="1:22" x14ac:dyDescent="0.25">
      <c r="A185" s="14" t="s">
        <v>1547</v>
      </c>
      <c r="B185" s="116" t="s">
        <v>1548</v>
      </c>
      <c r="C185" s="116" t="s">
        <v>1549</v>
      </c>
      <c r="D185" s="117">
        <v>0</v>
      </c>
      <c r="E185" s="120">
        <v>0</v>
      </c>
      <c r="F185" s="117">
        <v>0</v>
      </c>
      <c r="G185" s="120">
        <v>800</v>
      </c>
      <c r="H185" s="117">
        <v>0</v>
      </c>
      <c r="I185" s="120">
        <v>0</v>
      </c>
      <c r="J185" s="117">
        <v>0</v>
      </c>
      <c r="K185" s="120">
        <v>0</v>
      </c>
      <c r="L185" s="117">
        <v>800</v>
      </c>
      <c r="M185" s="120">
        <v>800</v>
      </c>
      <c r="N185" s="117">
        <v>0</v>
      </c>
      <c r="O185" s="120">
        <v>0</v>
      </c>
      <c r="P185" s="117">
        <v>0</v>
      </c>
      <c r="Q185" s="120">
        <v>0</v>
      </c>
      <c r="R185" s="117">
        <v>0</v>
      </c>
      <c r="S185" s="120">
        <v>0</v>
      </c>
      <c r="T185" s="117">
        <v>0</v>
      </c>
      <c r="U185" s="119">
        <v>0</v>
      </c>
      <c r="V185" t="e">
        <f>VLOOKUP(A185,Projetos_Ciclo!$H$3:$H$124,1,FALSE)</f>
        <v>#N/A</v>
      </c>
    </row>
    <row r="186" spans="1:22" x14ac:dyDescent="0.25">
      <c r="A186" s="111" t="s">
        <v>1571</v>
      </c>
      <c r="B186" s="112" t="s">
        <v>1537</v>
      </c>
      <c r="C186" s="112" t="s">
        <v>1572</v>
      </c>
      <c r="D186" s="113">
        <v>0</v>
      </c>
      <c r="E186" s="114">
        <v>0</v>
      </c>
      <c r="F186" s="113">
        <v>0</v>
      </c>
      <c r="G186" s="114">
        <v>500</v>
      </c>
      <c r="H186" s="113">
        <v>0</v>
      </c>
      <c r="I186" s="114">
        <v>0</v>
      </c>
      <c r="J186" s="113">
        <v>0</v>
      </c>
      <c r="K186" s="114">
        <v>0</v>
      </c>
      <c r="L186" s="113">
        <v>0</v>
      </c>
      <c r="M186" s="114">
        <v>0</v>
      </c>
      <c r="N186" s="113">
        <v>0</v>
      </c>
      <c r="O186" s="114">
        <v>0</v>
      </c>
      <c r="P186" s="113">
        <v>0</v>
      </c>
      <c r="Q186" s="114">
        <v>0</v>
      </c>
      <c r="R186" s="113">
        <v>0</v>
      </c>
      <c r="S186" s="114">
        <v>0</v>
      </c>
      <c r="T186" s="113">
        <v>0</v>
      </c>
      <c r="U186" s="115">
        <v>0</v>
      </c>
      <c r="V186" t="e">
        <f>VLOOKUP(A186,Projetos_Ciclo!$H$3:$H$124,1,FALSE)</f>
        <v>#N/A</v>
      </c>
    </row>
    <row r="187" spans="1:22" x14ac:dyDescent="0.25">
      <c r="A187" s="14" t="s">
        <v>1573</v>
      </c>
      <c r="B187" s="116" t="s">
        <v>1511</v>
      </c>
      <c r="C187" s="116" t="s">
        <v>1574</v>
      </c>
      <c r="D187" s="117">
        <v>0</v>
      </c>
      <c r="E187" s="120">
        <v>0</v>
      </c>
      <c r="F187" s="117">
        <v>0</v>
      </c>
      <c r="G187" s="120">
        <v>1165</v>
      </c>
      <c r="H187" s="117">
        <v>0</v>
      </c>
      <c r="I187" s="120">
        <v>0</v>
      </c>
      <c r="J187" s="117">
        <v>0</v>
      </c>
      <c r="K187" s="120">
        <v>0</v>
      </c>
      <c r="L187" s="117">
        <v>0</v>
      </c>
      <c r="M187" s="120">
        <v>0</v>
      </c>
      <c r="N187" s="117">
        <v>0</v>
      </c>
      <c r="O187" s="120">
        <v>0</v>
      </c>
      <c r="P187" s="117">
        <v>0</v>
      </c>
      <c r="Q187" s="120">
        <v>0</v>
      </c>
      <c r="R187" s="117">
        <v>0</v>
      </c>
      <c r="S187" s="120">
        <v>0</v>
      </c>
      <c r="T187" s="117">
        <v>0</v>
      </c>
      <c r="U187" s="119">
        <v>0</v>
      </c>
      <c r="V187" t="e">
        <f>VLOOKUP(A187,Projetos_Ciclo!$H$3:$H$124,1,FALSE)</f>
        <v>#N/A</v>
      </c>
    </row>
    <row r="188" spans="1:22" x14ac:dyDescent="0.25">
      <c r="A188" s="111" t="s">
        <v>1575</v>
      </c>
      <c r="B188" s="112" t="s">
        <v>787</v>
      </c>
      <c r="C188" s="112" t="s">
        <v>1576</v>
      </c>
      <c r="D188" s="113">
        <v>0</v>
      </c>
      <c r="E188" s="114">
        <v>0</v>
      </c>
      <c r="F188" s="113">
        <v>0</v>
      </c>
      <c r="G188" s="114">
        <v>1460</v>
      </c>
      <c r="H188" s="113">
        <v>0</v>
      </c>
      <c r="I188" s="114">
        <v>0</v>
      </c>
      <c r="J188" s="113">
        <v>0</v>
      </c>
      <c r="K188" s="114">
        <v>0</v>
      </c>
      <c r="L188" s="113">
        <v>0</v>
      </c>
      <c r="M188" s="114">
        <v>0</v>
      </c>
      <c r="N188" s="113">
        <v>0</v>
      </c>
      <c r="O188" s="114">
        <v>0</v>
      </c>
      <c r="P188" s="113">
        <v>0</v>
      </c>
      <c r="Q188" s="114">
        <v>0</v>
      </c>
      <c r="R188" s="113">
        <v>0</v>
      </c>
      <c r="S188" s="114">
        <v>0</v>
      </c>
      <c r="T188" s="113">
        <v>0</v>
      </c>
      <c r="U188" s="115">
        <v>0</v>
      </c>
      <c r="V188" t="e">
        <f>VLOOKUP(A188,Projetos_Ciclo!$H$3:$H$124,1,FALSE)</f>
        <v>#N/A</v>
      </c>
    </row>
    <row r="189" spans="1:22" x14ac:dyDescent="0.25">
      <c r="A189" s="14" t="s">
        <v>1577</v>
      </c>
      <c r="B189" s="116" t="s">
        <v>1578</v>
      </c>
      <c r="C189" s="116" t="s">
        <v>1579</v>
      </c>
      <c r="D189" s="117">
        <v>0</v>
      </c>
      <c r="E189" s="120">
        <v>0</v>
      </c>
      <c r="F189" s="117">
        <v>0</v>
      </c>
      <c r="G189" s="120">
        <v>179</v>
      </c>
      <c r="H189" s="117">
        <v>0</v>
      </c>
      <c r="I189" s="120">
        <v>0</v>
      </c>
      <c r="J189" s="117">
        <v>0</v>
      </c>
      <c r="K189" s="120">
        <v>0</v>
      </c>
      <c r="L189" s="117">
        <v>0</v>
      </c>
      <c r="M189" s="120">
        <v>0</v>
      </c>
      <c r="N189" s="117">
        <v>0</v>
      </c>
      <c r="O189" s="120">
        <v>0</v>
      </c>
      <c r="P189" s="117">
        <v>0</v>
      </c>
      <c r="Q189" s="120">
        <v>0</v>
      </c>
      <c r="R189" s="117">
        <v>0</v>
      </c>
      <c r="S189" s="120">
        <v>0</v>
      </c>
      <c r="T189" s="117">
        <v>0</v>
      </c>
      <c r="U189" s="119">
        <v>0</v>
      </c>
      <c r="V189" t="e">
        <f>VLOOKUP(A189,Projetos_Ciclo!$H$3:$H$124,1,FALSE)</f>
        <v>#N/A</v>
      </c>
    </row>
    <row r="190" spans="1:22" x14ac:dyDescent="0.25">
      <c r="A190" s="111" t="s">
        <v>1133</v>
      </c>
      <c r="B190" s="112" t="s">
        <v>1331</v>
      </c>
      <c r="C190" s="112" t="s">
        <v>57</v>
      </c>
      <c r="D190" s="113">
        <v>0</v>
      </c>
      <c r="E190" s="114">
        <v>0</v>
      </c>
      <c r="F190" s="113">
        <v>0</v>
      </c>
      <c r="G190" s="114">
        <v>0</v>
      </c>
      <c r="H190" s="113">
        <v>0</v>
      </c>
      <c r="I190" s="114">
        <v>0</v>
      </c>
      <c r="J190" s="113">
        <v>0</v>
      </c>
      <c r="K190" s="114">
        <v>0</v>
      </c>
      <c r="L190" s="113">
        <v>0</v>
      </c>
      <c r="M190" s="114">
        <v>0</v>
      </c>
      <c r="N190" s="113">
        <v>0</v>
      </c>
      <c r="O190" s="114">
        <v>0</v>
      </c>
      <c r="P190" s="113">
        <v>0</v>
      </c>
      <c r="Q190" s="114">
        <v>0</v>
      </c>
      <c r="R190" s="113">
        <v>0</v>
      </c>
      <c r="S190" s="114">
        <v>0</v>
      </c>
      <c r="T190" s="113">
        <v>0</v>
      </c>
      <c r="U190" s="115">
        <v>0</v>
      </c>
      <c r="V190" t="e">
        <f>VLOOKUP(A190,Projetos_Ciclo!$H$3:$H$124,1,FALSE)</f>
        <v>#N/A</v>
      </c>
    </row>
    <row r="191" spans="1:22" x14ac:dyDescent="0.25">
      <c r="A191" s="14" t="s">
        <v>1135</v>
      </c>
      <c r="B191" s="116" t="s">
        <v>1136</v>
      </c>
      <c r="C191" s="116" t="s">
        <v>57</v>
      </c>
      <c r="D191" s="117">
        <v>0</v>
      </c>
      <c r="E191" s="120">
        <v>0</v>
      </c>
      <c r="F191" s="117">
        <v>0</v>
      </c>
      <c r="G191" s="120">
        <v>0</v>
      </c>
      <c r="H191" s="117">
        <v>0</v>
      </c>
      <c r="I191" s="120">
        <v>0</v>
      </c>
      <c r="J191" s="117">
        <v>0</v>
      </c>
      <c r="K191" s="120">
        <v>0</v>
      </c>
      <c r="L191" s="117">
        <v>0</v>
      </c>
      <c r="M191" s="120">
        <v>0</v>
      </c>
      <c r="N191" s="117">
        <v>0</v>
      </c>
      <c r="O191" s="120">
        <v>0</v>
      </c>
      <c r="P191" s="117">
        <v>0</v>
      </c>
      <c r="Q191" s="120">
        <v>0</v>
      </c>
      <c r="R191" s="117">
        <v>0</v>
      </c>
      <c r="S191" s="120">
        <v>0</v>
      </c>
      <c r="T191" s="117">
        <v>0</v>
      </c>
      <c r="U191" s="119">
        <v>0</v>
      </c>
    </row>
    <row r="192" spans="1:22" x14ac:dyDescent="0.25">
      <c r="A192" s="111" t="s">
        <v>1332</v>
      </c>
      <c r="B192" s="112" t="s">
        <v>1333</v>
      </c>
      <c r="C192" s="112" t="s">
        <v>1449</v>
      </c>
      <c r="D192" s="113">
        <v>3182</v>
      </c>
      <c r="E192" s="114">
        <v>0</v>
      </c>
      <c r="F192" s="113">
        <v>3182</v>
      </c>
      <c r="G192" s="114">
        <v>0</v>
      </c>
      <c r="H192" s="113">
        <v>0</v>
      </c>
      <c r="I192" s="114">
        <v>0</v>
      </c>
      <c r="J192" s="113">
        <v>0</v>
      </c>
      <c r="K192" s="114">
        <v>0</v>
      </c>
      <c r="L192" s="113">
        <v>0</v>
      </c>
      <c r="M192" s="114">
        <v>0</v>
      </c>
      <c r="N192" s="113">
        <v>0</v>
      </c>
      <c r="O192" s="114">
        <v>0</v>
      </c>
      <c r="P192" s="113">
        <v>0</v>
      </c>
      <c r="Q192" s="114">
        <v>0</v>
      </c>
      <c r="R192" s="113">
        <v>0</v>
      </c>
      <c r="S192" s="114">
        <v>0</v>
      </c>
      <c r="T192" s="113">
        <v>0</v>
      </c>
      <c r="U192" s="115">
        <v>0</v>
      </c>
    </row>
    <row r="193" spans="1:21" x14ac:dyDescent="0.25">
      <c r="A193" s="14" t="s">
        <v>1365</v>
      </c>
      <c r="B193" s="116" t="s">
        <v>1450</v>
      </c>
      <c r="C193" s="116" t="s">
        <v>1451</v>
      </c>
      <c r="D193" s="117">
        <v>0</v>
      </c>
      <c r="E193" s="120">
        <v>0</v>
      </c>
      <c r="F193" s="117">
        <v>0</v>
      </c>
      <c r="G193" s="120">
        <v>720</v>
      </c>
      <c r="H193" s="117">
        <v>0</v>
      </c>
      <c r="I193" s="120">
        <v>0</v>
      </c>
      <c r="J193" s="117">
        <v>0</v>
      </c>
      <c r="K193" s="120">
        <v>0</v>
      </c>
      <c r="L193" s="117">
        <v>0</v>
      </c>
      <c r="M193" s="120">
        <v>0</v>
      </c>
      <c r="N193" s="117">
        <v>0</v>
      </c>
      <c r="O193" s="120">
        <v>0</v>
      </c>
      <c r="P193" s="117">
        <v>0</v>
      </c>
      <c r="Q193" s="120">
        <v>0</v>
      </c>
      <c r="R193" s="117">
        <v>0</v>
      </c>
      <c r="S193" s="120">
        <v>0</v>
      </c>
      <c r="T193" s="117">
        <v>0</v>
      </c>
      <c r="U193" s="119">
        <v>0</v>
      </c>
    </row>
    <row r="194" spans="1:21" x14ac:dyDescent="0.25">
      <c r="A194" s="111" t="s">
        <v>1366</v>
      </c>
      <c r="B194" s="112" t="s">
        <v>644</v>
      </c>
      <c r="C194" s="112" t="s">
        <v>1452</v>
      </c>
      <c r="D194" s="113">
        <v>0</v>
      </c>
      <c r="E194" s="114">
        <v>0</v>
      </c>
      <c r="F194" s="113">
        <v>0</v>
      </c>
      <c r="G194" s="114">
        <v>500</v>
      </c>
      <c r="H194" s="113">
        <v>0</v>
      </c>
      <c r="I194" s="114">
        <v>0</v>
      </c>
      <c r="J194" s="113">
        <v>0</v>
      </c>
      <c r="K194" s="114">
        <v>0</v>
      </c>
      <c r="L194" s="113">
        <v>0</v>
      </c>
      <c r="M194" s="114">
        <v>0</v>
      </c>
      <c r="N194" s="113">
        <v>0</v>
      </c>
      <c r="O194" s="114">
        <v>0</v>
      </c>
      <c r="P194" s="113">
        <v>0</v>
      </c>
      <c r="Q194" s="114">
        <v>0</v>
      </c>
      <c r="R194" s="113">
        <v>0</v>
      </c>
      <c r="S194" s="114">
        <v>0</v>
      </c>
      <c r="T194" s="113">
        <v>0</v>
      </c>
      <c r="U194" s="115">
        <v>0</v>
      </c>
    </row>
    <row r="195" spans="1:21" x14ac:dyDescent="0.25">
      <c r="A195" s="14" t="s">
        <v>520</v>
      </c>
      <c r="B195" s="116" t="s">
        <v>1137</v>
      </c>
      <c r="C195" s="116" t="s">
        <v>57</v>
      </c>
      <c r="D195" s="117">
        <v>5366</v>
      </c>
      <c r="E195" s="120">
        <v>0</v>
      </c>
      <c r="F195" s="117">
        <v>0</v>
      </c>
      <c r="G195" s="120">
        <v>0</v>
      </c>
      <c r="H195" s="117">
        <v>0</v>
      </c>
      <c r="I195" s="120">
        <v>0</v>
      </c>
      <c r="J195" s="117">
        <v>0</v>
      </c>
      <c r="K195" s="120">
        <v>0</v>
      </c>
      <c r="L195" s="117">
        <v>0</v>
      </c>
      <c r="M195" s="120">
        <v>0</v>
      </c>
      <c r="N195" s="117">
        <v>1864</v>
      </c>
      <c r="O195" s="120">
        <v>2982</v>
      </c>
      <c r="P195" s="117">
        <v>350</v>
      </c>
      <c r="Q195" s="120">
        <v>170</v>
      </c>
      <c r="R195" s="117">
        <v>0</v>
      </c>
      <c r="S195" s="120">
        <v>0</v>
      </c>
      <c r="T195" s="117">
        <v>0</v>
      </c>
      <c r="U195" s="119">
        <v>0</v>
      </c>
    </row>
    <row r="196" spans="1:21" x14ac:dyDescent="0.25">
      <c r="A196" s="111" t="s">
        <v>1138</v>
      </c>
      <c r="B196" s="112" t="s">
        <v>1139</v>
      </c>
      <c r="C196" s="112" t="s">
        <v>57</v>
      </c>
      <c r="D196" s="113">
        <v>0</v>
      </c>
      <c r="E196" s="114">
        <v>0</v>
      </c>
      <c r="F196" s="113">
        <v>0</v>
      </c>
      <c r="G196" s="114">
        <v>0</v>
      </c>
      <c r="H196" s="113">
        <v>0</v>
      </c>
      <c r="I196" s="114">
        <v>0</v>
      </c>
      <c r="J196" s="113">
        <v>0</v>
      </c>
      <c r="K196" s="114">
        <v>0</v>
      </c>
      <c r="L196" s="113">
        <v>0</v>
      </c>
      <c r="M196" s="114">
        <v>0</v>
      </c>
      <c r="N196" s="113">
        <v>0</v>
      </c>
      <c r="O196" s="114">
        <v>0</v>
      </c>
      <c r="P196" s="113">
        <v>0</v>
      </c>
      <c r="Q196" s="114">
        <v>0</v>
      </c>
      <c r="R196" s="113">
        <v>0</v>
      </c>
      <c r="S196" s="114">
        <v>0</v>
      </c>
      <c r="T196" s="113">
        <v>0</v>
      </c>
      <c r="U196" s="115">
        <v>0</v>
      </c>
    </row>
    <row r="197" spans="1:21" x14ac:dyDescent="0.25">
      <c r="A197" s="14" t="s">
        <v>1133</v>
      </c>
      <c r="B197" s="116" t="s">
        <v>1254</v>
      </c>
      <c r="C197" s="116" t="s">
        <v>57</v>
      </c>
      <c r="D197" s="117">
        <v>0</v>
      </c>
      <c r="E197" s="120">
        <v>0</v>
      </c>
      <c r="F197" s="117">
        <v>0</v>
      </c>
      <c r="G197" s="120">
        <v>0</v>
      </c>
      <c r="H197" s="117">
        <v>0</v>
      </c>
      <c r="I197" s="120">
        <v>0</v>
      </c>
      <c r="J197" s="117">
        <v>0</v>
      </c>
      <c r="K197" s="120">
        <v>0</v>
      </c>
      <c r="L197" s="117">
        <v>0</v>
      </c>
      <c r="M197" s="120">
        <v>0</v>
      </c>
      <c r="N197" s="117">
        <v>0</v>
      </c>
      <c r="O197" s="120">
        <v>0</v>
      </c>
      <c r="P197" s="117">
        <v>0</v>
      </c>
      <c r="Q197" s="120">
        <v>0</v>
      </c>
      <c r="R197" s="117">
        <v>0</v>
      </c>
      <c r="S197" s="120">
        <v>0</v>
      </c>
      <c r="T197" s="117">
        <v>0</v>
      </c>
      <c r="U197" s="119">
        <v>0</v>
      </c>
    </row>
    <row r="198" spans="1:21" x14ac:dyDescent="0.25">
      <c r="A198" s="111" t="s">
        <v>1135</v>
      </c>
      <c r="B198" s="112" t="s">
        <v>1136</v>
      </c>
      <c r="C198" s="112" t="s">
        <v>57</v>
      </c>
      <c r="D198" s="113">
        <v>0</v>
      </c>
      <c r="E198" s="114">
        <v>0</v>
      </c>
      <c r="F198" s="113">
        <v>0</v>
      </c>
      <c r="G198" s="114">
        <v>0</v>
      </c>
      <c r="H198" s="113">
        <v>0</v>
      </c>
      <c r="I198" s="114">
        <v>0</v>
      </c>
      <c r="J198" s="113">
        <v>0</v>
      </c>
      <c r="K198" s="114">
        <v>0</v>
      </c>
      <c r="L198" s="113">
        <v>0</v>
      </c>
      <c r="M198" s="114">
        <v>0</v>
      </c>
      <c r="N198" s="113">
        <v>0</v>
      </c>
      <c r="O198" s="114">
        <v>0</v>
      </c>
      <c r="P198" s="113">
        <v>0</v>
      </c>
      <c r="Q198" s="114">
        <v>0</v>
      </c>
      <c r="R198" s="113">
        <v>0</v>
      </c>
      <c r="S198" s="114">
        <v>0</v>
      </c>
      <c r="T198" s="113">
        <v>0</v>
      </c>
      <c r="U198" s="115">
        <v>0</v>
      </c>
    </row>
    <row r="199" spans="1:21" x14ac:dyDescent="0.25">
      <c r="A199" s="14" t="s">
        <v>520</v>
      </c>
      <c r="B199" s="116" t="s">
        <v>1335</v>
      </c>
      <c r="C199" s="116" t="s">
        <v>57</v>
      </c>
      <c r="D199" s="117">
        <v>625</v>
      </c>
      <c r="E199" s="120">
        <v>0</v>
      </c>
      <c r="F199" s="117">
        <v>0</v>
      </c>
      <c r="G199" s="120">
        <v>0</v>
      </c>
      <c r="H199" s="117">
        <v>0</v>
      </c>
      <c r="I199" s="120">
        <v>0</v>
      </c>
      <c r="J199" s="117">
        <v>0</v>
      </c>
      <c r="K199" s="120">
        <v>0</v>
      </c>
      <c r="L199" s="117">
        <v>0</v>
      </c>
      <c r="M199" s="120">
        <v>0</v>
      </c>
      <c r="N199" s="117">
        <v>75</v>
      </c>
      <c r="O199" s="120">
        <v>150</v>
      </c>
      <c r="P199" s="117">
        <v>150</v>
      </c>
      <c r="Q199" s="120">
        <v>250</v>
      </c>
      <c r="R199" s="117">
        <v>0</v>
      </c>
      <c r="S199" s="120">
        <v>0</v>
      </c>
      <c r="T199" s="117">
        <v>0</v>
      </c>
      <c r="U199" s="119">
        <v>0</v>
      </c>
    </row>
    <row r="200" spans="1:21" x14ac:dyDescent="0.25">
      <c r="A200" s="111" t="s">
        <v>1138</v>
      </c>
      <c r="B200" s="112" t="s">
        <v>1139</v>
      </c>
      <c r="C200" s="112" t="s">
        <v>57</v>
      </c>
      <c r="D200" s="113">
        <v>0</v>
      </c>
      <c r="E200" s="114">
        <v>0</v>
      </c>
      <c r="F200" s="113">
        <v>0</v>
      </c>
      <c r="G200" s="114">
        <v>0</v>
      </c>
      <c r="H200" s="113">
        <v>0</v>
      </c>
      <c r="I200" s="114">
        <v>0</v>
      </c>
      <c r="J200" s="113">
        <v>0</v>
      </c>
      <c r="K200" s="114">
        <v>0</v>
      </c>
      <c r="L200" s="113">
        <v>0</v>
      </c>
      <c r="M200" s="114">
        <v>0</v>
      </c>
      <c r="N200" s="113">
        <v>0</v>
      </c>
      <c r="O200" s="114">
        <v>0</v>
      </c>
      <c r="P200" s="113">
        <v>0</v>
      </c>
      <c r="Q200" s="114">
        <v>0</v>
      </c>
      <c r="R200" s="113">
        <v>0</v>
      </c>
      <c r="S200" s="114">
        <v>0</v>
      </c>
      <c r="T200" s="113">
        <v>0</v>
      </c>
      <c r="U200" s="115">
        <v>0</v>
      </c>
    </row>
    <row r="201" spans="1:21" x14ac:dyDescent="0.25">
      <c r="A201" s="14" t="s">
        <v>1336</v>
      </c>
      <c r="B201" s="116" t="s">
        <v>1337</v>
      </c>
      <c r="C201" s="116" t="s">
        <v>1338</v>
      </c>
      <c r="D201" s="117">
        <v>75</v>
      </c>
      <c r="E201" s="120">
        <v>0</v>
      </c>
      <c r="F201" s="117">
        <v>75</v>
      </c>
      <c r="G201" s="120">
        <v>0</v>
      </c>
      <c r="H201" s="117">
        <v>0</v>
      </c>
      <c r="I201" s="120">
        <v>0</v>
      </c>
      <c r="J201" s="117">
        <v>0</v>
      </c>
      <c r="K201" s="120">
        <v>0</v>
      </c>
      <c r="L201" s="117">
        <v>0</v>
      </c>
      <c r="M201" s="120">
        <v>0</v>
      </c>
      <c r="N201" s="117">
        <v>0</v>
      </c>
      <c r="O201" s="120">
        <v>0</v>
      </c>
      <c r="P201" s="117">
        <v>0</v>
      </c>
      <c r="Q201" s="120">
        <v>0</v>
      </c>
      <c r="R201" s="117">
        <v>0</v>
      </c>
      <c r="S201" s="120">
        <v>0</v>
      </c>
      <c r="T201" s="117">
        <v>0</v>
      </c>
      <c r="U201" s="119">
        <v>0</v>
      </c>
    </row>
    <row r="202" spans="1:21" x14ac:dyDescent="0.25">
      <c r="A202" s="111" t="s">
        <v>1421</v>
      </c>
      <c r="B202" s="112" t="s">
        <v>1402</v>
      </c>
      <c r="C202" s="112" t="s">
        <v>1422</v>
      </c>
      <c r="D202" s="113">
        <v>0</v>
      </c>
      <c r="E202" s="114">
        <v>0</v>
      </c>
      <c r="F202" s="113">
        <v>0</v>
      </c>
      <c r="G202" s="114">
        <v>75</v>
      </c>
      <c r="H202" s="113">
        <v>0</v>
      </c>
      <c r="I202" s="114">
        <v>0</v>
      </c>
      <c r="J202" s="113">
        <v>0</v>
      </c>
      <c r="K202" s="114">
        <v>0</v>
      </c>
      <c r="L202" s="113">
        <v>0</v>
      </c>
      <c r="M202" s="114">
        <v>0</v>
      </c>
      <c r="N202" s="113">
        <v>0</v>
      </c>
      <c r="O202" s="114">
        <v>0</v>
      </c>
      <c r="P202" s="113">
        <v>0</v>
      </c>
      <c r="Q202" s="114">
        <v>0</v>
      </c>
      <c r="R202" s="113">
        <v>0</v>
      </c>
      <c r="S202" s="114">
        <v>0</v>
      </c>
      <c r="T202" s="113">
        <v>0</v>
      </c>
      <c r="U202" s="115">
        <v>0</v>
      </c>
    </row>
    <row r="203" spans="1:21" x14ac:dyDescent="0.25">
      <c r="A203" s="14" t="s">
        <v>1133</v>
      </c>
      <c r="B203" s="116" t="s">
        <v>1339</v>
      </c>
      <c r="C203" s="116" t="s">
        <v>57</v>
      </c>
      <c r="D203" s="117">
        <v>0</v>
      </c>
      <c r="E203" s="120">
        <v>0</v>
      </c>
      <c r="F203" s="117">
        <v>0</v>
      </c>
      <c r="G203" s="120">
        <v>0</v>
      </c>
      <c r="H203" s="117">
        <v>0</v>
      </c>
      <c r="I203" s="120">
        <v>0</v>
      </c>
      <c r="J203" s="117">
        <v>0</v>
      </c>
      <c r="K203" s="120">
        <v>0</v>
      </c>
      <c r="L203" s="117">
        <v>0</v>
      </c>
      <c r="M203" s="120">
        <v>0</v>
      </c>
      <c r="N203" s="117">
        <v>0</v>
      </c>
      <c r="O203" s="120">
        <v>0</v>
      </c>
      <c r="P203" s="117">
        <v>0</v>
      </c>
      <c r="Q203" s="120">
        <v>0</v>
      </c>
      <c r="R203" s="117">
        <v>0</v>
      </c>
      <c r="S203" s="120">
        <v>0</v>
      </c>
      <c r="T203" s="117">
        <v>0</v>
      </c>
      <c r="U203" s="119">
        <v>0</v>
      </c>
    </row>
    <row r="204" spans="1:21" x14ac:dyDescent="0.25">
      <c r="A204" s="111" t="s">
        <v>1135</v>
      </c>
      <c r="B204" s="112" t="s">
        <v>1136</v>
      </c>
      <c r="C204" s="112" t="s">
        <v>57</v>
      </c>
      <c r="D204" s="113">
        <v>0</v>
      </c>
      <c r="E204" s="114">
        <v>0</v>
      </c>
      <c r="F204" s="113">
        <v>0</v>
      </c>
      <c r="G204" s="114">
        <v>0</v>
      </c>
      <c r="H204" s="113">
        <v>0</v>
      </c>
      <c r="I204" s="114">
        <v>0</v>
      </c>
      <c r="J204" s="113">
        <v>0</v>
      </c>
      <c r="K204" s="114">
        <v>0</v>
      </c>
      <c r="L204" s="113">
        <v>0</v>
      </c>
      <c r="M204" s="114">
        <v>0</v>
      </c>
      <c r="N204" s="113">
        <v>0</v>
      </c>
      <c r="O204" s="114">
        <v>0</v>
      </c>
      <c r="P204" s="113">
        <v>0</v>
      </c>
      <c r="Q204" s="114">
        <v>0</v>
      </c>
      <c r="R204" s="113">
        <v>0</v>
      </c>
      <c r="S204" s="114">
        <v>0</v>
      </c>
      <c r="T204" s="113">
        <v>0</v>
      </c>
      <c r="U204" s="115">
        <v>0</v>
      </c>
    </row>
    <row r="205" spans="1:21" x14ac:dyDescent="0.25">
      <c r="A205" s="14" t="s">
        <v>520</v>
      </c>
      <c r="B205" s="116" t="s">
        <v>1340</v>
      </c>
      <c r="C205" s="116" t="s">
        <v>57</v>
      </c>
      <c r="D205" s="117">
        <v>600</v>
      </c>
      <c r="E205" s="120">
        <v>0</v>
      </c>
      <c r="F205" s="117">
        <v>0</v>
      </c>
      <c r="G205" s="120">
        <v>0</v>
      </c>
      <c r="H205" s="117">
        <v>0</v>
      </c>
      <c r="I205" s="120">
        <v>0</v>
      </c>
      <c r="J205" s="117">
        <v>0</v>
      </c>
      <c r="K205" s="120">
        <v>0</v>
      </c>
      <c r="L205" s="117">
        <v>0</v>
      </c>
      <c r="M205" s="120">
        <v>0</v>
      </c>
      <c r="N205" s="117">
        <v>150</v>
      </c>
      <c r="O205" s="120">
        <v>150</v>
      </c>
      <c r="P205" s="117">
        <v>150</v>
      </c>
      <c r="Q205" s="120">
        <v>150</v>
      </c>
      <c r="R205" s="117">
        <v>0</v>
      </c>
      <c r="S205" s="120">
        <v>0</v>
      </c>
      <c r="T205" s="117">
        <v>0</v>
      </c>
      <c r="U205" s="119">
        <v>0</v>
      </c>
    </row>
    <row r="206" spans="1:21" x14ac:dyDescent="0.25">
      <c r="A206" s="111" t="s">
        <v>1138</v>
      </c>
      <c r="B206" s="112" t="s">
        <v>1139</v>
      </c>
      <c r="C206" s="112" t="s">
        <v>57</v>
      </c>
      <c r="D206" s="113">
        <v>0</v>
      </c>
      <c r="E206" s="114">
        <v>0</v>
      </c>
      <c r="F206" s="113">
        <v>0</v>
      </c>
      <c r="G206" s="114">
        <v>0</v>
      </c>
      <c r="H206" s="113">
        <v>0</v>
      </c>
      <c r="I206" s="114">
        <v>0</v>
      </c>
      <c r="J206" s="113">
        <v>0</v>
      </c>
      <c r="K206" s="114">
        <v>0</v>
      </c>
      <c r="L206" s="113">
        <v>0</v>
      </c>
      <c r="M206" s="114">
        <v>0</v>
      </c>
      <c r="N206" s="113">
        <v>0</v>
      </c>
      <c r="O206" s="114">
        <v>0</v>
      </c>
      <c r="P206" s="113">
        <v>0</v>
      </c>
      <c r="Q206" s="114">
        <v>0</v>
      </c>
      <c r="R206" s="113">
        <v>0</v>
      </c>
      <c r="S206" s="114">
        <v>0</v>
      </c>
      <c r="T206" s="113">
        <v>0</v>
      </c>
      <c r="U206" s="115">
        <v>0</v>
      </c>
    </row>
    <row r="207" spans="1:21" x14ac:dyDescent="0.25">
      <c r="A207" s="14" t="s">
        <v>1341</v>
      </c>
      <c r="B207" s="116" t="s">
        <v>1342</v>
      </c>
      <c r="C207" s="116" t="s">
        <v>1343</v>
      </c>
      <c r="D207" s="117">
        <v>0</v>
      </c>
      <c r="E207" s="120">
        <v>0</v>
      </c>
      <c r="F207" s="117">
        <v>0</v>
      </c>
      <c r="G207" s="120">
        <v>0</v>
      </c>
      <c r="H207" s="117">
        <v>0</v>
      </c>
      <c r="I207" s="120">
        <v>0</v>
      </c>
      <c r="J207" s="117">
        <v>0</v>
      </c>
      <c r="K207" s="120">
        <v>0</v>
      </c>
      <c r="L207" s="117">
        <v>0</v>
      </c>
      <c r="M207" s="120">
        <v>0</v>
      </c>
      <c r="N207" s="117">
        <v>0</v>
      </c>
      <c r="O207" s="120">
        <v>0</v>
      </c>
      <c r="P207" s="117">
        <v>0</v>
      </c>
      <c r="Q207" s="120">
        <v>0</v>
      </c>
      <c r="R207" s="117">
        <v>0</v>
      </c>
      <c r="S207" s="120">
        <v>0</v>
      </c>
      <c r="T207" s="117">
        <v>0</v>
      </c>
      <c r="U207" s="119">
        <v>0</v>
      </c>
    </row>
    <row r="208" spans="1:21" x14ac:dyDescent="0.25">
      <c r="A208" s="111" t="s">
        <v>745</v>
      </c>
      <c r="B208" s="112" t="s">
        <v>1344</v>
      </c>
      <c r="C208" s="112" t="s">
        <v>1345</v>
      </c>
      <c r="D208" s="113">
        <v>0</v>
      </c>
      <c r="E208" s="114">
        <v>0</v>
      </c>
      <c r="F208" s="113">
        <v>0</v>
      </c>
      <c r="G208" s="114">
        <v>8</v>
      </c>
      <c r="H208" s="113">
        <v>0</v>
      </c>
      <c r="I208" s="114">
        <v>7.60504150390625</v>
      </c>
      <c r="J208" s="113">
        <v>0</v>
      </c>
      <c r="K208" s="114">
        <v>7.60504150390625</v>
      </c>
      <c r="L208" s="113">
        <v>0</v>
      </c>
      <c r="M208" s="114">
        <v>7.60504150390625</v>
      </c>
      <c r="N208" s="113">
        <v>0</v>
      </c>
      <c r="O208" s="114">
        <v>0</v>
      </c>
      <c r="P208" s="113">
        <v>0</v>
      </c>
      <c r="Q208" s="114">
        <v>0</v>
      </c>
      <c r="R208" s="113">
        <v>0</v>
      </c>
      <c r="S208" s="114">
        <v>0</v>
      </c>
      <c r="T208" s="113">
        <v>0</v>
      </c>
      <c r="U208" s="115">
        <v>0</v>
      </c>
    </row>
    <row r="209" spans="1:21" x14ac:dyDescent="0.25">
      <c r="A209" s="14" t="s">
        <v>1336</v>
      </c>
      <c r="B209" s="116" t="s">
        <v>1346</v>
      </c>
      <c r="C209" s="116" t="s">
        <v>1347</v>
      </c>
      <c r="D209" s="117">
        <v>1289</v>
      </c>
      <c r="E209" s="120">
        <v>0</v>
      </c>
      <c r="F209" s="117">
        <v>1289</v>
      </c>
      <c r="G209" s="120">
        <v>0</v>
      </c>
      <c r="H209" s="117">
        <v>219</v>
      </c>
      <c r="I209" s="120">
        <v>0</v>
      </c>
      <c r="J209" s="117">
        <v>0</v>
      </c>
      <c r="K209" s="120">
        <v>0</v>
      </c>
      <c r="L209" s="117">
        <v>0</v>
      </c>
      <c r="M209" s="120">
        <v>0</v>
      </c>
      <c r="N209" s="117">
        <v>0</v>
      </c>
      <c r="O209" s="120">
        <v>0</v>
      </c>
      <c r="P209" s="117">
        <v>0</v>
      </c>
      <c r="Q209" s="120">
        <v>0</v>
      </c>
      <c r="R209" s="117">
        <v>0</v>
      </c>
      <c r="S209" s="120">
        <v>0</v>
      </c>
      <c r="T209" s="117">
        <v>0</v>
      </c>
      <c r="U209" s="119">
        <v>0</v>
      </c>
    </row>
    <row r="210" spans="1:21" s="288" customFormat="1" ht="18.75" x14ac:dyDescent="0.3">
      <c r="D210" s="288">
        <f>SUBTOTAL(9,D4:D209)</f>
        <v>356727.6</v>
      </c>
      <c r="E210" s="288">
        <f t="shared" ref="E210:U210" si="0">SUBTOTAL(9,E4:E209)</f>
        <v>0</v>
      </c>
      <c r="F210" s="288">
        <f t="shared" si="0"/>
        <v>83740</v>
      </c>
      <c r="G210" s="288">
        <f t="shared" si="0"/>
        <v>52659</v>
      </c>
      <c r="H210" s="288">
        <f t="shared" si="0"/>
        <v>13500</v>
      </c>
      <c r="I210" s="287">
        <f t="shared" si="0"/>
        <v>9232.1885358095169</v>
      </c>
      <c r="J210" s="288">
        <f t="shared" si="0"/>
        <v>0</v>
      </c>
      <c r="K210" s="288">
        <f t="shared" si="0"/>
        <v>9232.1885358095169</v>
      </c>
      <c r="L210" s="288">
        <f t="shared" si="0"/>
        <v>17453.763808369637</v>
      </c>
      <c r="M210" s="288">
        <f t="shared" si="0"/>
        <v>26685.952344179153</v>
      </c>
      <c r="N210" s="288">
        <f t="shared" si="0"/>
        <v>89792</v>
      </c>
      <c r="O210" s="288">
        <f t="shared" si="0"/>
        <v>81660</v>
      </c>
      <c r="P210" s="288">
        <f t="shared" si="0"/>
        <v>54136</v>
      </c>
      <c r="Q210" s="288">
        <f t="shared" si="0"/>
        <v>47400</v>
      </c>
      <c r="R210" s="288">
        <f t="shared" si="0"/>
        <v>0</v>
      </c>
      <c r="S210" s="288">
        <f t="shared" si="0"/>
        <v>0</v>
      </c>
      <c r="T210" s="288">
        <f t="shared" si="0"/>
        <v>0</v>
      </c>
      <c r="U210" s="288">
        <f t="shared" si="0"/>
        <v>0</v>
      </c>
    </row>
  </sheetData>
  <autoFilter ref="A2:V19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B2:K31"/>
  <sheetViews>
    <sheetView showGridLines="0" topLeftCell="B1" workbookViewId="0">
      <selection activeCell="K10" sqref="K10"/>
    </sheetView>
  </sheetViews>
  <sheetFormatPr defaultRowHeight="15" x14ac:dyDescent="0.25"/>
  <cols>
    <col min="2" max="2" width="43.5703125" customWidth="1"/>
    <col min="3" max="3" width="16" customWidth="1"/>
    <col min="4" max="4" width="15.42578125" customWidth="1"/>
    <col min="5" max="5" width="8.5703125" customWidth="1"/>
    <col min="6" max="6" width="13.28515625" customWidth="1"/>
    <col min="7" max="7" width="14" customWidth="1"/>
    <col min="8" max="8" width="9.85546875" customWidth="1"/>
    <col min="9" max="9" width="13.5703125" customWidth="1"/>
    <col min="11" max="11" width="10.7109375" bestFit="1" customWidth="1"/>
  </cols>
  <sheetData>
    <row r="2" spans="2:11" ht="16.5" thickBot="1" x14ac:dyDescent="0.3">
      <c r="B2" s="152" t="s">
        <v>1428</v>
      </c>
    </row>
    <row r="3" spans="2:11" ht="15.75" thickBot="1" x14ac:dyDescent="0.3">
      <c r="I3" s="158" t="s">
        <v>1440</v>
      </c>
      <c r="J3" s="159"/>
      <c r="K3" s="157">
        <v>43371</v>
      </c>
    </row>
    <row r="4" spans="2:11" ht="12.75" customHeight="1" x14ac:dyDescent="0.25">
      <c r="B4" s="143" t="s">
        <v>1426</v>
      </c>
    </row>
    <row r="5" spans="2:11" ht="13.5" customHeight="1" x14ac:dyDescent="0.25">
      <c r="B5" s="143" t="s">
        <v>1430</v>
      </c>
    </row>
    <row r="6" spans="2:11" x14ac:dyDescent="0.25">
      <c r="B6" s="143"/>
    </row>
    <row r="7" spans="2:11" ht="15.75" customHeight="1" x14ac:dyDescent="0.25">
      <c r="B7" s="464" t="s">
        <v>1735</v>
      </c>
      <c r="C7" s="465"/>
      <c r="D7" s="465"/>
      <c r="E7" s="465"/>
      <c r="F7" s="465"/>
      <c r="G7" s="465"/>
      <c r="H7" s="466"/>
    </row>
    <row r="8" spans="2:11" ht="20.25" customHeight="1" x14ac:dyDescent="0.25">
      <c r="B8" s="295"/>
      <c r="C8" s="462" t="s">
        <v>1657</v>
      </c>
      <c r="D8" s="294" t="s">
        <v>1438</v>
      </c>
      <c r="E8" s="294" t="s">
        <v>1437</v>
      </c>
      <c r="F8" s="294" t="s">
        <v>1436</v>
      </c>
      <c r="G8" s="294" t="s">
        <v>1435</v>
      </c>
      <c r="H8" s="294" t="s">
        <v>1439</v>
      </c>
    </row>
    <row r="9" spans="2:11" ht="12" customHeight="1" x14ac:dyDescent="0.25">
      <c r="B9" s="295" t="s">
        <v>1</v>
      </c>
      <c r="C9" s="463"/>
      <c r="D9" s="156">
        <f>$K$3</f>
        <v>43371</v>
      </c>
      <c r="E9" s="295"/>
      <c r="F9" s="295"/>
      <c r="G9" s="156">
        <f>$K$3</f>
        <v>43371</v>
      </c>
      <c r="H9" s="295"/>
    </row>
    <row r="10" spans="2:11" x14ac:dyDescent="0.25">
      <c r="B10" s="155"/>
      <c r="C10" s="155" t="s">
        <v>1433</v>
      </c>
      <c r="D10" s="155" t="s">
        <v>1434</v>
      </c>
      <c r="E10" s="155" t="s">
        <v>1852</v>
      </c>
      <c r="F10" s="155" t="s">
        <v>1853</v>
      </c>
      <c r="G10" s="155" t="s">
        <v>1854</v>
      </c>
      <c r="H10" s="155" t="s">
        <v>1855</v>
      </c>
    </row>
    <row r="11" spans="2:11" x14ac:dyDescent="0.25">
      <c r="B11" s="144" t="s">
        <v>38</v>
      </c>
      <c r="C11" s="146">
        <f>SUMIFS(Projetos_Ciclo!$Z$3:$Z$315,Projetos_Ciclo!$B$3:$B$315,DDC!B11,Projetos_Ciclo!$G$3:$G$315,"DDC")</f>
        <v>1311.483619976158</v>
      </c>
      <c r="D11" s="146">
        <f>SUMIFS(Projetos_Ciclo!$FD$3:$FD$315,Projetos_Ciclo!$B$3:$B$315,DDC!B11,Projetos_Ciclo!$G$3:$G$315,"DDC")</f>
        <v>19.024649977684021</v>
      </c>
      <c r="E11" s="147">
        <f>IFERROR((D11/C11),0)</f>
        <v>1.4506204795779208E-2</v>
      </c>
      <c r="F11" s="146">
        <f>SUMIFS(Projetos_Ciclo!$FJ$3:$FJ$315,Projetos_Ciclo!$B$3:$B$315,DDC!B11,Projetos_Ciclo!$G$3:$G$315,"DDC")</f>
        <v>1215.1582255363464</v>
      </c>
      <c r="G11" s="146">
        <f>D11+F11</f>
        <v>1234.1828755140305</v>
      </c>
      <c r="H11" s="147">
        <f>IFERROR((G11/C11),0)</f>
        <v>0.94105855133476024</v>
      </c>
    </row>
    <row r="12" spans="2:11" x14ac:dyDescent="0.25">
      <c r="B12" s="144" t="s">
        <v>39</v>
      </c>
      <c r="C12" s="146">
        <f>SUMIFS(Projetos_Ciclo!$Z$3:$Z$315,Projetos_Ciclo!$B$3:$B$315,DDC!B12,Projetos_Ciclo!$G$3:$G$315,"DDC")</f>
        <v>125.00000000000061</v>
      </c>
      <c r="D12" s="146">
        <f>SUMIFS(Projetos_Ciclo!$FD$3:$FD$315,Projetos_Ciclo!$B$3:$B$315,DDC!B12,Projetos_Ciclo!$G$3:$G$315,"DDC")</f>
        <v>0</v>
      </c>
      <c r="E12" s="147">
        <f t="shared" ref="E12:E16" si="0">IFERROR((D12/C12),0)</f>
        <v>0</v>
      </c>
      <c r="F12" s="146">
        <f>SUMIFS(Projetos_Ciclo!$FJ$3:$FJ$315,Projetos_Ciclo!$B$3:$B$315,DDC!B12,Projetos_Ciclo!$G$3:$G$315,"DDC")</f>
        <v>115.20000123977661</v>
      </c>
      <c r="G12" s="146">
        <f t="shared" ref="G12:G16" si="1">D12+F12</f>
        <v>115.20000123977661</v>
      </c>
      <c r="H12" s="147">
        <f t="shared" ref="H12:H16" si="2">IFERROR((G12/C12),0)</f>
        <v>0.92160000991820834</v>
      </c>
    </row>
    <row r="13" spans="2:11" x14ac:dyDescent="0.25">
      <c r="B13" s="145" t="s">
        <v>40</v>
      </c>
      <c r="C13" s="146">
        <f>SUMIFS(Projetos_Ciclo!$Z$3:$Z$315,Projetos_Ciclo!$B$3:$B$315,DDC!B13,Projetos_Ciclo!$G$3:$G$315,"DDC")</f>
        <v>0</v>
      </c>
      <c r="D13" s="146">
        <f>SUMIFS(Projetos_Ciclo!$FD$3:$FD$315,Projetos_Ciclo!$B$3:$B$315,DDC!B13,Projetos_Ciclo!$G$3:$G$315,"DDC")</f>
        <v>0</v>
      </c>
      <c r="E13" s="147">
        <f t="shared" si="0"/>
        <v>0</v>
      </c>
      <c r="F13" s="146">
        <f>SUMIFS(Projetos_Ciclo!$FJ$3:$FJ$315,Projetos_Ciclo!$B$3:$B$315,DDC!B13,Projetos_Ciclo!$G$3:$G$315,"DDC")</f>
        <v>0</v>
      </c>
      <c r="G13" s="146">
        <f t="shared" si="1"/>
        <v>0</v>
      </c>
      <c r="H13" s="147">
        <f t="shared" si="2"/>
        <v>0</v>
      </c>
    </row>
    <row r="14" spans="2:11" x14ac:dyDescent="0.25">
      <c r="B14" s="144" t="s">
        <v>41</v>
      </c>
      <c r="C14" s="146">
        <f>SUMIFS(Projetos_Ciclo!$Z$3:$Z$315,Projetos_Ciclo!$B$3:$B$315,DDC!B14,Projetos_Ciclo!$G$3:$G$315,"DDC")</f>
        <v>0</v>
      </c>
      <c r="D14" s="146">
        <f>SUMIFS(Projetos_Ciclo!$FD$3:$FD$315,Projetos_Ciclo!$B$3:$B$315,DDC!B14,Projetos_Ciclo!$G$3:$G$315,"DDC")</f>
        <v>0</v>
      </c>
      <c r="E14" s="147">
        <f t="shared" si="0"/>
        <v>0</v>
      </c>
      <c r="F14" s="146">
        <f>SUMIFS(Projetos_Ciclo!$FJ$3:$FJ$315,Projetos_Ciclo!$B$3:$B$315,DDC!B14,Projetos_Ciclo!$G$3:$G$315,"DDC")</f>
        <v>0</v>
      </c>
      <c r="G14" s="146">
        <f t="shared" si="1"/>
        <v>0</v>
      </c>
      <c r="H14" s="147">
        <f t="shared" si="2"/>
        <v>0</v>
      </c>
    </row>
    <row r="15" spans="2:11" x14ac:dyDescent="0.25">
      <c r="B15" s="144" t="s">
        <v>42</v>
      </c>
      <c r="C15" s="146">
        <f>SUMIFS(Projetos_Ciclo!$Z$3:$Z$315,Projetos_Ciclo!$B$3:$B$315,DDC!B15,Projetos_Ciclo!$G$3:$G$315,"DDC")</f>
        <v>1474</v>
      </c>
      <c r="D15" s="146">
        <f>SUMIFS(Projetos_Ciclo!$FD$3:$FD$315,Projetos_Ciclo!$B$3:$B$315,DDC!B15,Projetos_Ciclo!$G$3:$G$315,"DDC")</f>
        <v>0</v>
      </c>
      <c r="E15" s="147">
        <f t="shared" si="0"/>
        <v>0</v>
      </c>
      <c r="F15" s="146">
        <f>SUMIFS(Projetos_Ciclo!$FJ$3:$FJ$315,Projetos_Ciclo!$B$3:$B$315,DDC!B15,Projetos_Ciclo!$G$3:$G$315,"DDC")</f>
        <v>1056.0599822998047</v>
      </c>
      <c r="G15" s="146">
        <f t="shared" si="1"/>
        <v>1056.0599822998047</v>
      </c>
      <c r="H15" s="147">
        <f t="shared" si="2"/>
        <v>0.71645860400258121</v>
      </c>
    </row>
    <row r="16" spans="2:11" x14ac:dyDescent="0.25">
      <c r="B16" s="145" t="s">
        <v>43</v>
      </c>
      <c r="C16" s="146">
        <f>SUMIFS(Projetos_Ciclo!$Z$3:$Z$315,Projetos_Ciclo!$B$3:$B$315,DDC!B16,Projetos_Ciclo!$G$3:$G$315,"DDC")</f>
        <v>90</v>
      </c>
      <c r="D16" s="146">
        <f>SUMIFS(Projetos_Ciclo!$FD$3:$FD$315,Projetos_Ciclo!$B$3:$B$315,DDC!B16,Projetos_Ciclo!$G$3:$G$315,"DDC")</f>
        <v>0</v>
      </c>
      <c r="E16" s="147">
        <f t="shared" si="0"/>
        <v>0</v>
      </c>
      <c r="F16" s="146">
        <f>SUMIFS(Projetos_Ciclo!$FJ$3:$FJ$315,Projetos_Ciclo!$B$3:$B$315,DDC!B16,Projetos_Ciclo!$G$3:$G$315,"DDC")</f>
        <v>89.843727111816406</v>
      </c>
      <c r="G16" s="146">
        <f t="shared" si="1"/>
        <v>89.843727111816406</v>
      </c>
      <c r="H16" s="147">
        <f t="shared" si="2"/>
        <v>0.99826363457573786</v>
      </c>
    </row>
    <row r="17" spans="2:8" x14ac:dyDescent="0.25">
      <c r="B17" s="148" t="s">
        <v>1427</v>
      </c>
      <c r="C17" s="149">
        <f>SUM(C11:C16)</f>
        <v>3000.4836199761585</v>
      </c>
      <c r="D17" s="149">
        <f>SUM(D11:D16)</f>
        <v>19.024649977684021</v>
      </c>
      <c r="E17" s="150">
        <f t="shared" ref="E17" si="3">D17/C17</f>
        <v>6.3405278572509554E-3</v>
      </c>
      <c r="F17" s="149">
        <f>SUM(F11:F16)</f>
        <v>2476.2619361877441</v>
      </c>
      <c r="G17" s="149">
        <f>SUM(G11:G16)</f>
        <v>2495.2865861654282</v>
      </c>
      <c r="H17" s="151">
        <f t="shared" ref="H17" si="4">G17/C17</f>
        <v>0.83162813139611658</v>
      </c>
    </row>
    <row r="20" spans="2:8" ht="15.75" x14ac:dyDescent="0.25">
      <c r="B20" s="464" t="s">
        <v>1648</v>
      </c>
      <c r="C20" s="465"/>
      <c r="D20" s="465"/>
      <c r="E20" s="465"/>
      <c r="F20" s="465"/>
      <c r="G20" s="465"/>
      <c r="H20" s="466"/>
    </row>
    <row r="21" spans="2:8" ht="18" customHeight="1" x14ac:dyDescent="0.25">
      <c r="B21" s="295"/>
      <c r="C21" s="462" t="s">
        <v>1657</v>
      </c>
      <c r="D21" s="294" t="s">
        <v>1438</v>
      </c>
      <c r="E21" s="294" t="s">
        <v>1437</v>
      </c>
      <c r="F21" s="294" t="s">
        <v>1436</v>
      </c>
      <c r="G21" s="294" t="s">
        <v>1435</v>
      </c>
      <c r="H21" s="294" t="s">
        <v>1439</v>
      </c>
    </row>
    <row r="22" spans="2:8" ht="17.25" customHeight="1" x14ac:dyDescent="0.25">
      <c r="B22" s="295" t="s">
        <v>1</v>
      </c>
      <c r="C22" s="463"/>
      <c r="D22" s="156">
        <f>$K$3</f>
        <v>43371</v>
      </c>
      <c r="E22" s="295"/>
      <c r="F22" s="295"/>
      <c r="G22" s="156">
        <f>$K$3</f>
        <v>43371</v>
      </c>
      <c r="H22" s="295"/>
    </row>
    <row r="23" spans="2:8" x14ac:dyDescent="0.25">
      <c r="B23" s="155"/>
      <c r="C23" s="155" t="s">
        <v>1433</v>
      </c>
      <c r="D23" s="155" t="s">
        <v>1434</v>
      </c>
      <c r="E23" s="155" t="s">
        <v>1852</v>
      </c>
      <c r="F23" s="155" t="s">
        <v>1853</v>
      </c>
      <c r="G23" s="155" t="s">
        <v>1854</v>
      </c>
      <c r="H23" s="155" t="s">
        <v>1855</v>
      </c>
    </row>
    <row r="24" spans="2:8" x14ac:dyDescent="0.25">
      <c r="B24" s="144" t="s">
        <v>38</v>
      </c>
      <c r="C24" s="146">
        <f>SUMIFS(Projetos_Ciclo!$CA$3:$CA$315,Projetos_Ciclo!$B$3:$B$315,DDC!B24,Projetos_Ciclo!$G$3:$G$315,"DDC")</f>
        <v>12901.483619976158</v>
      </c>
      <c r="D24" s="146">
        <f>SUMIFS(Projetos_Ciclo!$FD$3:$FD$315,Projetos_Ciclo!$B$3:$B$315,DDC!B24,Projetos_Ciclo!$G$3:$G$315,"DDC")</f>
        <v>19.024649977684021</v>
      </c>
      <c r="E24" s="147">
        <f>IFERROR((D24/C24),0)</f>
        <v>1.4746094742334121E-3</v>
      </c>
      <c r="F24" s="146">
        <f>SUMIFS(Projetos_Ciclo!$FJ$3:$FJ$315,Projetos_Ciclo!$B$3:$B$315,DDC!B24,Projetos_Ciclo!$G$3:$G$315,"DDC")</f>
        <v>1215.1582255363464</v>
      </c>
      <c r="G24" s="146">
        <f t="shared" ref="G24:G29" si="5">D24+F24</f>
        <v>1234.1828755140305</v>
      </c>
      <c r="H24" s="147">
        <f>IFERROR((G24/C24),0)</f>
        <v>9.56620890951696E-2</v>
      </c>
    </row>
    <row r="25" spans="2:8" x14ac:dyDescent="0.25">
      <c r="B25" s="144" t="s">
        <v>39</v>
      </c>
      <c r="C25" s="146">
        <f>SUMIFS(Projetos_Ciclo!$CA$3:$CA$315,Projetos_Ciclo!$B$3:$B$315,DDC!B25,Projetos_Ciclo!$G$3:$G$315,"DDC")</f>
        <v>2275.0000000000005</v>
      </c>
      <c r="D25" s="146">
        <f>SUMIFS(Projetos_Ciclo!$FD$3:$FD$315,Projetos_Ciclo!$B$3:$B$315,DDC!B25,Projetos_Ciclo!$G$3:$G$315,"DDC")</f>
        <v>0</v>
      </c>
      <c r="E25" s="147">
        <f t="shared" ref="E25:E29" si="6">IFERROR((D25/C25),0)</f>
        <v>0</v>
      </c>
      <c r="F25" s="146">
        <f>SUMIFS(Projetos_Ciclo!$FJ$3:$FJ$315,Projetos_Ciclo!$B$3:$B$315,DDC!B25,Projetos_Ciclo!$G$3:$G$315,"DDC")</f>
        <v>115.20000123977661</v>
      </c>
      <c r="G25" s="146">
        <f t="shared" si="5"/>
        <v>115.20000123977661</v>
      </c>
      <c r="H25" s="147">
        <f t="shared" ref="H25:H29" si="7">IFERROR((G25/C25),0)</f>
        <v>5.063736318231938E-2</v>
      </c>
    </row>
    <row r="26" spans="2:8" x14ac:dyDescent="0.25">
      <c r="B26" s="145" t="s">
        <v>40</v>
      </c>
      <c r="C26" s="146">
        <f>SUMIFS(Projetos_Ciclo!$CA$3:$CA$315,Projetos_Ciclo!$B$3:$B$315,DDC!B26,Projetos_Ciclo!$G$3:$G$315,"DDC")</f>
        <v>0</v>
      </c>
      <c r="D26" s="146">
        <f>SUMIFS(Projetos_Ciclo!$FD$3:$FD$315,Projetos_Ciclo!$B$3:$B$315,DDC!B26,Projetos_Ciclo!$G$3:$G$315,"DDC")</f>
        <v>0</v>
      </c>
      <c r="E26" s="147">
        <f t="shared" si="6"/>
        <v>0</v>
      </c>
      <c r="F26" s="146">
        <f>SUMIFS(Projetos_Ciclo!$FJ$3:$FJ$315,Projetos_Ciclo!$B$3:$B$315,DDC!B26,Projetos_Ciclo!$G$3:$G$315,"DDC")</f>
        <v>0</v>
      </c>
      <c r="G26" s="146">
        <f t="shared" si="5"/>
        <v>0</v>
      </c>
      <c r="H26" s="147">
        <f t="shared" si="7"/>
        <v>0</v>
      </c>
    </row>
    <row r="27" spans="2:8" x14ac:dyDescent="0.25">
      <c r="B27" s="144" t="s">
        <v>41</v>
      </c>
      <c r="C27" s="146">
        <f>SUMIFS(Projetos_Ciclo!$CA$3:$CA$315,Projetos_Ciclo!$B$3:$B$315,DDC!B27,Projetos_Ciclo!$G$3:$G$315,"DDC")</f>
        <v>15000</v>
      </c>
      <c r="D27" s="146">
        <f>SUMIFS(Projetos_Ciclo!$FD$3:$FD$315,Projetos_Ciclo!$B$3:$B$315,DDC!B27,Projetos_Ciclo!$G$3:$G$315,"DDC")</f>
        <v>0</v>
      </c>
      <c r="E27" s="147">
        <f t="shared" si="6"/>
        <v>0</v>
      </c>
      <c r="F27" s="146">
        <f>SUMIFS(Projetos_Ciclo!$FJ$3:$FJ$315,Projetos_Ciclo!$B$3:$B$315,DDC!B27,Projetos_Ciclo!$G$3:$G$315,"DDC")</f>
        <v>0</v>
      </c>
      <c r="G27" s="146">
        <f t="shared" si="5"/>
        <v>0</v>
      </c>
      <c r="H27" s="147">
        <f t="shared" si="7"/>
        <v>0</v>
      </c>
    </row>
    <row r="28" spans="2:8" x14ac:dyDescent="0.25">
      <c r="B28" s="144" t="s">
        <v>42</v>
      </c>
      <c r="C28" s="146">
        <f>SUMIFS(Projetos_Ciclo!$CA$3:$CA$315,Projetos_Ciclo!$B$3:$B$315,DDC!B28,Projetos_Ciclo!$G$3:$G$315,"DDC")</f>
        <v>20225</v>
      </c>
      <c r="D28" s="146">
        <f>SUMIFS(Projetos_Ciclo!$FD$3:$FD$315,Projetos_Ciclo!$B$3:$B$315,DDC!B28,Projetos_Ciclo!$G$3:$G$315,"DDC")</f>
        <v>0</v>
      </c>
      <c r="E28" s="147">
        <f t="shared" si="6"/>
        <v>0</v>
      </c>
      <c r="F28" s="146">
        <f>SUMIFS(Projetos_Ciclo!$FJ$3:$FJ$315,Projetos_Ciclo!$B$3:$B$315,DDC!B28,Projetos_Ciclo!$G$3:$G$315,"DDC")</f>
        <v>1056.0599822998047</v>
      </c>
      <c r="G28" s="146">
        <f t="shared" si="5"/>
        <v>1056.0599822998047</v>
      </c>
      <c r="H28" s="147">
        <f t="shared" si="7"/>
        <v>5.2215573908519393E-2</v>
      </c>
    </row>
    <row r="29" spans="2:8" x14ac:dyDescent="0.25">
      <c r="B29" s="145" t="s">
        <v>43</v>
      </c>
      <c r="C29" s="146">
        <f>SUMIFS(Projetos_Ciclo!$CA$3:$CA$315,Projetos_Ciclo!$B$3:$B$315,DDC!B29,Projetos_Ciclo!$G$3:$G$315,"DDC")</f>
        <v>90</v>
      </c>
      <c r="D29" s="146">
        <f>SUMIFS(Projetos_Ciclo!$FD$3:$FD$315,Projetos_Ciclo!$B$3:$B$315,DDC!B29,Projetos_Ciclo!$G$3:$G$315,"DDC")</f>
        <v>0</v>
      </c>
      <c r="E29" s="147">
        <f t="shared" si="6"/>
        <v>0</v>
      </c>
      <c r="F29" s="146">
        <f>SUMIFS(Projetos_Ciclo!$FJ$3:$FJ$315,Projetos_Ciclo!$B$3:$B$315,DDC!B29,Projetos_Ciclo!$G$3:$G$315,"DDC")</f>
        <v>89.843727111816406</v>
      </c>
      <c r="G29" s="146">
        <f t="shared" si="5"/>
        <v>89.843727111816406</v>
      </c>
      <c r="H29" s="147">
        <f t="shared" si="7"/>
        <v>0.99826363457573786</v>
      </c>
    </row>
    <row r="30" spans="2:8" x14ac:dyDescent="0.25">
      <c r="B30" s="148" t="s">
        <v>1427</v>
      </c>
      <c r="C30" s="149">
        <f>SUM(C24:C29)</f>
        <v>50491.483619976156</v>
      </c>
      <c r="D30" s="149">
        <f>SUM(D24:D29)</f>
        <v>19.024649977684021</v>
      </c>
      <c r="E30" s="150">
        <f t="shared" ref="E30" si="8">D30/C30</f>
        <v>3.7678928432511379E-4</v>
      </c>
      <c r="F30" s="149">
        <f>SUM(F24:F29)</f>
        <v>2476.2619361877441</v>
      </c>
      <c r="G30" s="149">
        <f>SUM(G24:G29)</f>
        <v>2495.2865861654282</v>
      </c>
      <c r="H30" s="151">
        <f t="shared" ref="H30" si="9">G30/C30</f>
        <v>4.9419949806707747E-2</v>
      </c>
    </row>
    <row r="31" spans="2:8" x14ac:dyDescent="0.25">
      <c r="C31" s="296"/>
    </row>
  </sheetData>
  <mergeCells count="4">
    <mergeCell ref="B7:H7"/>
    <mergeCell ref="C8:C9"/>
    <mergeCell ref="B20:H20"/>
    <mergeCell ref="C21:C22"/>
  </mergeCells>
  <pageMargins left="0.511811024" right="0.511811024" top="0.78740157499999996" bottom="0.78740157499999996" header="0.31496062000000002" footer="0.31496062000000002"/>
  <ignoredErrors>
    <ignoredError sqref="E30"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8"/>
  <sheetViews>
    <sheetView showGridLines="0" zoomScale="82" zoomScaleNormal="82" workbookViewId="0">
      <selection activeCell="R14" sqref="R14"/>
    </sheetView>
  </sheetViews>
  <sheetFormatPr defaultRowHeight="15" x14ac:dyDescent="0.25"/>
  <cols>
    <col min="1" max="1" width="2.140625" customWidth="1"/>
    <col min="2" max="2" width="8.7109375" customWidth="1"/>
    <col min="3" max="3" width="36" customWidth="1"/>
    <col min="4" max="9" width="9.7109375" style="91" customWidth="1"/>
    <col min="10" max="10" width="1" style="91" customWidth="1"/>
    <col min="11" max="11" width="8" style="91" customWidth="1"/>
    <col min="12" max="12" width="9.140625" style="91" customWidth="1"/>
    <col min="13" max="15" width="8" style="91" customWidth="1"/>
    <col min="16" max="16" width="9.140625" style="91" customWidth="1"/>
    <col min="17" max="17" width="1.140625" style="91" customWidth="1"/>
    <col min="18" max="22" width="8.7109375" customWidth="1"/>
    <col min="23" max="23" width="9" customWidth="1"/>
  </cols>
  <sheetData>
    <row r="1" spans="2:23" ht="25.5" customHeight="1" x14ac:dyDescent="0.25">
      <c r="B1" s="307" t="s">
        <v>1908</v>
      </c>
    </row>
    <row r="2" spans="2:23" s="308" customFormat="1" ht="24" customHeight="1" x14ac:dyDescent="0.25">
      <c r="C2" s="309"/>
      <c r="D2" s="473" t="s">
        <v>1909</v>
      </c>
      <c r="E2" s="474"/>
      <c r="F2" s="474"/>
      <c r="G2" s="474"/>
      <c r="H2" s="474"/>
      <c r="I2" s="475"/>
      <c r="J2" s="310"/>
      <c r="K2" s="476" t="s">
        <v>1910</v>
      </c>
      <c r="L2" s="476"/>
      <c r="M2" s="476"/>
      <c r="N2" s="476"/>
      <c r="O2" s="476"/>
      <c r="P2" s="476"/>
      <c r="Q2" s="310"/>
      <c r="R2" s="477" t="s">
        <v>1911</v>
      </c>
      <c r="S2" s="477"/>
      <c r="T2" s="477"/>
      <c r="U2" s="477"/>
      <c r="V2" s="477"/>
      <c r="W2" s="477"/>
    </row>
    <row r="3" spans="2:23" s="316" customFormat="1" ht="30" customHeight="1" x14ac:dyDescent="0.25">
      <c r="B3" s="311" t="s">
        <v>1057</v>
      </c>
      <c r="C3" s="312" t="s">
        <v>1</v>
      </c>
      <c r="D3" s="313" t="s">
        <v>430</v>
      </c>
      <c r="E3" s="313" t="s">
        <v>431</v>
      </c>
      <c r="F3" s="313" t="s">
        <v>432</v>
      </c>
      <c r="G3" s="313" t="s">
        <v>433</v>
      </c>
      <c r="H3" s="313" t="s">
        <v>434</v>
      </c>
      <c r="I3" s="313" t="s">
        <v>435</v>
      </c>
      <c r="J3" s="314"/>
      <c r="K3" s="313" t="s">
        <v>430</v>
      </c>
      <c r="L3" s="313" t="s">
        <v>431</v>
      </c>
      <c r="M3" s="313" t="s">
        <v>432</v>
      </c>
      <c r="N3" s="313" t="s">
        <v>433</v>
      </c>
      <c r="O3" s="313" t="s">
        <v>434</v>
      </c>
      <c r="P3" s="313" t="s">
        <v>435</v>
      </c>
      <c r="Q3" s="314"/>
      <c r="R3" s="313" t="s">
        <v>430</v>
      </c>
      <c r="S3" s="313" t="s">
        <v>431</v>
      </c>
      <c r="T3" s="313" t="s">
        <v>432</v>
      </c>
      <c r="U3" s="313" t="s">
        <v>433</v>
      </c>
      <c r="V3" s="313" t="s">
        <v>434</v>
      </c>
      <c r="W3" s="315" t="s">
        <v>435</v>
      </c>
    </row>
    <row r="4" spans="2:23" x14ac:dyDescent="0.25">
      <c r="B4" s="478" t="s">
        <v>1912</v>
      </c>
      <c r="C4" s="317" t="s">
        <v>27</v>
      </c>
      <c r="D4" s="318">
        <v>781.71679999999992</v>
      </c>
      <c r="E4" s="318">
        <v>634</v>
      </c>
      <c r="F4" s="318">
        <v>435.18900000000002</v>
      </c>
      <c r="G4" s="318">
        <v>360.065</v>
      </c>
      <c r="H4" s="318">
        <v>425.2</v>
      </c>
      <c r="I4" s="319">
        <f t="shared" ref="I4:I26" si="0">SUM(D4:H4)</f>
        <v>2636.1707999999999</v>
      </c>
      <c r="J4" s="320"/>
      <c r="K4" s="318">
        <f>VLOOKUP($C4,Resumo!$C$6:$I$30,2,0)</f>
        <v>281.79999997615801</v>
      </c>
      <c r="L4" s="318">
        <f>VLOOKUP($C4,Resumo!$C$6:$I$30,3,0)</f>
        <v>585.97096002384296</v>
      </c>
      <c r="M4" s="318">
        <f>VLOOKUP($C4,Resumo!$C$6:$I$30,4,0)</f>
        <v>659.3998399761573</v>
      </c>
      <c r="N4" s="318">
        <f>VLOOKUP($C4,Resumo!$C$6:$I$30,5,0)</f>
        <v>461.5</v>
      </c>
      <c r="O4" s="318">
        <f>VLOOKUP($C4,Resumo!$C$6:$I$30,6,0)</f>
        <v>645.87551513489007</v>
      </c>
      <c r="P4" s="319">
        <f t="shared" ref="P4:P28" si="1">SUM(K4:O4)</f>
        <v>2634.5463151110484</v>
      </c>
      <c r="Q4" s="320"/>
      <c r="R4" s="318">
        <f t="shared" ref="R4:W28" si="2">K4-D4</f>
        <v>-499.91680002384192</v>
      </c>
      <c r="S4" s="318">
        <f t="shared" si="2"/>
        <v>-48.029039976157037</v>
      </c>
      <c r="T4" s="318">
        <f t="shared" si="2"/>
        <v>224.21083997615727</v>
      </c>
      <c r="U4" s="318">
        <f t="shared" si="2"/>
        <v>101.435</v>
      </c>
      <c r="V4" s="318">
        <f t="shared" si="2"/>
        <v>220.67551513489008</v>
      </c>
      <c r="W4" s="318">
        <f t="shared" si="2"/>
        <v>-1.6244848889514287</v>
      </c>
    </row>
    <row r="5" spans="2:23" x14ac:dyDescent="0.25">
      <c r="B5" s="478"/>
      <c r="C5" s="317" t="s">
        <v>28</v>
      </c>
      <c r="D5" s="318">
        <v>29.25</v>
      </c>
      <c r="E5" s="318">
        <v>16</v>
      </c>
      <c r="F5" s="318">
        <v>30</v>
      </c>
      <c r="G5" s="318">
        <v>49.5</v>
      </c>
      <c r="H5" s="318">
        <v>42.5</v>
      </c>
      <c r="I5" s="318">
        <f t="shared" si="0"/>
        <v>167.25</v>
      </c>
      <c r="J5" s="320"/>
      <c r="K5" s="318">
        <f>VLOOKUP($C5,Resumo!$C$6:$I$30,2,0)</f>
        <v>10.000000000000002</v>
      </c>
      <c r="L5" s="318">
        <f>VLOOKUP($C5,Resumo!$C$6:$I$30,3,0)</f>
        <v>157</v>
      </c>
      <c r="M5" s="318">
        <f>VLOOKUP($C5,Resumo!$C$6:$I$30,4,0)</f>
        <v>0</v>
      </c>
      <c r="N5" s="318">
        <f>VLOOKUP($C5,Resumo!$C$6:$I$30,5,0)</f>
        <v>0</v>
      </c>
      <c r="O5" s="318">
        <f>VLOOKUP($C5,Resumo!$C$6:$I$30,6,0)</f>
        <v>0</v>
      </c>
      <c r="P5" s="318">
        <f t="shared" si="1"/>
        <v>167</v>
      </c>
      <c r="Q5" s="320"/>
      <c r="R5" s="318">
        <f t="shared" si="2"/>
        <v>-19.25</v>
      </c>
      <c r="S5" s="318">
        <f t="shared" si="2"/>
        <v>141</v>
      </c>
      <c r="T5" s="318">
        <f t="shared" si="2"/>
        <v>-30</v>
      </c>
      <c r="U5" s="318">
        <f t="shared" si="2"/>
        <v>-49.5</v>
      </c>
      <c r="V5" s="318">
        <f t="shared" si="2"/>
        <v>-42.5</v>
      </c>
      <c r="W5" s="318">
        <f t="shared" si="2"/>
        <v>-0.25</v>
      </c>
    </row>
    <row r="6" spans="2:23" x14ac:dyDescent="0.25">
      <c r="B6" s="478"/>
      <c r="C6" s="317" t="s">
        <v>29</v>
      </c>
      <c r="D6" s="318">
        <v>58.6</v>
      </c>
      <c r="E6" s="318">
        <v>351.9</v>
      </c>
      <c r="F6" s="318">
        <v>214.7</v>
      </c>
      <c r="G6" s="318">
        <v>51.5</v>
      </c>
      <c r="H6" s="318">
        <v>278.5</v>
      </c>
      <c r="I6" s="318">
        <f t="shared" si="0"/>
        <v>955.2</v>
      </c>
      <c r="J6" s="320"/>
      <c r="K6" s="318">
        <f>VLOOKUP($C6,Resumo!$C$6:$I$30,2,0)</f>
        <v>58.6</v>
      </c>
      <c r="L6" s="318">
        <f>VLOOKUP($C6,Resumo!$C$6:$I$30,3,0)</f>
        <v>351.9</v>
      </c>
      <c r="M6" s="318">
        <f>VLOOKUP($C6,Resumo!$C$6:$I$30,4,0)</f>
        <v>214.7</v>
      </c>
      <c r="N6" s="318">
        <f>VLOOKUP($C6,Resumo!$C$6:$I$30,5,0)</f>
        <v>51.5</v>
      </c>
      <c r="O6" s="318">
        <f>VLOOKUP($C6,Resumo!$C$6:$I$30,6,0)</f>
        <v>278.5</v>
      </c>
      <c r="P6" s="318">
        <f t="shared" si="1"/>
        <v>955.2</v>
      </c>
      <c r="Q6" s="320"/>
      <c r="R6" s="318">
        <f t="shared" si="2"/>
        <v>0</v>
      </c>
      <c r="S6" s="318">
        <f t="shared" si="2"/>
        <v>0</v>
      </c>
      <c r="T6" s="318">
        <f t="shared" si="2"/>
        <v>0</v>
      </c>
      <c r="U6" s="318">
        <f t="shared" si="2"/>
        <v>0</v>
      </c>
      <c r="V6" s="318">
        <f t="shared" si="2"/>
        <v>0</v>
      </c>
      <c r="W6" s="318">
        <f t="shared" si="2"/>
        <v>0</v>
      </c>
    </row>
    <row r="7" spans="2:23" x14ac:dyDescent="0.25">
      <c r="B7" s="478"/>
      <c r="C7" s="317" t="s">
        <v>30</v>
      </c>
      <c r="D7" s="318">
        <v>1886.40985</v>
      </c>
      <c r="E7" s="318">
        <v>1138</v>
      </c>
      <c r="F7" s="318">
        <v>1210</v>
      </c>
      <c r="G7" s="318">
        <v>1123</v>
      </c>
      <c r="H7" s="318">
        <v>763.4</v>
      </c>
      <c r="I7" s="318">
        <f t="shared" si="0"/>
        <v>6120.8098499999996</v>
      </c>
      <c r="J7" s="320"/>
      <c r="K7" s="318">
        <f>VLOOKUP($C7,Resumo!$C$6:$I$30,2,0)</f>
        <v>1294.47795</v>
      </c>
      <c r="L7" s="318">
        <f>VLOOKUP($C7,Resumo!$C$6:$I$30,3,0)</f>
        <v>476</v>
      </c>
      <c r="M7" s="318">
        <f>VLOOKUP($C7,Resumo!$C$6:$I$30,4,0)</f>
        <v>1152</v>
      </c>
      <c r="N7" s="318">
        <f>VLOOKUP($C7,Resumo!$C$6:$I$30,5,0)</f>
        <v>1689.5</v>
      </c>
      <c r="O7" s="318">
        <f>VLOOKUP($C7,Resumo!$C$6:$I$30,6,0)</f>
        <v>1190.5</v>
      </c>
      <c r="P7" s="318">
        <f t="shared" si="1"/>
        <v>5802.4779500000004</v>
      </c>
      <c r="Q7" s="320"/>
      <c r="R7" s="321">
        <f t="shared" si="2"/>
        <v>-591.93190000000004</v>
      </c>
      <c r="S7" s="321">
        <f t="shared" si="2"/>
        <v>-662</v>
      </c>
      <c r="T7" s="321">
        <f t="shared" si="2"/>
        <v>-58</v>
      </c>
      <c r="U7" s="321">
        <f t="shared" si="2"/>
        <v>566.5</v>
      </c>
      <c r="V7" s="321">
        <f t="shared" si="2"/>
        <v>427.1</v>
      </c>
      <c r="W7" s="321">
        <f t="shared" si="2"/>
        <v>-318.33189999999922</v>
      </c>
    </row>
    <row r="8" spans="2:23" x14ac:dyDescent="0.25">
      <c r="B8" s="478"/>
      <c r="C8" s="322" t="s">
        <v>31</v>
      </c>
      <c r="D8" s="321">
        <v>102.5</v>
      </c>
      <c r="E8" s="321">
        <v>0</v>
      </c>
      <c r="F8" s="321">
        <v>0</v>
      </c>
      <c r="G8" s="321">
        <v>0</v>
      </c>
      <c r="H8" s="321">
        <v>0</v>
      </c>
      <c r="I8" s="321">
        <v>102.5</v>
      </c>
      <c r="J8" s="323"/>
      <c r="K8" s="318">
        <f>VLOOKUP($C8,Resumo!$C$6:$I$30,2,0)</f>
        <v>0</v>
      </c>
      <c r="L8" s="318">
        <f>VLOOKUP($C8,Resumo!$C$6:$I$30,3,0)</f>
        <v>102.5</v>
      </c>
      <c r="M8" s="318">
        <f>VLOOKUP($C8,Resumo!$C$6:$I$30,4,0)</f>
        <v>0</v>
      </c>
      <c r="N8" s="318">
        <f>VLOOKUP($C8,Resumo!$C$6:$I$30,5,0)</f>
        <v>0</v>
      </c>
      <c r="O8" s="318">
        <f>VLOOKUP($C8,Resumo!$C$6:$I$30,6,0)</f>
        <v>0</v>
      </c>
      <c r="P8" s="318">
        <f t="shared" si="1"/>
        <v>102.5</v>
      </c>
      <c r="Q8" s="323"/>
      <c r="R8" s="321">
        <f t="shared" si="2"/>
        <v>-102.5</v>
      </c>
      <c r="S8" s="321">
        <f t="shared" si="2"/>
        <v>102.5</v>
      </c>
      <c r="T8" s="321">
        <f t="shared" si="2"/>
        <v>0</v>
      </c>
      <c r="U8" s="321">
        <f t="shared" si="2"/>
        <v>0</v>
      </c>
      <c r="V8" s="321">
        <f t="shared" si="2"/>
        <v>0</v>
      </c>
      <c r="W8" s="321">
        <f t="shared" si="2"/>
        <v>0</v>
      </c>
    </row>
    <row r="9" spans="2:23" x14ac:dyDescent="0.25">
      <c r="B9" s="478"/>
      <c r="C9" s="324" t="s">
        <v>1431</v>
      </c>
      <c r="D9" s="321">
        <v>518</v>
      </c>
      <c r="E9" s="321">
        <v>485.50699999999989</v>
      </c>
      <c r="F9" s="321">
        <v>602.22</v>
      </c>
      <c r="G9" s="321">
        <v>498</v>
      </c>
      <c r="H9" s="321">
        <v>197</v>
      </c>
      <c r="I9" s="321">
        <v>2300.7269999999999</v>
      </c>
      <c r="J9" s="323"/>
      <c r="K9" s="318">
        <f>VLOOKUP($C9,Resumo!$C$6:$I$30,2,0)</f>
        <v>400.14999961852999</v>
      </c>
      <c r="L9" s="318">
        <f>VLOOKUP($C9,Resumo!$C$6:$I$30,3,0)</f>
        <v>583.21700229484543</v>
      </c>
      <c r="M9" s="318">
        <f>VLOOKUP($C9,Resumo!$C$6:$I$30,4,0)</f>
        <v>602.22</v>
      </c>
      <c r="N9" s="318">
        <f>VLOOKUP($C9,Resumo!$C$6:$I$30,5,0)</f>
        <v>498</v>
      </c>
      <c r="O9" s="318">
        <f>VLOOKUP($C9,Resumo!$C$6:$I$30,6,0)</f>
        <v>197</v>
      </c>
      <c r="P9" s="318">
        <f t="shared" si="1"/>
        <v>2280.5870019133754</v>
      </c>
      <c r="Q9" s="323"/>
      <c r="R9" s="321">
        <f t="shared" si="2"/>
        <v>-117.85000038147001</v>
      </c>
      <c r="S9" s="321">
        <f t="shared" si="2"/>
        <v>97.710002294845538</v>
      </c>
      <c r="T9" s="321">
        <f t="shared" si="2"/>
        <v>0</v>
      </c>
      <c r="U9" s="321">
        <f t="shared" si="2"/>
        <v>0</v>
      </c>
      <c r="V9" s="321">
        <f t="shared" si="2"/>
        <v>0</v>
      </c>
      <c r="W9" s="321">
        <f t="shared" si="2"/>
        <v>-20.139998086624473</v>
      </c>
    </row>
    <row r="10" spans="2:23" x14ac:dyDescent="0.25">
      <c r="B10" s="325" t="s">
        <v>809</v>
      </c>
      <c r="C10" s="326"/>
      <c r="D10" s="327">
        <f t="shared" ref="D10:O10" si="3">SUM(D4:D9)</f>
        <v>3376.4766500000001</v>
      </c>
      <c r="E10" s="327">
        <f t="shared" si="3"/>
        <v>2625.4070000000002</v>
      </c>
      <c r="F10" s="327">
        <f t="shared" si="3"/>
        <v>2492.1090000000004</v>
      </c>
      <c r="G10" s="327">
        <f t="shared" si="3"/>
        <v>2082.0650000000001</v>
      </c>
      <c r="H10" s="327">
        <f t="shared" si="3"/>
        <v>1706.6</v>
      </c>
      <c r="I10" s="327">
        <f t="shared" si="3"/>
        <v>12282.657649999997</v>
      </c>
      <c r="J10" s="328">
        <f t="shared" si="3"/>
        <v>0</v>
      </c>
      <c r="K10" s="327">
        <f t="shared" si="3"/>
        <v>2045.0279495946882</v>
      </c>
      <c r="L10" s="327">
        <f t="shared" si="3"/>
        <v>2256.5879623186884</v>
      </c>
      <c r="M10" s="327">
        <f t="shared" si="3"/>
        <v>2628.3198399761573</v>
      </c>
      <c r="N10" s="327">
        <f t="shared" si="3"/>
        <v>2700.5</v>
      </c>
      <c r="O10" s="327">
        <f t="shared" si="3"/>
        <v>2311.8755151348901</v>
      </c>
      <c r="P10" s="327">
        <f t="shared" si="1"/>
        <v>11942.311267024425</v>
      </c>
      <c r="Q10" s="328"/>
      <c r="R10" s="327">
        <f t="shared" si="2"/>
        <v>-1331.4487004053119</v>
      </c>
      <c r="S10" s="327">
        <f t="shared" si="2"/>
        <v>-368.81903768131178</v>
      </c>
      <c r="T10" s="327">
        <f t="shared" si="2"/>
        <v>136.21083997615688</v>
      </c>
      <c r="U10" s="327">
        <f t="shared" si="2"/>
        <v>618.43499999999995</v>
      </c>
      <c r="V10" s="327">
        <f t="shared" si="2"/>
        <v>605.27551513489016</v>
      </c>
      <c r="W10" s="327">
        <f t="shared" si="2"/>
        <v>-340.34638297557285</v>
      </c>
    </row>
    <row r="11" spans="2:23" x14ac:dyDescent="0.25">
      <c r="B11" s="478" t="s">
        <v>1913</v>
      </c>
      <c r="C11" s="317" t="s">
        <v>33</v>
      </c>
      <c r="D11" s="318">
        <v>0</v>
      </c>
      <c r="E11" s="318">
        <v>429.53983000000017</v>
      </c>
      <c r="F11" s="318">
        <v>204.46016999999981</v>
      </c>
      <c r="G11" s="318">
        <v>1250.5</v>
      </c>
      <c r="H11" s="318">
        <v>26</v>
      </c>
      <c r="I11" s="321">
        <f t="shared" si="0"/>
        <v>1910.5</v>
      </c>
      <c r="J11" s="320"/>
      <c r="K11" s="318">
        <f>VLOOKUP($C11,Resumo!$C$6:$I$30,2,0)</f>
        <v>0</v>
      </c>
      <c r="L11" s="318">
        <f>VLOOKUP($C11,Resumo!$C$6:$I$30,3,0)</f>
        <v>429.53983000000017</v>
      </c>
      <c r="M11" s="318">
        <f>VLOOKUP($C11,Resumo!$C$6:$I$30,4,0)</f>
        <v>204.46016999999981</v>
      </c>
      <c r="N11" s="318">
        <f>VLOOKUP($C11,Resumo!$C$6:$I$30,5,0)</f>
        <v>1250.5</v>
      </c>
      <c r="O11" s="318">
        <f>VLOOKUP($C11,Resumo!$C$6:$I$30,6,0)</f>
        <v>26</v>
      </c>
      <c r="P11" s="318">
        <f t="shared" si="1"/>
        <v>1910.5</v>
      </c>
      <c r="Q11" s="320"/>
      <c r="R11" s="318">
        <f t="shared" si="2"/>
        <v>0</v>
      </c>
      <c r="S11" s="318">
        <f t="shared" si="2"/>
        <v>0</v>
      </c>
      <c r="T11" s="318">
        <f t="shared" si="2"/>
        <v>0</v>
      </c>
      <c r="U11" s="318">
        <f t="shared" si="2"/>
        <v>0</v>
      </c>
      <c r="V11" s="318">
        <f t="shared" si="2"/>
        <v>0</v>
      </c>
      <c r="W11" s="321">
        <f t="shared" si="2"/>
        <v>0</v>
      </c>
    </row>
    <row r="12" spans="2:23" x14ac:dyDescent="0.25">
      <c r="B12" s="478"/>
      <c r="C12" s="317" t="s">
        <v>34</v>
      </c>
      <c r="D12" s="318">
        <v>142.25</v>
      </c>
      <c r="E12" s="318">
        <v>45.5</v>
      </c>
      <c r="F12" s="318">
        <v>82.5</v>
      </c>
      <c r="G12" s="318">
        <v>90.020000000001346</v>
      </c>
      <c r="H12" s="318">
        <v>77.979999999998654</v>
      </c>
      <c r="I12" s="321">
        <f t="shared" si="0"/>
        <v>438.25</v>
      </c>
      <c r="J12" s="320"/>
      <c r="K12" s="318">
        <f>VLOOKUP($C12,Resumo!$C$6:$I$30,2,0)</f>
        <v>142.21934999999999</v>
      </c>
      <c r="L12" s="318">
        <f>VLOOKUP($C12,Resumo!$C$6:$I$30,3,0)</f>
        <v>198.83333249511816</v>
      </c>
      <c r="M12" s="318">
        <f>VLOOKUP($C12,Resumo!$C$6:$I$30,4,0)</f>
        <v>200</v>
      </c>
      <c r="N12" s="318">
        <f>VLOOKUP($C12,Resumo!$C$6:$I$30,5,0)</f>
        <v>50</v>
      </c>
      <c r="O12" s="318">
        <f>VLOOKUP($C12,Resumo!$C$6:$I$30,6,0)</f>
        <v>0</v>
      </c>
      <c r="P12" s="318">
        <f t="shared" si="1"/>
        <v>591.05268249511812</v>
      </c>
      <c r="Q12" s="320"/>
      <c r="R12" s="318">
        <f t="shared" si="2"/>
        <v>-3.0650000000008504E-2</v>
      </c>
      <c r="S12" s="318">
        <f t="shared" si="2"/>
        <v>153.33333249511816</v>
      </c>
      <c r="T12" s="318">
        <f t="shared" si="2"/>
        <v>117.5</v>
      </c>
      <c r="U12" s="318">
        <f t="shared" si="2"/>
        <v>-40.020000000001346</v>
      </c>
      <c r="V12" s="318">
        <f t="shared" si="2"/>
        <v>-77.979999999998654</v>
      </c>
      <c r="W12" s="321">
        <f t="shared" si="2"/>
        <v>152.80268249511812</v>
      </c>
    </row>
    <row r="13" spans="2:23" x14ac:dyDescent="0.25">
      <c r="B13" s="478"/>
      <c r="C13" s="317" t="s">
        <v>35</v>
      </c>
      <c r="D13" s="318">
        <v>415</v>
      </c>
      <c r="E13" s="318">
        <v>55</v>
      </c>
      <c r="F13" s="318">
        <v>209</v>
      </c>
      <c r="G13" s="318">
        <v>55</v>
      </c>
      <c r="H13" s="318">
        <v>209.5</v>
      </c>
      <c r="I13" s="321">
        <f t="shared" si="0"/>
        <v>943.5</v>
      </c>
      <c r="J13" s="320"/>
      <c r="K13" s="318">
        <f>VLOOKUP($C13,Resumo!$C$6:$I$30,2,0)</f>
        <v>415</v>
      </c>
      <c r="L13" s="318">
        <f>VLOOKUP($C13,Resumo!$C$6:$I$30,3,0)</f>
        <v>55</v>
      </c>
      <c r="M13" s="318">
        <f>VLOOKUP($C13,Resumo!$C$6:$I$30,4,0)</f>
        <v>209</v>
      </c>
      <c r="N13" s="318">
        <f>VLOOKUP($C13,Resumo!$C$6:$I$30,5,0)</f>
        <v>55</v>
      </c>
      <c r="O13" s="318">
        <f>VLOOKUP($C13,Resumo!$C$6:$I$30,6,0)</f>
        <v>209.5</v>
      </c>
      <c r="P13" s="318">
        <f t="shared" si="1"/>
        <v>943.5</v>
      </c>
      <c r="Q13" s="320"/>
      <c r="R13" s="318">
        <f t="shared" si="2"/>
        <v>0</v>
      </c>
      <c r="S13" s="318">
        <f t="shared" si="2"/>
        <v>0</v>
      </c>
      <c r="T13" s="318">
        <f t="shared" si="2"/>
        <v>0</v>
      </c>
      <c r="U13" s="318">
        <f t="shared" si="2"/>
        <v>0</v>
      </c>
      <c r="V13" s="318">
        <f t="shared" si="2"/>
        <v>0</v>
      </c>
      <c r="W13" s="321">
        <f t="shared" si="2"/>
        <v>0</v>
      </c>
    </row>
    <row r="14" spans="2:23" x14ac:dyDescent="0.25">
      <c r="B14" s="478"/>
      <c r="C14" s="317" t="s">
        <v>36</v>
      </c>
      <c r="D14" s="318">
        <v>128.52000000000001</v>
      </c>
      <c r="E14" s="318">
        <v>128.52000000000001</v>
      </c>
      <c r="F14" s="318">
        <v>128.52000000000001</v>
      </c>
      <c r="G14" s="318">
        <v>128.52000000000001</v>
      </c>
      <c r="H14" s="318">
        <v>128.52000000000001</v>
      </c>
      <c r="I14" s="321">
        <f t="shared" si="0"/>
        <v>642.6</v>
      </c>
      <c r="J14" s="320"/>
      <c r="K14" s="318">
        <f>VLOOKUP($C14,Resumo!$C$6:$I$30,2,0)</f>
        <v>0</v>
      </c>
      <c r="L14" s="318">
        <f>VLOOKUP($C14,Resumo!$C$6:$I$30,3,0)</f>
        <v>200</v>
      </c>
      <c r="M14" s="319">
        <f>VLOOKUP($C14,Resumo!$C$6:$I$30,4,0)</f>
        <v>0</v>
      </c>
      <c r="N14" s="319">
        <f>VLOOKUP($C14,Resumo!$C$6:$I$30,5,0)</f>
        <v>186</v>
      </c>
      <c r="O14" s="319">
        <f>VLOOKUP($C14,Resumo!$C$6:$I$30,6,0)</f>
        <v>206</v>
      </c>
      <c r="P14" s="318">
        <f t="shared" si="1"/>
        <v>592</v>
      </c>
      <c r="Q14" s="320"/>
      <c r="R14" s="318">
        <f t="shared" si="2"/>
        <v>-128.52000000000001</v>
      </c>
      <c r="S14" s="318">
        <f t="shared" si="2"/>
        <v>71.47999999999999</v>
      </c>
      <c r="T14" s="329">
        <f t="shared" si="2"/>
        <v>-128.52000000000001</v>
      </c>
      <c r="U14" s="329">
        <f t="shared" si="2"/>
        <v>57.47999999999999</v>
      </c>
      <c r="V14" s="329">
        <f t="shared" si="2"/>
        <v>77.47999999999999</v>
      </c>
      <c r="W14" s="321">
        <f t="shared" si="2"/>
        <v>-50.600000000000023</v>
      </c>
    </row>
    <row r="15" spans="2:23" x14ac:dyDescent="0.25">
      <c r="B15" s="478"/>
      <c r="C15" s="317" t="s">
        <v>37</v>
      </c>
      <c r="D15" s="318">
        <v>1618.44</v>
      </c>
      <c r="E15" s="318">
        <v>0</v>
      </c>
      <c r="F15" s="318">
        <v>1050</v>
      </c>
      <c r="G15" s="318">
        <v>1008</v>
      </c>
      <c r="H15" s="318">
        <v>0</v>
      </c>
      <c r="I15" s="321">
        <v>3676.44</v>
      </c>
      <c r="J15" s="320"/>
      <c r="K15" s="318">
        <f>VLOOKUP($C15,Resumo!$C$6:$I$30,2,0)</f>
        <v>0</v>
      </c>
      <c r="L15" s="318">
        <f>VLOOKUP($C15,Resumo!$C$6:$I$30,3,0)</f>
        <v>1618.44</v>
      </c>
      <c r="M15" s="318">
        <f>VLOOKUP($C15,Resumo!$C$6:$I$30,4,0)</f>
        <v>1050</v>
      </c>
      <c r="N15" s="318">
        <f>VLOOKUP($C15,Resumo!$C$6:$I$30,5,0)</f>
        <v>1008</v>
      </c>
      <c r="O15" s="318">
        <f>VLOOKUP($C15,Resumo!$C$6:$I$30,6,0)</f>
        <v>0</v>
      </c>
      <c r="P15" s="318">
        <f t="shared" si="1"/>
        <v>3676.44</v>
      </c>
      <c r="Q15" s="320"/>
      <c r="R15" s="318">
        <f t="shared" si="2"/>
        <v>-1618.44</v>
      </c>
      <c r="S15" s="318">
        <f t="shared" si="2"/>
        <v>1618.44</v>
      </c>
      <c r="T15" s="318">
        <f t="shared" si="2"/>
        <v>0</v>
      </c>
      <c r="U15" s="318">
        <f t="shared" si="2"/>
        <v>0</v>
      </c>
      <c r="V15" s="318">
        <f t="shared" si="2"/>
        <v>0</v>
      </c>
      <c r="W15" s="321">
        <f t="shared" si="2"/>
        <v>0</v>
      </c>
    </row>
    <row r="16" spans="2:23" x14ac:dyDescent="0.25">
      <c r="B16" s="478"/>
      <c r="C16" s="317" t="s">
        <v>1432</v>
      </c>
      <c r="D16" s="318">
        <v>1815.217365</v>
      </c>
      <c r="E16" s="318">
        <v>1495.7401699999996</v>
      </c>
      <c r="F16" s="318">
        <v>777.03347499999984</v>
      </c>
      <c r="G16" s="318">
        <v>2549.7189899999998</v>
      </c>
      <c r="H16" s="318">
        <v>0</v>
      </c>
      <c r="I16" s="321">
        <v>6637.7099999999991</v>
      </c>
      <c r="J16" s="320"/>
      <c r="K16" s="318">
        <f>VLOOKUP($C16,Resumo!$C$6:$I$30,2,0)</f>
        <v>1675.7785189149085</v>
      </c>
      <c r="L16" s="318">
        <f>VLOOKUP($C16,Resumo!$C$6:$I$30,3,0)</f>
        <v>1324.2812850193402</v>
      </c>
      <c r="M16" s="318">
        <f>VLOOKUP($C16,Resumo!$C$6:$I$30,4,0)</f>
        <v>777.03347499999984</v>
      </c>
      <c r="N16" s="318">
        <f>VLOOKUP($C16,Resumo!$C$6:$I$30,5,0)</f>
        <v>2549.7189899999998</v>
      </c>
      <c r="O16" s="318">
        <f>VLOOKUP($C16,Resumo!$C$6:$I$30,6,0)</f>
        <v>0</v>
      </c>
      <c r="P16" s="318">
        <f t="shared" si="1"/>
        <v>6326.8122689342481</v>
      </c>
      <c r="Q16" s="320"/>
      <c r="R16" s="318">
        <f t="shared" si="2"/>
        <v>-139.43884608509143</v>
      </c>
      <c r="S16" s="318">
        <f t="shared" si="2"/>
        <v>-171.45888498065938</v>
      </c>
      <c r="T16" s="318">
        <f t="shared" si="2"/>
        <v>0</v>
      </c>
      <c r="U16" s="318">
        <f t="shared" si="2"/>
        <v>0</v>
      </c>
      <c r="V16" s="318">
        <f t="shared" si="2"/>
        <v>0</v>
      </c>
      <c r="W16" s="321">
        <f t="shared" si="2"/>
        <v>-310.89773106575103</v>
      </c>
    </row>
    <row r="17" spans="2:23" x14ac:dyDescent="0.25">
      <c r="B17" s="325" t="s">
        <v>810</v>
      </c>
      <c r="C17" s="326"/>
      <c r="D17" s="327">
        <f t="shared" ref="D17:O17" si="4">SUM(D11:D16)</f>
        <v>4119.4273649999996</v>
      </c>
      <c r="E17" s="327">
        <f t="shared" si="4"/>
        <v>2154.2999999999997</v>
      </c>
      <c r="F17" s="327">
        <f t="shared" si="4"/>
        <v>2451.5136449999995</v>
      </c>
      <c r="G17" s="327">
        <f t="shared" si="4"/>
        <v>5081.7589900000012</v>
      </c>
      <c r="H17" s="327">
        <f t="shared" si="4"/>
        <v>441.99999999999864</v>
      </c>
      <c r="I17" s="327">
        <f t="shared" si="4"/>
        <v>14249</v>
      </c>
      <c r="J17" s="328">
        <f t="shared" si="4"/>
        <v>0</v>
      </c>
      <c r="K17" s="327">
        <f t="shared" si="4"/>
        <v>2232.9978689149084</v>
      </c>
      <c r="L17" s="327">
        <f t="shared" si="4"/>
        <v>3826.0944475144588</v>
      </c>
      <c r="M17" s="327">
        <f t="shared" si="4"/>
        <v>2440.4936449999996</v>
      </c>
      <c r="N17" s="327">
        <f t="shared" si="4"/>
        <v>5099.2189899999994</v>
      </c>
      <c r="O17" s="327">
        <f t="shared" si="4"/>
        <v>441.5</v>
      </c>
      <c r="P17" s="327">
        <f t="shared" si="1"/>
        <v>14040.304951429365</v>
      </c>
      <c r="Q17" s="328"/>
      <c r="R17" s="327">
        <f t="shared" si="2"/>
        <v>-1886.4294960850912</v>
      </c>
      <c r="S17" s="327">
        <f t="shared" si="2"/>
        <v>1671.7944475144591</v>
      </c>
      <c r="T17" s="327">
        <f t="shared" si="2"/>
        <v>-11.019999999999982</v>
      </c>
      <c r="U17" s="327">
        <f t="shared" si="2"/>
        <v>17.459999999998217</v>
      </c>
      <c r="V17" s="327">
        <f t="shared" si="2"/>
        <v>-0.49999999999863576</v>
      </c>
      <c r="W17" s="327">
        <f t="shared" si="2"/>
        <v>-208.69504857063475</v>
      </c>
    </row>
    <row r="18" spans="2:23" x14ac:dyDescent="0.25">
      <c r="B18" s="479" t="s">
        <v>55</v>
      </c>
      <c r="C18" s="317" t="s">
        <v>38</v>
      </c>
      <c r="D18" s="318">
        <v>2416.9827999999998</v>
      </c>
      <c r="E18" s="318">
        <v>2234.6552000000001</v>
      </c>
      <c r="F18" s="318">
        <v>3004.6379999999999</v>
      </c>
      <c r="G18" s="318">
        <v>3898.22424</v>
      </c>
      <c r="H18" s="318">
        <v>2529.0517599999998</v>
      </c>
      <c r="I18" s="321">
        <f t="shared" si="0"/>
        <v>14083.552</v>
      </c>
      <c r="J18" s="320"/>
      <c r="K18" s="318">
        <f>VLOOKUP($C18,Resumo!$C$6:$I$30,2,0)</f>
        <v>1546.458969998474</v>
      </c>
      <c r="L18" s="318">
        <f>VLOOKUP($C18,Resumo!$C$6:$I$30,3,0)</f>
        <v>2667.9163800000001</v>
      </c>
      <c r="M18" s="318">
        <f>VLOOKUP($C18,Resumo!$C$6:$I$30,4,0)</f>
        <v>3243</v>
      </c>
      <c r="N18" s="318">
        <f>VLOOKUP($C18,Resumo!$C$6:$I$30,5,0)</f>
        <v>3733</v>
      </c>
      <c r="O18" s="318">
        <f>VLOOKUP($C18,Resumo!$C$6:$I$30,6,0)</f>
        <v>2471</v>
      </c>
      <c r="P18" s="318">
        <f t="shared" si="1"/>
        <v>13661.375349998474</v>
      </c>
      <c r="Q18" s="320"/>
      <c r="R18" s="318">
        <f t="shared" si="2"/>
        <v>-870.52383000152577</v>
      </c>
      <c r="S18" s="318">
        <f t="shared" si="2"/>
        <v>433.26117999999997</v>
      </c>
      <c r="T18" s="318">
        <f t="shared" si="2"/>
        <v>238.36200000000008</v>
      </c>
      <c r="U18" s="318">
        <f t="shared" si="2"/>
        <v>-165.22424000000001</v>
      </c>
      <c r="V18" s="318">
        <f t="shared" si="2"/>
        <v>-58.051759999999831</v>
      </c>
      <c r="W18" s="321">
        <f t="shared" si="2"/>
        <v>-422.17665000152556</v>
      </c>
    </row>
    <row r="19" spans="2:23" x14ac:dyDescent="0.25">
      <c r="B19" s="479"/>
      <c r="C19" s="317" t="s">
        <v>39</v>
      </c>
      <c r="D19" s="318">
        <v>6259.442</v>
      </c>
      <c r="E19" s="318">
        <v>8702.5841583299989</v>
      </c>
      <c r="F19" s="318">
        <v>9836.2548416610007</v>
      </c>
      <c r="G19" s="318">
        <v>9596.3140000000003</v>
      </c>
      <c r="H19" s="318">
        <v>6057</v>
      </c>
      <c r="I19" s="321">
        <f t="shared" si="0"/>
        <v>40451.594999991001</v>
      </c>
      <c r="J19" s="320"/>
      <c r="K19" s="318">
        <f>VLOOKUP($C19,Resumo!$C$6:$I$30,2,0)</f>
        <v>3122.4785726366044</v>
      </c>
      <c r="L19" s="318">
        <f>VLOOKUP($C19,Resumo!$C$6:$I$30,3,0)</f>
        <v>9677.8479970865228</v>
      </c>
      <c r="M19" s="318">
        <f>VLOOKUP($C19,Resumo!$C$6:$I$30,4,0)</f>
        <v>9962.7250716193466</v>
      </c>
      <c r="N19" s="318">
        <f>VLOOKUP($C19,Resumo!$C$6:$I$30,5,0)</f>
        <v>5683.8053581794766</v>
      </c>
      <c r="O19" s="318">
        <f>VLOOKUP($C19,Resumo!$C$6:$I$30,6,0)</f>
        <v>2684.54031913777</v>
      </c>
      <c r="P19" s="318">
        <f t="shared" si="1"/>
        <v>31131.397318659721</v>
      </c>
      <c r="Q19" s="320"/>
      <c r="R19" s="318">
        <f t="shared" si="2"/>
        <v>-3136.9634273633956</v>
      </c>
      <c r="S19" s="318">
        <f t="shared" si="2"/>
        <v>975.26383875652391</v>
      </c>
      <c r="T19" s="318">
        <f t="shared" si="2"/>
        <v>126.47022995834595</v>
      </c>
      <c r="U19" s="318">
        <f t="shared" si="2"/>
        <v>-3912.5086418205237</v>
      </c>
      <c r="V19" s="318">
        <f t="shared" si="2"/>
        <v>-3372.45968086223</v>
      </c>
      <c r="W19" s="321">
        <f t="shared" si="2"/>
        <v>-9320.1976813312795</v>
      </c>
    </row>
    <row r="20" spans="2:23" x14ac:dyDescent="0.25">
      <c r="B20" s="479"/>
      <c r="C20" s="317" t="s">
        <v>40</v>
      </c>
      <c r="D20" s="318">
        <v>4111.9169999999995</v>
      </c>
      <c r="E20" s="318">
        <v>5203.2019999999993</v>
      </c>
      <c r="F20" s="318">
        <v>8312.5830000000005</v>
      </c>
      <c r="G20" s="318">
        <v>9846.514000000001</v>
      </c>
      <c r="H20" s="318">
        <v>7088.2290000000012</v>
      </c>
      <c r="I20" s="321">
        <f t="shared" si="0"/>
        <v>34562.445</v>
      </c>
      <c r="J20" s="320"/>
      <c r="K20" s="318">
        <f>VLOOKUP($C20,Resumo!$C$6:$I$30,2,0)</f>
        <v>3905.691369661899</v>
      </c>
      <c r="L20" s="318">
        <f>VLOOKUP($C20,Resumo!$C$6:$I$30,3,0)</f>
        <v>3511.3220000000001</v>
      </c>
      <c r="M20" s="318">
        <f>VLOOKUP($C20,Resumo!$C$6:$I$30,4,0)</f>
        <v>5997.875</v>
      </c>
      <c r="N20" s="318">
        <f>VLOOKUP($C20,Resumo!$C$6:$I$30,5,0)</f>
        <v>6466.2690000000002</v>
      </c>
      <c r="O20" s="318">
        <f>VLOOKUP($C20,Resumo!$C$6:$I$30,6,0)</f>
        <v>8796.1796299999987</v>
      </c>
      <c r="P20" s="318">
        <f t="shared" si="1"/>
        <v>28677.3369996619</v>
      </c>
      <c r="Q20" s="320"/>
      <c r="R20" s="318">
        <f t="shared" si="2"/>
        <v>-206.22563033810047</v>
      </c>
      <c r="S20" s="318">
        <f t="shared" si="2"/>
        <v>-1691.8799999999992</v>
      </c>
      <c r="T20" s="318">
        <f t="shared" si="2"/>
        <v>-2314.7080000000005</v>
      </c>
      <c r="U20" s="318">
        <f t="shared" si="2"/>
        <v>-3380.2450000000008</v>
      </c>
      <c r="V20" s="318">
        <f t="shared" si="2"/>
        <v>1707.9506299999975</v>
      </c>
      <c r="W20" s="321">
        <f t="shared" si="2"/>
        <v>-5885.1080003380994</v>
      </c>
    </row>
    <row r="21" spans="2:23" x14ac:dyDescent="0.25">
      <c r="B21" s="479"/>
      <c r="C21" s="317" t="s">
        <v>41</v>
      </c>
      <c r="D21" s="318">
        <v>4684</v>
      </c>
      <c r="E21" s="318">
        <v>15470</v>
      </c>
      <c r="F21" s="318">
        <v>2660</v>
      </c>
      <c r="G21" s="318">
        <v>390</v>
      </c>
      <c r="H21" s="318">
        <v>2660</v>
      </c>
      <c r="I21" s="321">
        <f t="shared" si="0"/>
        <v>25864</v>
      </c>
      <c r="J21" s="320"/>
      <c r="K21" s="318">
        <f>VLOOKUP($C21,Resumo!$C$6:$I$30,2,0)</f>
        <v>4684</v>
      </c>
      <c r="L21" s="318">
        <f>VLOOKUP($C21,Resumo!$C$6:$I$30,3,0)</f>
        <v>15480</v>
      </c>
      <c r="M21" s="318">
        <f>VLOOKUP($C21,Resumo!$C$6:$I$30,4,0)</f>
        <v>2220</v>
      </c>
      <c r="N21" s="318">
        <f>VLOOKUP($C21,Resumo!$C$6:$I$30,5,0)</f>
        <v>340</v>
      </c>
      <c r="O21" s="318">
        <f>VLOOKUP($C21,Resumo!$C$6:$I$30,6,0)</f>
        <v>2736</v>
      </c>
      <c r="P21" s="318">
        <f t="shared" si="1"/>
        <v>25460</v>
      </c>
      <c r="Q21" s="320"/>
      <c r="R21" s="318">
        <f t="shared" si="2"/>
        <v>0</v>
      </c>
      <c r="S21" s="318">
        <f t="shared" si="2"/>
        <v>10</v>
      </c>
      <c r="T21" s="318">
        <f t="shared" si="2"/>
        <v>-440</v>
      </c>
      <c r="U21" s="318">
        <f t="shared" si="2"/>
        <v>-50</v>
      </c>
      <c r="V21" s="318">
        <f t="shared" si="2"/>
        <v>76</v>
      </c>
      <c r="W21" s="321">
        <f t="shared" si="2"/>
        <v>-404</v>
      </c>
    </row>
    <row r="22" spans="2:23" x14ac:dyDescent="0.25">
      <c r="B22" s="479"/>
      <c r="C22" s="317" t="s">
        <v>42</v>
      </c>
      <c r="D22" s="318">
        <v>54226.487000000001</v>
      </c>
      <c r="E22" s="318">
        <v>51311</v>
      </c>
      <c r="F22" s="318">
        <v>49621</v>
      </c>
      <c r="G22" s="318">
        <v>22590</v>
      </c>
      <c r="H22" s="318">
        <v>26346.5</v>
      </c>
      <c r="I22" s="321">
        <f t="shared" si="0"/>
        <v>204094.98699999999</v>
      </c>
      <c r="J22" s="320"/>
      <c r="K22" s="318">
        <f>VLOOKUP($C22,Resumo!$C$6:$I$30,2,0)</f>
        <v>45570.091816010143</v>
      </c>
      <c r="L22" s="318">
        <f>VLOOKUP($C22,Resumo!$C$6:$I$30,3,0)</f>
        <v>51377.658060000002</v>
      </c>
      <c r="M22" s="318">
        <f>VLOOKUP($C22,Resumo!$C$6:$I$30,4,0)</f>
        <v>41893.777499999997</v>
      </c>
      <c r="N22" s="318">
        <f>VLOOKUP($C22,Resumo!$C$6:$I$30,5,0)</f>
        <v>35729.5</v>
      </c>
      <c r="O22" s="318">
        <f>VLOOKUP($C22,Resumo!$C$6:$I$30,6,0)</f>
        <v>32673.886724328058</v>
      </c>
      <c r="P22" s="318">
        <f t="shared" si="1"/>
        <v>207244.91410033821</v>
      </c>
      <c r="Q22" s="320"/>
      <c r="R22" s="318">
        <f t="shared" si="2"/>
        <v>-8656.3951839898582</v>
      </c>
      <c r="S22" s="318">
        <f t="shared" si="2"/>
        <v>66.658060000001569</v>
      </c>
      <c r="T22" s="318">
        <f t="shared" si="2"/>
        <v>-7727.2225000000035</v>
      </c>
      <c r="U22" s="318">
        <f t="shared" si="2"/>
        <v>13139.5</v>
      </c>
      <c r="V22" s="318">
        <f t="shared" si="2"/>
        <v>6327.3867243280583</v>
      </c>
      <c r="W22" s="321">
        <f t="shared" si="2"/>
        <v>3149.9271003382164</v>
      </c>
    </row>
    <row r="23" spans="2:23" x14ac:dyDescent="0.25">
      <c r="B23" s="479"/>
      <c r="C23" s="317" t="s">
        <v>43</v>
      </c>
      <c r="D23" s="318">
        <v>3182.4</v>
      </c>
      <c r="E23" s="318">
        <v>1864</v>
      </c>
      <c r="F23" s="318">
        <v>2982</v>
      </c>
      <c r="G23" s="318">
        <v>350</v>
      </c>
      <c r="H23" s="318">
        <v>170</v>
      </c>
      <c r="I23" s="321">
        <f t="shared" si="0"/>
        <v>8548.4</v>
      </c>
      <c r="J23" s="320"/>
      <c r="K23" s="318">
        <f>VLOOKUP($C23,Resumo!$C$6:$I$30,2,0)</f>
        <v>90</v>
      </c>
      <c r="L23" s="318">
        <f>VLOOKUP($C23,Resumo!$C$6:$I$30,3,0)</f>
        <v>4956.3999999999996</v>
      </c>
      <c r="M23" s="318">
        <f>VLOOKUP($C23,Resumo!$C$6:$I$30,4,0)</f>
        <v>2982</v>
      </c>
      <c r="N23" s="318">
        <f>VLOOKUP($C23,Resumo!$C$6:$I$30,5,0)</f>
        <v>350</v>
      </c>
      <c r="O23" s="318">
        <f>VLOOKUP($C23,Resumo!$C$6:$I$30,6,0)</f>
        <v>170</v>
      </c>
      <c r="P23" s="318">
        <f t="shared" si="1"/>
        <v>8548.4</v>
      </c>
      <c r="Q23" s="320"/>
      <c r="R23" s="318">
        <f t="shared" si="2"/>
        <v>-3092.4</v>
      </c>
      <c r="S23" s="318">
        <f t="shared" si="2"/>
        <v>3092.3999999999996</v>
      </c>
      <c r="T23" s="318">
        <f t="shared" si="2"/>
        <v>0</v>
      </c>
      <c r="U23" s="318">
        <f t="shared" si="2"/>
        <v>0</v>
      </c>
      <c r="V23" s="318">
        <f t="shared" si="2"/>
        <v>0</v>
      </c>
      <c r="W23" s="321">
        <f t="shared" si="2"/>
        <v>0</v>
      </c>
    </row>
    <row r="24" spans="2:23" x14ac:dyDescent="0.25">
      <c r="B24" s="325" t="s">
        <v>429</v>
      </c>
      <c r="C24" s="326"/>
      <c r="D24" s="327">
        <f>SUM(D18:D23)</f>
        <v>74881.228799999997</v>
      </c>
      <c r="E24" s="327">
        <f t="shared" ref="E24:O24" si="5">SUM(E18:E23)</f>
        <v>84785.44135832999</v>
      </c>
      <c r="F24" s="327">
        <f t="shared" si="5"/>
        <v>76416.475841660998</v>
      </c>
      <c r="G24" s="327">
        <f t="shared" si="5"/>
        <v>46671.052240000005</v>
      </c>
      <c r="H24" s="327">
        <f t="shared" si="5"/>
        <v>44850.780760000001</v>
      </c>
      <c r="I24" s="327">
        <f t="shared" si="5"/>
        <v>327604.97899999103</v>
      </c>
      <c r="J24" s="328">
        <f t="shared" si="5"/>
        <v>0</v>
      </c>
      <c r="K24" s="327">
        <f t="shared" si="5"/>
        <v>58918.720728307118</v>
      </c>
      <c r="L24" s="327">
        <f t="shared" si="5"/>
        <v>87671.144437086521</v>
      </c>
      <c r="M24" s="327">
        <f t="shared" si="5"/>
        <v>66299.377571619349</v>
      </c>
      <c r="N24" s="327">
        <f t="shared" si="5"/>
        <v>52302.574358179481</v>
      </c>
      <c r="O24" s="327">
        <f t="shared" si="5"/>
        <v>49531.606673465823</v>
      </c>
      <c r="P24" s="327">
        <f t="shared" si="1"/>
        <v>314723.42376865825</v>
      </c>
      <c r="Q24" s="328"/>
      <c r="R24" s="327">
        <f t="shared" si="2"/>
        <v>-15962.508071692879</v>
      </c>
      <c r="S24" s="327">
        <f t="shared" si="2"/>
        <v>2885.7030787565309</v>
      </c>
      <c r="T24" s="327">
        <f t="shared" si="2"/>
        <v>-10117.09827004165</v>
      </c>
      <c r="U24" s="327">
        <f t="shared" si="2"/>
        <v>5631.5221181794768</v>
      </c>
      <c r="V24" s="327">
        <f t="shared" si="2"/>
        <v>4680.8259134658219</v>
      </c>
      <c r="W24" s="327">
        <f t="shared" si="2"/>
        <v>-12881.555231332779</v>
      </c>
    </row>
    <row r="25" spans="2:23" x14ac:dyDescent="0.25">
      <c r="B25" s="472" t="s">
        <v>381</v>
      </c>
      <c r="C25" s="317" t="s">
        <v>44</v>
      </c>
      <c r="D25" s="318">
        <v>75</v>
      </c>
      <c r="E25" s="318">
        <v>75</v>
      </c>
      <c r="F25" s="318">
        <v>150</v>
      </c>
      <c r="G25" s="318">
        <v>150</v>
      </c>
      <c r="H25" s="318">
        <v>250</v>
      </c>
      <c r="I25" s="321">
        <f t="shared" si="0"/>
        <v>700</v>
      </c>
      <c r="J25" s="320"/>
      <c r="K25" s="318">
        <f>VLOOKUP($C25,Resumo!$C$6:$I$30,2,0)</f>
        <v>75</v>
      </c>
      <c r="L25" s="318">
        <f>VLOOKUP($C25,Resumo!$C$6:$I$30,3,0)</f>
        <v>75</v>
      </c>
      <c r="M25" s="318">
        <f>VLOOKUP($C25,Resumo!$C$6:$I$30,4,0)</f>
        <v>150</v>
      </c>
      <c r="N25" s="318">
        <f>VLOOKUP($C25,Resumo!$C$6:$I$30,5,0)</f>
        <v>150</v>
      </c>
      <c r="O25" s="318">
        <f>VLOOKUP($C25,Resumo!$C$6:$I$30,6,0)</f>
        <v>250</v>
      </c>
      <c r="P25" s="318">
        <f t="shared" si="1"/>
        <v>700</v>
      </c>
      <c r="Q25" s="320"/>
      <c r="R25" s="318">
        <f t="shared" si="2"/>
        <v>0</v>
      </c>
      <c r="S25" s="318">
        <f t="shared" si="2"/>
        <v>0</v>
      </c>
      <c r="T25" s="318">
        <f t="shared" si="2"/>
        <v>0</v>
      </c>
      <c r="U25" s="318">
        <f t="shared" si="2"/>
        <v>0</v>
      </c>
      <c r="V25" s="318">
        <f t="shared" si="2"/>
        <v>0</v>
      </c>
      <c r="W25" s="321">
        <f t="shared" si="2"/>
        <v>0</v>
      </c>
    </row>
    <row r="26" spans="2:23" x14ac:dyDescent="0.25">
      <c r="B26" s="472"/>
      <c r="C26" s="317" t="s">
        <v>45</v>
      </c>
      <c r="D26" s="318">
        <v>1289</v>
      </c>
      <c r="E26" s="318">
        <v>150</v>
      </c>
      <c r="F26" s="318">
        <v>150</v>
      </c>
      <c r="G26" s="318">
        <v>150</v>
      </c>
      <c r="H26" s="318">
        <v>150</v>
      </c>
      <c r="I26" s="321">
        <f t="shared" si="0"/>
        <v>1889</v>
      </c>
      <c r="J26" s="320"/>
      <c r="K26" s="318">
        <f>VLOOKUP($C26,Resumo!$C$6:$I$30,2,0)</f>
        <v>227.39499998092671</v>
      </c>
      <c r="L26" s="318">
        <f>VLOOKUP($C26,Resumo!$C$6:$I$30,3,0)</f>
        <v>15</v>
      </c>
      <c r="M26" s="318">
        <f>VLOOKUP($C26,Resumo!$C$6:$I$30,4,0)</f>
        <v>15</v>
      </c>
      <c r="N26" s="318">
        <f>VLOOKUP($C26,Resumo!$C$6:$I$30,5,0)</f>
        <v>812</v>
      </c>
      <c r="O26" s="318">
        <f>VLOOKUP($C26,Resumo!$C$6:$I$30,6,0)</f>
        <v>812</v>
      </c>
      <c r="P26" s="318">
        <f t="shared" si="1"/>
        <v>1881.3949999809267</v>
      </c>
      <c r="Q26" s="320"/>
      <c r="R26" s="318">
        <f t="shared" si="2"/>
        <v>-1061.6050000190733</v>
      </c>
      <c r="S26" s="318">
        <f t="shared" si="2"/>
        <v>-135</v>
      </c>
      <c r="T26" s="318">
        <f t="shared" si="2"/>
        <v>-135</v>
      </c>
      <c r="U26" s="318">
        <f t="shared" si="2"/>
        <v>662</v>
      </c>
      <c r="V26" s="318">
        <f t="shared" si="2"/>
        <v>662</v>
      </c>
      <c r="W26" s="321">
        <f t="shared" si="2"/>
        <v>-7.605000019073259</v>
      </c>
    </row>
    <row r="27" spans="2:23" x14ac:dyDescent="0.25">
      <c r="B27" s="325" t="s">
        <v>811</v>
      </c>
      <c r="C27" s="326"/>
      <c r="D27" s="327">
        <f>SUM(D25:D26)</f>
        <v>1364</v>
      </c>
      <c r="E27" s="327">
        <f t="shared" ref="E27:O27" si="6">SUM(E25:E26)</f>
        <v>225</v>
      </c>
      <c r="F27" s="327">
        <f t="shared" si="6"/>
        <v>300</v>
      </c>
      <c r="G27" s="327">
        <f t="shared" si="6"/>
        <v>300</v>
      </c>
      <c r="H27" s="327">
        <f t="shared" si="6"/>
        <v>400</v>
      </c>
      <c r="I27" s="327">
        <f t="shared" si="6"/>
        <v>2589</v>
      </c>
      <c r="J27" s="328">
        <f t="shared" si="6"/>
        <v>0</v>
      </c>
      <c r="K27" s="327">
        <f t="shared" si="6"/>
        <v>302.39499998092674</v>
      </c>
      <c r="L27" s="327">
        <f t="shared" si="6"/>
        <v>90</v>
      </c>
      <c r="M27" s="327">
        <f t="shared" si="6"/>
        <v>165</v>
      </c>
      <c r="N27" s="327">
        <f t="shared" si="6"/>
        <v>962</v>
      </c>
      <c r="O27" s="327">
        <f t="shared" si="6"/>
        <v>1062</v>
      </c>
      <c r="P27" s="327">
        <f t="shared" si="1"/>
        <v>2581.3949999809265</v>
      </c>
      <c r="Q27" s="328"/>
      <c r="R27" s="327">
        <f t="shared" si="2"/>
        <v>-1061.6050000190733</v>
      </c>
      <c r="S27" s="327">
        <f t="shared" si="2"/>
        <v>-135</v>
      </c>
      <c r="T27" s="327">
        <f t="shared" si="2"/>
        <v>-135</v>
      </c>
      <c r="U27" s="327">
        <f t="shared" si="2"/>
        <v>662</v>
      </c>
      <c r="V27" s="327">
        <f t="shared" si="2"/>
        <v>662</v>
      </c>
      <c r="W27" s="327">
        <f t="shared" si="2"/>
        <v>-7.6050000190734863</v>
      </c>
    </row>
    <row r="28" spans="2:23" x14ac:dyDescent="0.25">
      <c r="B28" s="330" t="s">
        <v>428</v>
      </c>
      <c r="C28" s="331"/>
      <c r="D28" s="332">
        <f t="shared" ref="D28:O28" si="7">D10+D17+D24+D27</f>
        <v>83741.13281499999</v>
      </c>
      <c r="E28" s="332">
        <f t="shared" si="7"/>
        <v>89790.148358329985</v>
      </c>
      <c r="F28" s="332">
        <f t="shared" si="7"/>
        <v>81660.098486660994</v>
      </c>
      <c r="G28" s="332">
        <f t="shared" si="7"/>
        <v>54134.876230000009</v>
      </c>
      <c r="H28" s="332">
        <f t="shared" si="7"/>
        <v>47399.38076</v>
      </c>
      <c r="I28" s="332">
        <f t="shared" si="7"/>
        <v>356725.63664999104</v>
      </c>
      <c r="J28" s="328">
        <f t="shared" si="7"/>
        <v>0</v>
      </c>
      <c r="K28" s="332">
        <f t="shared" si="7"/>
        <v>63499.14154679764</v>
      </c>
      <c r="L28" s="332">
        <f t="shared" si="7"/>
        <v>93843.826846919663</v>
      </c>
      <c r="M28" s="332">
        <f t="shared" si="7"/>
        <v>71533.191056595504</v>
      </c>
      <c r="N28" s="332">
        <f t="shared" si="7"/>
        <v>61064.293348179483</v>
      </c>
      <c r="O28" s="332">
        <f t="shared" si="7"/>
        <v>53346.982188600712</v>
      </c>
      <c r="P28" s="332">
        <f t="shared" si="1"/>
        <v>343287.43498709297</v>
      </c>
      <c r="Q28" s="328"/>
      <c r="R28" s="332">
        <f t="shared" si="2"/>
        <v>-20241.99126820235</v>
      </c>
      <c r="S28" s="332">
        <f t="shared" si="2"/>
        <v>4053.6784885896777</v>
      </c>
      <c r="T28" s="332">
        <f t="shared" si="2"/>
        <v>-10126.90743006549</v>
      </c>
      <c r="U28" s="332">
        <f t="shared" si="2"/>
        <v>6929.4171181794736</v>
      </c>
      <c r="V28" s="332">
        <f t="shared" si="2"/>
        <v>5947.6014286007121</v>
      </c>
      <c r="W28" s="332">
        <f t="shared" si="2"/>
        <v>-13438.201662898064</v>
      </c>
    </row>
    <row r="32" spans="2:23" x14ac:dyDescent="0.25">
      <c r="E32" s="87"/>
    </row>
    <row r="34" spans="3:20" x14ac:dyDescent="0.25">
      <c r="T34" s="333"/>
    </row>
    <row r="38" spans="3:20" x14ac:dyDescent="0.25">
      <c r="C38" s="93"/>
    </row>
  </sheetData>
  <autoFilter ref="B3:W28"/>
  <mergeCells count="7">
    <mergeCell ref="B25:B26"/>
    <mergeCell ref="D2:I2"/>
    <mergeCell ref="K2:P2"/>
    <mergeCell ref="R2:W2"/>
    <mergeCell ref="B4:B9"/>
    <mergeCell ref="B11:B16"/>
    <mergeCell ref="B18:B23"/>
  </mergeCells>
  <conditionalFormatting sqref="R4:W28">
    <cfRule type="cellIs" dxfId="4" priority="1" operator="lessThan">
      <formula>0</formula>
    </cfRule>
    <cfRule type="cellIs" dxfId="3" priority="2" operator="greaterThan">
      <formula>0</formula>
    </cfRule>
  </conditionalFormatting>
  <pageMargins left="0.511811024" right="0.511811024" top="0.78740157499999996" bottom="0.78740157499999996" header="0.31496062000000002" footer="0.31496062000000002"/>
  <pageSetup orientation="portrait" r:id="rId1"/>
  <ignoredErrors>
    <ignoredError sqref="D3:V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0"/>
  <sheetViews>
    <sheetView showGridLines="0" zoomScale="84" zoomScaleNormal="84" workbookViewId="0">
      <pane ySplit="3" topLeftCell="A187" activePane="bottomLeft" state="frozen"/>
      <selection pane="bottomLeft" activeCell="A192" sqref="A192"/>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468" t="s">
        <v>1348</v>
      </c>
      <c r="B2" s="468" t="s">
        <v>1349</v>
      </c>
      <c r="C2" s="468" t="s">
        <v>1350</v>
      </c>
      <c r="D2" s="470" t="s">
        <v>1351</v>
      </c>
      <c r="E2" s="289" t="s">
        <v>1352</v>
      </c>
      <c r="F2" s="122"/>
      <c r="G2" s="123"/>
      <c r="H2" s="122"/>
      <c r="I2" s="124" t="s">
        <v>1353</v>
      </c>
      <c r="J2" s="125">
        <f>[2]Capa!$K$3</f>
        <v>43251</v>
      </c>
      <c r="K2" s="124"/>
      <c r="L2" s="124"/>
      <c r="M2" s="126"/>
      <c r="N2" s="127"/>
      <c r="O2" s="124"/>
      <c r="P2" s="124" t="s">
        <v>1354</v>
      </c>
      <c r="Q2" s="124"/>
      <c r="R2" s="124"/>
      <c r="S2" s="124"/>
      <c r="T2" s="124"/>
      <c r="U2" s="128"/>
    </row>
    <row r="3" spans="1:21"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1"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row>
    <row r="5" spans="1:21"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row>
    <row r="6" spans="1:21" x14ac:dyDescent="0.25">
      <c r="A6" s="111" t="s">
        <v>1383</v>
      </c>
      <c r="B6" s="112" t="s">
        <v>1384</v>
      </c>
      <c r="C6" s="112" t="s">
        <v>1385</v>
      </c>
      <c r="D6" s="113">
        <v>450</v>
      </c>
      <c r="E6" s="114">
        <v>0</v>
      </c>
      <c r="F6" s="113">
        <v>450</v>
      </c>
      <c r="G6" s="114">
        <v>0</v>
      </c>
      <c r="H6" s="113">
        <v>2</v>
      </c>
      <c r="I6" s="114">
        <v>0</v>
      </c>
      <c r="J6" s="113">
        <v>0</v>
      </c>
      <c r="K6" s="114">
        <v>0</v>
      </c>
      <c r="L6" s="113">
        <v>0</v>
      </c>
      <c r="M6" s="114">
        <v>0</v>
      </c>
      <c r="N6" s="113">
        <v>0</v>
      </c>
      <c r="O6" s="114">
        <v>0</v>
      </c>
      <c r="P6" s="113">
        <v>0</v>
      </c>
      <c r="Q6" s="114">
        <v>0</v>
      </c>
      <c r="R6" s="113">
        <v>0</v>
      </c>
      <c r="S6" s="114">
        <v>0</v>
      </c>
      <c r="T6" s="113">
        <v>0</v>
      </c>
      <c r="U6" s="115">
        <v>0</v>
      </c>
    </row>
    <row r="7" spans="1:21" x14ac:dyDescent="0.25">
      <c r="A7" s="14" t="s">
        <v>1562</v>
      </c>
      <c r="B7" s="116" t="s">
        <v>1589</v>
      </c>
      <c r="C7" s="116" t="s">
        <v>1563</v>
      </c>
      <c r="D7" s="117">
        <v>0</v>
      </c>
      <c r="E7" s="120">
        <v>0</v>
      </c>
      <c r="F7" s="117">
        <v>0</v>
      </c>
      <c r="G7" s="120">
        <v>51</v>
      </c>
      <c r="H7" s="117">
        <v>0</v>
      </c>
      <c r="I7" s="120">
        <v>0</v>
      </c>
      <c r="J7" s="117">
        <v>0</v>
      </c>
      <c r="K7" s="120">
        <v>0</v>
      </c>
      <c r="L7" s="117">
        <v>30.099999189376831</v>
      </c>
      <c r="M7" s="120">
        <v>30.099999189376831</v>
      </c>
      <c r="N7" s="117">
        <v>0</v>
      </c>
      <c r="O7" s="120">
        <v>0</v>
      </c>
      <c r="P7" s="117">
        <v>0</v>
      </c>
      <c r="Q7" s="120">
        <v>0</v>
      </c>
      <c r="R7" s="117">
        <v>0</v>
      </c>
      <c r="S7" s="120">
        <v>0</v>
      </c>
      <c r="T7" s="117">
        <v>0</v>
      </c>
      <c r="U7" s="119">
        <v>0</v>
      </c>
    </row>
    <row r="8" spans="1:21" x14ac:dyDescent="0.25">
      <c r="A8" s="111" t="s">
        <v>520</v>
      </c>
      <c r="B8" s="112" t="s">
        <v>1137</v>
      </c>
      <c r="C8" s="112" t="s">
        <v>57</v>
      </c>
      <c r="D8" s="113">
        <v>1854</v>
      </c>
      <c r="E8" s="114">
        <v>0</v>
      </c>
      <c r="F8" s="113">
        <v>0</v>
      </c>
      <c r="G8" s="114">
        <v>0</v>
      </c>
      <c r="H8" s="113">
        <v>0</v>
      </c>
      <c r="I8" s="114">
        <v>0</v>
      </c>
      <c r="J8" s="113">
        <v>0</v>
      </c>
      <c r="K8" s="114">
        <v>0</v>
      </c>
      <c r="L8" s="113">
        <v>0</v>
      </c>
      <c r="M8" s="114">
        <v>0</v>
      </c>
      <c r="N8" s="113">
        <v>634</v>
      </c>
      <c r="O8" s="114">
        <v>435</v>
      </c>
      <c r="P8" s="113">
        <v>360</v>
      </c>
      <c r="Q8" s="114">
        <v>425</v>
      </c>
      <c r="R8" s="113">
        <v>0</v>
      </c>
      <c r="S8" s="114">
        <v>0</v>
      </c>
      <c r="T8" s="113">
        <v>0</v>
      </c>
      <c r="U8" s="115">
        <v>0</v>
      </c>
    </row>
    <row r="9" spans="1:21" x14ac:dyDescent="0.25">
      <c r="A9" s="14" t="s">
        <v>1469</v>
      </c>
      <c r="B9" s="116" t="s">
        <v>1517</v>
      </c>
      <c r="C9" s="116" t="s">
        <v>1470</v>
      </c>
      <c r="D9" s="117">
        <v>0</v>
      </c>
      <c r="E9" s="120">
        <v>0</v>
      </c>
      <c r="F9" s="117">
        <v>0</v>
      </c>
      <c r="G9" s="120">
        <v>132</v>
      </c>
      <c r="H9" s="117">
        <v>0</v>
      </c>
      <c r="I9" s="120">
        <v>1.6000000238418579</v>
      </c>
      <c r="J9" s="117">
        <v>0</v>
      </c>
      <c r="K9" s="120">
        <v>1.6000000238418579</v>
      </c>
      <c r="L9" s="117">
        <v>117.912353515625</v>
      </c>
      <c r="M9" s="120">
        <v>119.51235353946686</v>
      </c>
      <c r="N9" s="117">
        <v>0</v>
      </c>
      <c r="O9" s="120">
        <v>0</v>
      </c>
      <c r="P9" s="117">
        <v>0</v>
      </c>
      <c r="Q9" s="120">
        <v>0</v>
      </c>
      <c r="R9" s="117">
        <v>0</v>
      </c>
      <c r="S9" s="120">
        <v>0</v>
      </c>
      <c r="T9" s="117">
        <v>0</v>
      </c>
      <c r="U9" s="119">
        <v>0</v>
      </c>
    </row>
    <row r="10" spans="1:21" x14ac:dyDescent="0.25">
      <c r="A10" s="111" t="s">
        <v>1138</v>
      </c>
      <c r="B10" s="112" t="s">
        <v>1139</v>
      </c>
      <c r="C10" s="112" t="s">
        <v>57</v>
      </c>
      <c r="D10" s="113">
        <v>332</v>
      </c>
      <c r="E10" s="114">
        <v>0</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row>
    <row r="11" spans="1:21" x14ac:dyDescent="0.25">
      <c r="A11" s="14" t="s">
        <v>1133</v>
      </c>
      <c r="B11" s="116" t="s">
        <v>1140</v>
      </c>
      <c r="C11" s="116" t="s">
        <v>57</v>
      </c>
      <c r="D11" s="117">
        <v>0</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row>
    <row r="12" spans="1:21" x14ac:dyDescent="0.25">
      <c r="A12" s="111" t="s">
        <v>1135</v>
      </c>
      <c r="B12" s="112" t="s">
        <v>1136</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row>
    <row r="13" spans="1:21" x14ac:dyDescent="0.25">
      <c r="A13" s="14" t="s">
        <v>520</v>
      </c>
      <c r="B13" s="116" t="s">
        <v>1137</v>
      </c>
      <c r="C13" s="116" t="s">
        <v>57</v>
      </c>
      <c r="D13" s="117">
        <v>139</v>
      </c>
      <c r="E13" s="120">
        <v>0</v>
      </c>
      <c r="F13" s="117">
        <v>0</v>
      </c>
      <c r="G13" s="120">
        <v>0</v>
      </c>
      <c r="H13" s="117">
        <v>0</v>
      </c>
      <c r="I13" s="120">
        <v>0</v>
      </c>
      <c r="J13" s="117">
        <v>0</v>
      </c>
      <c r="K13" s="120">
        <v>0</v>
      </c>
      <c r="L13" s="117">
        <v>0</v>
      </c>
      <c r="M13" s="120">
        <v>0</v>
      </c>
      <c r="N13" s="117">
        <v>16</v>
      </c>
      <c r="O13" s="120">
        <v>30</v>
      </c>
      <c r="P13" s="117">
        <v>50</v>
      </c>
      <c r="Q13" s="120">
        <v>43</v>
      </c>
      <c r="R13" s="117">
        <v>0</v>
      </c>
      <c r="S13" s="120">
        <v>0</v>
      </c>
      <c r="T13" s="117">
        <v>0</v>
      </c>
      <c r="U13" s="119">
        <v>0</v>
      </c>
    </row>
    <row r="14" spans="1:21" x14ac:dyDescent="0.25">
      <c r="A14" s="111" t="s">
        <v>1138</v>
      </c>
      <c r="B14" s="112" t="s">
        <v>1139</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row>
    <row r="15" spans="1:21" x14ac:dyDescent="0.25">
      <c r="A15" s="14" t="s">
        <v>1141</v>
      </c>
      <c r="B15" s="116" t="s">
        <v>1142</v>
      </c>
      <c r="C15" s="116" t="s">
        <v>1143</v>
      </c>
      <c r="D15" s="117">
        <v>29</v>
      </c>
      <c r="E15" s="120">
        <v>0</v>
      </c>
      <c r="F15" s="117">
        <v>29</v>
      </c>
      <c r="G15" s="120">
        <v>0</v>
      </c>
      <c r="H15" s="117">
        <v>0</v>
      </c>
      <c r="I15" s="120">
        <v>0</v>
      </c>
      <c r="J15" s="117">
        <v>0</v>
      </c>
      <c r="K15" s="120">
        <v>0</v>
      </c>
      <c r="L15" s="117">
        <v>0</v>
      </c>
      <c r="M15" s="120">
        <v>0</v>
      </c>
      <c r="N15" s="117">
        <v>0</v>
      </c>
      <c r="O15" s="120">
        <v>0</v>
      </c>
      <c r="P15" s="117">
        <v>0</v>
      </c>
      <c r="Q15" s="120">
        <v>0</v>
      </c>
      <c r="R15" s="117">
        <v>0</v>
      </c>
      <c r="S15" s="120">
        <v>0</v>
      </c>
      <c r="T15" s="117">
        <v>0</v>
      </c>
      <c r="U15" s="119">
        <v>0</v>
      </c>
    </row>
    <row r="16" spans="1:21" x14ac:dyDescent="0.25">
      <c r="A16" s="111" t="s">
        <v>1133</v>
      </c>
      <c r="B16" s="112" t="s">
        <v>1144</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row>
    <row r="17" spans="1:21" x14ac:dyDescent="0.25">
      <c r="A17" s="14" t="s">
        <v>1135</v>
      </c>
      <c r="B17" s="116" t="s">
        <v>1136</v>
      </c>
      <c r="C17" s="116" t="s">
        <v>57</v>
      </c>
      <c r="D17" s="117">
        <v>0</v>
      </c>
      <c r="E17" s="120">
        <v>0</v>
      </c>
      <c r="F17" s="117">
        <v>0</v>
      </c>
      <c r="G17" s="120">
        <v>0</v>
      </c>
      <c r="H17" s="117">
        <v>0</v>
      </c>
      <c r="I17" s="120">
        <v>0</v>
      </c>
      <c r="J17" s="117">
        <v>0</v>
      </c>
      <c r="K17" s="120">
        <v>0</v>
      </c>
      <c r="L17" s="117">
        <v>0</v>
      </c>
      <c r="M17" s="120">
        <v>0</v>
      </c>
      <c r="N17" s="117">
        <v>0</v>
      </c>
      <c r="O17" s="120">
        <v>0</v>
      </c>
      <c r="P17" s="117">
        <v>0</v>
      </c>
      <c r="Q17" s="120">
        <v>0</v>
      </c>
      <c r="R17" s="117">
        <v>0</v>
      </c>
      <c r="S17" s="120">
        <v>0</v>
      </c>
      <c r="T17" s="117">
        <v>0</v>
      </c>
      <c r="U17" s="119">
        <v>0</v>
      </c>
    </row>
    <row r="18" spans="1:21" x14ac:dyDescent="0.25">
      <c r="A18" s="111" t="s">
        <v>520</v>
      </c>
      <c r="B18" s="112" t="s">
        <v>1137</v>
      </c>
      <c r="C18" s="112" t="s">
        <v>57</v>
      </c>
      <c r="D18" s="113">
        <v>896</v>
      </c>
      <c r="E18" s="114">
        <v>0</v>
      </c>
      <c r="F18" s="113">
        <v>0</v>
      </c>
      <c r="G18" s="114">
        <v>0</v>
      </c>
      <c r="H18" s="113">
        <v>0</v>
      </c>
      <c r="I18" s="114">
        <v>0</v>
      </c>
      <c r="J18" s="113">
        <v>0</v>
      </c>
      <c r="K18" s="114">
        <v>0</v>
      </c>
      <c r="L18" s="113">
        <v>0</v>
      </c>
      <c r="M18" s="114">
        <v>0</v>
      </c>
      <c r="N18" s="113">
        <v>351.5</v>
      </c>
      <c r="O18" s="114">
        <v>214.5</v>
      </c>
      <c r="P18" s="113">
        <v>51.5</v>
      </c>
      <c r="Q18" s="114">
        <v>278.5</v>
      </c>
      <c r="R18" s="113">
        <v>0</v>
      </c>
      <c r="S18" s="114">
        <v>0</v>
      </c>
      <c r="T18" s="113">
        <v>0</v>
      </c>
      <c r="U18" s="115">
        <v>0</v>
      </c>
    </row>
    <row r="19" spans="1:21" x14ac:dyDescent="0.25">
      <c r="A19" s="14" t="s">
        <v>1138</v>
      </c>
      <c r="B19" s="116" t="s">
        <v>1139</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row>
    <row r="20" spans="1:21" x14ac:dyDescent="0.25">
      <c r="A20" s="111" t="s">
        <v>1407</v>
      </c>
      <c r="B20" s="112" t="s">
        <v>1408</v>
      </c>
      <c r="C20" s="112" t="s">
        <v>1409</v>
      </c>
      <c r="D20" s="113">
        <v>0</v>
      </c>
      <c r="E20" s="114">
        <v>0</v>
      </c>
      <c r="F20" s="113">
        <v>0</v>
      </c>
      <c r="G20" s="114">
        <v>59</v>
      </c>
      <c r="H20" s="113">
        <v>0</v>
      </c>
      <c r="I20" s="114">
        <v>0</v>
      </c>
      <c r="J20" s="113">
        <v>0</v>
      </c>
      <c r="K20" s="114">
        <v>0</v>
      </c>
      <c r="L20" s="113">
        <v>52.5</v>
      </c>
      <c r="M20" s="114">
        <v>52.5</v>
      </c>
      <c r="N20" s="113">
        <v>0</v>
      </c>
      <c r="O20" s="114">
        <v>0</v>
      </c>
      <c r="P20" s="113">
        <v>0</v>
      </c>
      <c r="Q20" s="114">
        <v>0</v>
      </c>
      <c r="R20" s="113">
        <v>0</v>
      </c>
      <c r="S20" s="114">
        <v>0</v>
      </c>
      <c r="T20" s="113">
        <v>0</v>
      </c>
      <c r="U20" s="115">
        <v>0</v>
      </c>
    </row>
    <row r="21" spans="1:21" x14ac:dyDescent="0.25">
      <c r="A21" s="14" t="s">
        <v>1145</v>
      </c>
      <c r="B21" s="116" t="s">
        <v>1146</v>
      </c>
      <c r="C21" s="116" t="s">
        <v>1147</v>
      </c>
      <c r="D21" s="117">
        <v>59</v>
      </c>
      <c r="E21" s="120">
        <v>0</v>
      </c>
      <c r="F21" s="117">
        <v>59</v>
      </c>
      <c r="G21" s="120">
        <v>0</v>
      </c>
      <c r="H21" s="117">
        <v>0</v>
      </c>
      <c r="I21" s="120">
        <v>0</v>
      </c>
      <c r="J21" s="117">
        <v>0</v>
      </c>
      <c r="K21" s="120">
        <v>0</v>
      </c>
      <c r="L21" s="117">
        <v>0</v>
      </c>
      <c r="M21" s="120">
        <v>0</v>
      </c>
      <c r="N21" s="117">
        <v>0</v>
      </c>
      <c r="O21" s="120">
        <v>0</v>
      </c>
      <c r="P21" s="117">
        <v>0</v>
      </c>
      <c r="Q21" s="120">
        <v>0</v>
      </c>
      <c r="R21" s="117">
        <v>0</v>
      </c>
      <c r="S21" s="120">
        <v>0</v>
      </c>
      <c r="T21" s="117">
        <v>0</v>
      </c>
      <c r="U21" s="119">
        <v>0</v>
      </c>
    </row>
    <row r="22" spans="1:21" x14ac:dyDescent="0.25">
      <c r="A22" s="111" t="s">
        <v>1133</v>
      </c>
      <c r="B22" s="112" t="s">
        <v>1148</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row>
    <row r="23" spans="1:21" x14ac:dyDescent="0.25">
      <c r="A23" s="14" t="s">
        <v>1135</v>
      </c>
      <c r="B23" s="116" t="s">
        <v>1136</v>
      </c>
      <c r="C23" s="116" t="s">
        <v>57</v>
      </c>
      <c r="D23" s="117">
        <v>0</v>
      </c>
      <c r="E23" s="120">
        <v>0</v>
      </c>
      <c r="F23" s="117">
        <v>0</v>
      </c>
      <c r="G23" s="120">
        <v>0</v>
      </c>
      <c r="H23" s="117">
        <v>0</v>
      </c>
      <c r="I23" s="120">
        <v>0</v>
      </c>
      <c r="J23" s="117">
        <v>0</v>
      </c>
      <c r="K23" s="120">
        <v>0</v>
      </c>
      <c r="L23" s="117">
        <v>0</v>
      </c>
      <c r="M23" s="120">
        <v>0</v>
      </c>
      <c r="N23" s="117">
        <v>0</v>
      </c>
      <c r="O23" s="120">
        <v>0</v>
      </c>
      <c r="P23" s="117">
        <v>0</v>
      </c>
      <c r="Q23" s="120">
        <v>0</v>
      </c>
      <c r="R23" s="117">
        <v>0</v>
      </c>
      <c r="S23" s="120">
        <v>0</v>
      </c>
      <c r="T23" s="117">
        <v>0</v>
      </c>
      <c r="U23" s="119">
        <v>0</v>
      </c>
    </row>
    <row r="24" spans="1:21" x14ac:dyDescent="0.25">
      <c r="A24" s="111" t="s">
        <v>520</v>
      </c>
      <c r="B24" s="112" t="s">
        <v>1137</v>
      </c>
      <c r="C24" s="112" t="s">
        <v>57</v>
      </c>
      <c r="D24" s="113">
        <v>4002</v>
      </c>
      <c r="E24" s="114">
        <v>0</v>
      </c>
      <c r="F24" s="113">
        <v>0</v>
      </c>
      <c r="G24" s="114">
        <v>0</v>
      </c>
      <c r="H24" s="113">
        <v>0</v>
      </c>
      <c r="I24" s="114">
        <v>0</v>
      </c>
      <c r="J24" s="113">
        <v>0</v>
      </c>
      <c r="K24" s="114">
        <v>0</v>
      </c>
      <c r="L24" s="113">
        <v>0</v>
      </c>
      <c r="M24" s="114">
        <v>0</v>
      </c>
      <c r="N24" s="113">
        <v>928</v>
      </c>
      <c r="O24" s="114">
        <v>1188</v>
      </c>
      <c r="P24" s="113">
        <v>1123</v>
      </c>
      <c r="Q24" s="114">
        <v>763</v>
      </c>
      <c r="R24" s="113">
        <v>0</v>
      </c>
      <c r="S24" s="114">
        <v>0</v>
      </c>
      <c r="T24" s="113">
        <v>0</v>
      </c>
      <c r="U24" s="115">
        <v>0</v>
      </c>
    </row>
    <row r="25" spans="1:21" x14ac:dyDescent="0.25">
      <c r="A25" s="14" t="s">
        <v>1138</v>
      </c>
      <c r="B25" s="116" t="s">
        <v>1139</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row>
    <row r="26" spans="1:21" x14ac:dyDescent="0.25">
      <c r="A26" s="111" t="s">
        <v>1058</v>
      </c>
      <c r="B26" s="112" t="s">
        <v>1149</v>
      </c>
      <c r="C26" s="112" t="s">
        <v>1150</v>
      </c>
      <c r="D26" s="113">
        <v>0</v>
      </c>
      <c r="E26" s="114">
        <v>0</v>
      </c>
      <c r="F26" s="113">
        <v>0</v>
      </c>
      <c r="G26" s="114">
        <v>119</v>
      </c>
      <c r="H26" s="113">
        <v>0</v>
      </c>
      <c r="I26" s="114">
        <v>119.11103057861328</v>
      </c>
      <c r="J26" s="113">
        <v>0</v>
      </c>
      <c r="K26" s="114">
        <v>119.11103057861328</v>
      </c>
      <c r="L26" s="113">
        <v>0</v>
      </c>
      <c r="M26" s="114">
        <v>119.11103057861328</v>
      </c>
      <c r="N26" s="113">
        <v>0</v>
      </c>
      <c r="O26" s="114">
        <v>0</v>
      </c>
      <c r="P26" s="113">
        <v>0</v>
      </c>
      <c r="Q26" s="114">
        <v>0</v>
      </c>
      <c r="R26" s="113">
        <v>0</v>
      </c>
      <c r="S26" s="114">
        <v>0</v>
      </c>
      <c r="T26" s="113">
        <v>0</v>
      </c>
      <c r="U26" s="115">
        <v>0</v>
      </c>
    </row>
    <row r="27" spans="1:21" x14ac:dyDescent="0.25">
      <c r="A27" s="14" t="s">
        <v>744</v>
      </c>
      <c r="B27" s="116" t="s">
        <v>378</v>
      </c>
      <c r="C27" s="116" t="s">
        <v>1151</v>
      </c>
      <c r="D27" s="117">
        <v>0</v>
      </c>
      <c r="E27" s="120">
        <v>0</v>
      </c>
      <c r="F27" s="117">
        <v>0</v>
      </c>
      <c r="G27" s="120">
        <v>490</v>
      </c>
      <c r="H27" s="117">
        <v>0</v>
      </c>
      <c r="I27" s="120">
        <v>199.49535179138184</v>
      </c>
      <c r="J27" s="117">
        <v>0</v>
      </c>
      <c r="K27" s="120">
        <v>199.49535179138184</v>
      </c>
      <c r="L27" s="117">
        <v>284.27999877929687</v>
      </c>
      <c r="M27" s="120">
        <v>483.77535057067871</v>
      </c>
      <c r="N27" s="117">
        <v>0</v>
      </c>
      <c r="O27" s="120">
        <v>0</v>
      </c>
      <c r="P27" s="117">
        <v>0</v>
      </c>
      <c r="Q27" s="120">
        <v>0</v>
      </c>
      <c r="R27" s="117">
        <v>0</v>
      </c>
      <c r="S27" s="120">
        <v>0</v>
      </c>
      <c r="T27" s="117">
        <v>0</v>
      </c>
      <c r="U27" s="119">
        <v>0</v>
      </c>
    </row>
    <row r="28" spans="1:21" x14ac:dyDescent="0.25">
      <c r="A28" s="111" t="s">
        <v>1152</v>
      </c>
      <c r="B28" s="112" t="s">
        <v>1149</v>
      </c>
      <c r="C28" s="112" t="s">
        <v>1153</v>
      </c>
      <c r="D28" s="113">
        <v>0</v>
      </c>
      <c r="E28" s="114">
        <v>0</v>
      </c>
      <c r="F28" s="113">
        <v>0</v>
      </c>
      <c r="G28" s="114">
        <v>115</v>
      </c>
      <c r="H28" s="113">
        <v>0</v>
      </c>
      <c r="I28" s="114">
        <v>0</v>
      </c>
      <c r="J28" s="113">
        <v>0</v>
      </c>
      <c r="K28" s="114">
        <v>0</v>
      </c>
      <c r="L28" s="113">
        <v>115.19999694824219</v>
      </c>
      <c r="M28" s="114">
        <v>115.19999694824219</v>
      </c>
      <c r="N28" s="113">
        <v>0</v>
      </c>
      <c r="O28" s="114">
        <v>0</v>
      </c>
      <c r="P28" s="113">
        <v>0</v>
      </c>
      <c r="Q28" s="114">
        <v>0</v>
      </c>
      <c r="R28" s="113">
        <v>0</v>
      </c>
      <c r="S28" s="114">
        <v>0</v>
      </c>
      <c r="T28" s="113">
        <v>0</v>
      </c>
      <c r="U28" s="115">
        <v>0</v>
      </c>
    </row>
    <row r="29" spans="1:21" x14ac:dyDescent="0.25">
      <c r="A29" s="14" t="s">
        <v>1154</v>
      </c>
      <c r="B29" s="116" t="s">
        <v>1155</v>
      </c>
      <c r="C29" s="116" t="s">
        <v>1156</v>
      </c>
      <c r="D29" s="117">
        <v>2118</v>
      </c>
      <c r="E29" s="120">
        <v>0</v>
      </c>
      <c r="F29" s="117">
        <v>1886</v>
      </c>
      <c r="G29" s="120">
        <v>0</v>
      </c>
      <c r="H29" s="117">
        <v>282</v>
      </c>
      <c r="I29" s="120">
        <v>0</v>
      </c>
      <c r="J29" s="117">
        <v>0</v>
      </c>
      <c r="K29" s="120">
        <v>0</v>
      </c>
      <c r="L29" s="117">
        <v>0</v>
      </c>
      <c r="M29" s="120">
        <v>0</v>
      </c>
      <c r="N29" s="117">
        <v>210</v>
      </c>
      <c r="O29" s="120">
        <v>22</v>
      </c>
      <c r="P29" s="117">
        <v>0</v>
      </c>
      <c r="Q29" s="120">
        <v>0</v>
      </c>
      <c r="R29" s="117">
        <v>0</v>
      </c>
      <c r="S29" s="120">
        <v>0</v>
      </c>
      <c r="T29" s="117">
        <v>0</v>
      </c>
      <c r="U29" s="119">
        <v>0</v>
      </c>
    </row>
    <row r="30" spans="1:21" x14ac:dyDescent="0.25">
      <c r="A30" s="111" t="s">
        <v>1410</v>
      </c>
      <c r="B30" s="112" t="s">
        <v>1411</v>
      </c>
      <c r="C30" s="112" t="s">
        <v>1412</v>
      </c>
      <c r="D30" s="113">
        <v>0</v>
      </c>
      <c r="E30" s="114">
        <v>0</v>
      </c>
      <c r="F30" s="113">
        <v>0</v>
      </c>
      <c r="G30" s="114">
        <v>27</v>
      </c>
      <c r="H30" s="113">
        <v>0</v>
      </c>
      <c r="I30" s="114">
        <v>0</v>
      </c>
      <c r="J30" s="113">
        <v>0</v>
      </c>
      <c r="K30" s="114">
        <v>0</v>
      </c>
      <c r="L30" s="113">
        <v>21.477760314941406</v>
      </c>
      <c r="M30" s="114">
        <v>21.477760314941406</v>
      </c>
      <c r="N30" s="113">
        <v>0</v>
      </c>
      <c r="O30" s="114">
        <v>0</v>
      </c>
      <c r="P30" s="113">
        <v>0</v>
      </c>
      <c r="Q30" s="114">
        <v>0</v>
      </c>
      <c r="R30" s="113">
        <v>0</v>
      </c>
      <c r="S30" s="114">
        <v>0</v>
      </c>
      <c r="T30" s="113">
        <v>0</v>
      </c>
      <c r="U30" s="115">
        <v>0</v>
      </c>
    </row>
    <row r="31" spans="1:21" x14ac:dyDescent="0.25">
      <c r="A31" s="14" t="s">
        <v>1413</v>
      </c>
      <c r="B31" s="116" t="s">
        <v>1414</v>
      </c>
      <c r="C31" s="116" t="s">
        <v>1415</v>
      </c>
      <c r="D31" s="117">
        <v>0</v>
      </c>
      <c r="E31" s="120">
        <v>0</v>
      </c>
      <c r="F31" s="117">
        <v>0</v>
      </c>
      <c r="G31" s="120">
        <v>32</v>
      </c>
      <c r="H31" s="117">
        <v>0</v>
      </c>
      <c r="I31" s="120">
        <v>0</v>
      </c>
      <c r="J31" s="117">
        <v>0</v>
      </c>
      <c r="K31" s="120">
        <v>0</v>
      </c>
      <c r="L31" s="117">
        <v>32.383308410644531</v>
      </c>
      <c r="M31" s="120">
        <v>32.383308410644531</v>
      </c>
      <c r="N31" s="117">
        <v>0</v>
      </c>
      <c r="O31" s="120">
        <v>0</v>
      </c>
      <c r="P31" s="117">
        <v>0</v>
      </c>
      <c r="Q31" s="120">
        <v>0</v>
      </c>
      <c r="R31" s="117">
        <v>0</v>
      </c>
      <c r="S31" s="120">
        <v>0</v>
      </c>
      <c r="T31" s="117">
        <v>0</v>
      </c>
      <c r="U31" s="119">
        <v>0</v>
      </c>
    </row>
    <row r="32" spans="1:21" x14ac:dyDescent="0.25">
      <c r="A32" s="111" t="s">
        <v>1565</v>
      </c>
      <c r="B32" s="112" t="s">
        <v>972</v>
      </c>
      <c r="C32" s="112" t="s">
        <v>1566</v>
      </c>
      <c r="D32" s="113">
        <v>0</v>
      </c>
      <c r="E32" s="114">
        <v>0</v>
      </c>
      <c r="F32" s="113">
        <v>0</v>
      </c>
      <c r="G32" s="114">
        <v>318</v>
      </c>
      <c r="H32" s="113">
        <v>0</v>
      </c>
      <c r="I32" s="114">
        <v>0</v>
      </c>
      <c r="J32" s="113">
        <v>0</v>
      </c>
      <c r="K32" s="114">
        <v>0</v>
      </c>
      <c r="L32" s="113">
        <v>0</v>
      </c>
      <c r="M32" s="114">
        <v>0</v>
      </c>
      <c r="N32" s="113">
        <v>0</v>
      </c>
      <c r="O32" s="114">
        <v>0</v>
      </c>
      <c r="P32" s="113">
        <v>0</v>
      </c>
      <c r="Q32" s="114">
        <v>0</v>
      </c>
      <c r="R32" s="113">
        <v>0</v>
      </c>
      <c r="S32" s="114">
        <v>0</v>
      </c>
      <c r="T32" s="113">
        <v>0</v>
      </c>
      <c r="U32" s="115">
        <v>0</v>
      </c>
    </row>
    <row r="33" spans="1:21" x14ac:dyDescent="0.25">
      <c r="A33" s="14" t="s">
        <v>1703</v>
      </c>
      <c r="B33" s="116" t="s">
        <v>789</v>
      </c>
      <c r="C33" s="116" t="s">
        <v>1704</v>
      </c>
      <c r="D33" s="117">
        <v>0</v>
      </c>
      <c r="E33" s="120">
        <v>0</v>
      </c>
      <c r="F33" s="117">
        <v>0</v>
      </c>
      <c r="G33" s="120">
        <v>420</v>
      </c>
      <c r="H33" s="117">
        <v>0</v>
      </c>
      <c r="I33" s="120">
        <v>0</v>
      </c>
      <c r="J33" s="117">
        <v>0</v>
      </c>
      <c r="K33" s="120">
        <v>0</v>
      </c>
      <c r="L33" s="117">
        <v>0</v>
      </c>
      <c r="M33" s="120">
        <v>0</v>
      </c>
      <c r="N33" s="117">
        <v>0</v>
      </c>
      <c r="O33" s="120">
        <v>0</v>
      </c>
      <c r="P33" s="117">
        <v>0</v>
      </c>
      <c r="Q33" s="120">
        <v>0</v>
      </c>
      <c r="R33" s="117">
        <v>0</v>
      </c>
      <c r="S33" s="120">
        <v>0</v>
      </c>
      <c r="T33" s="117">
        <v>0</v>
      </c>
      <c r="U33" s="119">
        <v>0</v>
      </c>
    </row>
    <row r="34" spans="1:21" x14ac:dyDescent="0.25">
      <c r="A34" s="111" t="s">
        <v>1705</v>
      </c>
      <c r="B34" s="112" t="s">
        <v>1706</v>
      </c>
      <c r="C34" s="112" t="s">
        <v>1707</v>
      </c>
      <c r="D34" s="113">
        <v>0</v>
      </c>
      <c r="E34" s="114">
        <v>0</v>
      </c>
      <c r="F34" s="113">
        <v>0</v>
      </c>
      <c r="G34" s="114">
        <v>22</v>
      </c>
      <c r="H34" s="113">
        <v>0</v>
      </c>
      <c r="I34" s="114">
        <v>0</v>
      </c>
      <c r="J34" s="113">
        <v>0</v>
      </c>
      <c r="K34" s="114">
        <v>0</v>
      </c>
      <c r="L34" s="113">
        <v>21.861900329589844</v>
      </c>
      <c r="M34" s="114">
        <v>21.861900329589844</v>
      </c>
      <c r="N34" s="113">
        <v>0</v>
      </c>
      <c r="O34" s="114">
        <v>0</v>
      </c>
      <c r="P34" s="113">
        <v>0</v>
      </c>
      <c r="Q34" s="114">
        <v>0</v>
      </c>
      <c r="R34" s="113">
        <v>0</v>
      </c>
      <c r="S34" s="114">
        <v>0</v>
      </c>
      <c r="T34" s="113">
        <v>0</v>
      </c>
      <c r="U34" s="115">
        <v>0</v>
      </c>
    </row>
    <row r="35" spans="1:21" x14ac:dyDescent="0.25">
      <c r="A35" s="14" t="s">
        <v>1133</v>
      </c>
      <c r="B35" s="116" t="s">
        <v>1157</v>
      </c>
      <c r="C35" s="116" t="s">
        <v>57</v>
      </c>
      <c r="D35" s="117">
        <v>0</v>
      </c>
      <c r="E35" s="120">
        <v>0</v>
      </c>
      <c r="F35" s="117">
        <v>0</v>
      </c>
      <c r="G35" s="120">
        <v>0</v>
      </c>
      <c r="H35" s="117">
        <v>0</v>
      </c>
      <c r="I35" s="120">
        <v>0</v>
      </c>
      <c r="J35" s="117">
        <v>0</v>
      </c>
      <c r="K35" s="120">
        <v>0</v>
      </c>
      <c r="L35" s="117">
        <v>0</v>
      </c>
      <c r="M35" s="120">
        <v>0</v>
      </c>
      <c r="N35" s="117">
        <v>0</v>
      </c>
      <c r="O35" s="120">
        <v>0</v>
      </c>
      <c r="P35" s="117">
        <v>0</v>
      </c>
      <c r="Q35" s="120">
        <v>0</v>
      </c>
      <c r="R35" s="117">
        <v>0</v>
      </c>
      <c r="S35" s="120">
        <v>0</v>
      </c>
      <c r="T35" s="117">
        <v>0</v>
      </c>
      <c r="U35" s="119">
        <v>0</v>
      </c>
    </row>
    <row r="36" spans="1:21" x14ac:dyDescent="0.25">
      <c r="A36" s="111" t="s">
        <v>1135</v>
      </c>
      <c r="B36" s="112" t="s">
        <v>1136</v>
      </c>
      <c r="C36" s="112" t="s">
        <v>57</v>
      </c>
      <c r="D36" s="113">
        <v>0</v>
      </c>
      <c r="E36" s="114">
        <v>0</v>
      </c>
      <c r="F36" s="113">
        <v>0</v>
      </c>
      <c r="G36" s="114">
        <v>0</v>
      </c>
      <c r="H36" s="113">
        <v>0</v>
      </c>
      <c r="I36" s="114">
        <v>0</v>
      </c>
      <c r="J36" s="113">
        <v>0</v>
      </c>
      <c r="K36" s="114">
        <v>0</v>
      </c>
      <c r="L36" s="113">
        <v>0</v>
      </c>
      <c r="M36" s="114">
        <v>0</v>
      </c>
      <c r="N36" s="113">
        <v>0</v>
      </c>
      <c r="O36" s="114">
        <v>0</v>
      </c>
      <c r="P36" s="113">
        <v>0</v>
      </c>
      <c r="Q36" s="114">
        <v>0</v>
      </c>
      <c r="R36" s="113">
        <v>0</v>
      </c>
      <c r="S36" s="114">
        <v>0</v>
      </c>
      <c r="T36" s="113">
        <v>0</v>
      </c>
      <c r="U36" s="115">
        <v>0</v>
      </c>
    </row>
    <row r="37" spans="1:21" x14ac:dyDescent="0.25">
      <c r="A37" s="14" t="s">
        <v>1386</v>
      </c>
      <c r="B37" s="116" t="s">
        <v>1387</v>
      </c>
      <c r="C37" s="116" t="s">
        <v>1388</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row>
    <row r="38" spans="1:21" x14ac:dyDescent="0.25">
      <c r="A38" s="111" t="s">
        <v>520</v>
      </c>
      <c r="B38" s="112" t="s">
        <v>1137</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row>
    <row r="39" spans="1:21" x14ac:dyDescent="0.25">
      <c r="A39" s="14" t="s">
        <v>1138</v>
      </c>
      <c r="B39" s="116" t="s">
        <v>1139</v>
      </c>
      <c r="C39" s="116" t="s">
        <v>57</v>
      </c>
      <c r="D39" s="117">
        <v>103</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row>
    <row r="40" spans="1:21" x14ac:dyDescent="0.25">
      <c r="A40" s="111" t="s">
        <v>1133</v>
      </c>
      <c r="B40" s="112" t="s">
        <v>1158</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row>
    <row r="41" spans="1:21" x14ac:dyDescent="0.25">
      <c r="A41" s="14" t="s">
        <v>1135</v>
      </c>
      <c r="B41" s="116" t="s">
        <v>1136</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row>
    <row r="42" spans="1:21" x14ac:dyDescent="0.25">
      <c r="A42" s="111" t="s">
        <v>1389</v>
      </c>
      <c r="B42" s="112" t="s">
        <v>1390</v>
      </c>
      <c r="C42" s="112" t="s">
        <v>1391</v>
      </c>
      <c r="D42" s="113">
        <v>608</v>
      </c>
      <c r="E42" s="114">
        <v>0</v>
      </c>
      <c r="F42" s="113">
        <v>518</v>
      </c>
      <c r="G42" s="114">
        <v>0</v>
      </c>
      <c r="H42" s="113">
        <v>14</v>
      </c>
      <c r="I42" s="114">
        <v>0</v>
      </c>
      <c r="J42" s="113">
        <v>0</v>
      </c>
      <c r="K42" s="114">
        <v>0</v>
      </c>
      <c r="L42" s="113">
        <v>0</v>
      </c>
      <c r="M42" s="114">
        <v>0</v>
      </c>
      <c r="N42" s="113">
        <v>90</v>
      </c>
      <c r="O42" s="114">
        <v>0</v>
      </c>
      <c r="P42" s="113">
        <v>0</v>
      </c>
      <c r="Q42" s="114">
        <v>0</v>
      </c>
      <c r="R42" s="113">
        <v>0</v>
      </c>
      <c r="S42" s="114">
        <v>0</v>
      </c>
      <c r="T42" s="113">
        <v>0</v>
      </c>
      <c r="U42" s="115">
        <v>0</v>
      </c>
    </row>
    <row r="43" spans="1:21" x14ac:dyDescent="0.25">
      <c r="A43" s="14" t="s">
        <v>1162</v>
      </c>
      <c r="B43" s="116" t="s">
        <v>1163</v>
      </c>
      <c r="C43" s="116" t="s">
        <v>1164</v>
      </c>
      <c r="D43" s="117">
        <v>0</v>
      </c>
      <c r="E43" s="120">
        <v>0</v>
      </c>
      <c r="F43" s="117">
        <v>0</v>
      </c>
      <c r="G43" s="120">
        <v>82</v>
      </c>
      <c r="H43" s="117">
        <v>0</v>
      </c>
      <c r="I43" s="120">
        <v>3.7000000476837158</v>
      </c>
      <c r="J43" s="117">
        <v>0</v>
      </c>
      <c r="K43" s="120">
        <v>3.7000000476837158</v>
      </c>
      <c r="L43" s="117">
        <v>67</v>
      </c>
      <c r="M43" s="120">
        <v>70.700000047683716</v>
      </c>
      <c r="N43" s="117">
        <v>0</v>
      </c>
      <c r="O43" s="120">
        <v>0</v>
      </c>
      <c r="P43" s="117">
        <v>0</v>
      </c>
      <c r="Q43" s="120">
        <v>0</v>
      </c>
      <c r="R43" s="117">
        <v>0</v>
      </c>
      <c r="S43" s="120">
        <v>0</v>
      </c>
      <c r="T43" s="117">
        <v>0</v>
      </c>
      <c r="U43" s="119">
        <v>0</v>
      </c>
    </row>
    <row r="44" spans="1:21" x14ac:dyDescent="0.25">
      <c r="A44" s="111" t="s">
        <v>520</v>
      </c>
      <c r="B44" s="112" t="s">
        <v>1168</v>
      </c>
      <c r="C44" s="112" t="s">
        <v>57</v>
      </c>
      <c r="D44" s="113">
        <v>1693</v>
      </c>
      <c r="E44" s="114">
        <v>0</v>
      </c>
      <c r="F44" s="113">
        <v>0</v>
      </c>
      <c r="G44" s="114">
        <v>0</v>
      </c>
      <c r="H44" s="113">
        <v>0</v>
      </c>
      <c r="I44" s="114">
        <v>0</v>
      </c>
      <c r="J44" s="113">
        <v>0</v>
      </c>
      <c r="K44" s="114">
        <v>0</v>
      </c>
      <c r="L44" s="113">
        <v>0</v>
      </c>
      <c r="M44" s="114">
        <v>0</v>
      </c>
      <c r="N44" s="113">
        <v>396</v>
      </c>
      <c r="O44" s="114">
        <v>602</v>
      </c>
      <c r="P44" s="113">
        <v>498</v>
      </c>
      <c r="Q44" s="114">
        <v>197</v>
      </c>
      <c r="R44" s="113">
        <v>0</v>
      </c>
      <c r="S44" s="114">
        <v>0</v>
      </c>
      <c r="T44" s="113">
        <v>0</v>
      </c>
      <c r="U44" s="115">
        <v>0</v>
      </c>
    </row>
    <row r="45" spans="1:21" x14ac:dyDescent="0.25">
      <c r="A45" s="14" t="s">
        <v>1169</v>
      </c>
      <c r="B45" s="116" t="s">
        <v>1170</v>
      </c>
      <c r="C45" s="116" t="s">
        <v>1171</v>
      </c>
      <c r="D45" s="117">
        <v>0</v>
      </c>
      <c r="E45" s="120">
        <v>0</v>
      </c>
      <c r="F45" s="117">
        <v>0</v>
      </c>
      <c r="G45" s="120">
        <v>74</v>
      </c>
      <c r="H45" s="117">
        <v>0</v>
      </c>
      <c r="I45" s="120">
        <v>0</v>
      </c>
      <c r="J45" s="117">
        <v>0</v>
      </c>
      <c r="K45" s="120">
        <v>0</v>
      </c>
      <c r="L45" s="117">
        <v>30.149999618530273</v>
      </c>
      <c r="M45" s="120">
        <v>30.149999618530273</v>
      </c>
      <c r="N45" s="117">
        <v>0</v>
      </c>
      <c r="O45" s="120">
        <v>0</v>
      </c>
      <c r="P45" s="117">
        <v>0</v>
      </c>
      <c r="Q45" s="120">
        <v>0</v>
      </c>
      <c r="R45" s="117">
        <v>0</v>
      </c>
      <c r="S45" s="120">
        <v>0</v>
      </c>
      <c r="T45" s="117">
        <v>0</v>
      </c>
      <c r="U45" s="119">
        <v>0</v>
      </c>
    </row>
    <row r="46" spans="1:21" x14ac:dyDescent="0.25">
      <c r="A46" s="111" t="s">
        <v>1172</v>
      </c>
      <c r="B46" s="112" t="s">
        <v>1173</v>
      </c>
      <c r="C46" s="112" t="s">
        <v>1174</v>
      </c>
      <c r="D46" s="113">
        <v>0</v>
      </c>
      <c r="E46" s="114">
        <v>0</v>
      </c>
      <c r="F46" s="113">
        <v>0</v>
      </c>
      <c r="G46" s="114">
        <v>270</v>
      </c>
      <c r="H46" s="113">
        <v>0</v>
      </c>
      <c r="I46" s="114">
        <v>9.8500003814697266</v>
      </c>
      <c r="J46" s="113">
        <v>0</v>
      </c>
      <c r="K46" s="114">
        <v>9.8500003814697266</v>
      </c>
      <c r="L46" s="113">
        <v>156.27191162109375</v>
      </c>
      <c r="M46" s="114">
        <v>166.12191200256348</v>
      </c>
      <c r="N46" s="113">
        <v>0</v>
      </c>
      <c r="O46" s="114">
        <v>0</v>
      </c>
      <c r="P46" s="113">
        <v>0</v>
      </c>
      <c r="Q46" s="114">
        <v>0</v>
      </c>
      <c r="R46" s="113">
        <v>0</v>
      </c>
      <c r="S46" s="114">
        <v>0</v>
      </c>
      <c r="T46" s="113">
        <v>0</v>
      </c>
      <c r="U46" s="115">
        <v>0</v>
      </c>
    </row>
    <row r="47" spans="1:21" x14ac:dyDescent="0.25">
      <c r="A47" s="14" t="s">
        <v>1138</v>
      </c>
      <c r="B47" s="116" t="s">
        <v>1139</v>
      </c>
      <c r="C47" s="116" t="s">
        <v>57</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row>
    <row r="48" spans="1:21" x14ac:dyDescent="0.25">
      <c r="A48" s="111" t="s">
        <v>1133</v>
      </c>
      <c r="B48" s="112" t="s">
        <v>1134</v>
      </c>
      <c r="C48" s="112" t="s">
        <v>57</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row>
    <row r="49" spans="1:21" x14ac:dyDescent="0.25">
      <c r="A49" s="14" t="s">
        <v>1135</v>
      </c>
      <c r="B49" s="116" t="s">
        <v>1136</v>
      </c>
      <c r="C49" s="116" t="s">
        <v>57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row>
    <row r="50" spans="1:21" x14ac:dyDescent="0.25">
      <c r="A50" s="111" t="s">
        <v>1392</v>
      </c>
      <c r="B50" s="112" t="s">
        <v>1393</v>
      </c>
      <c r="C50" s="112" t="s">
        <v>1394</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row>
    <row r="51" spans="1:21" x14ac:dyDescent="0.25">
      <c r="A51" s="14" t="s">
        <v>520</v>
      </c>
      <c r="B51" s="116" t="s">
        <v>1137</v>
      </c>
      <c r="C51" s="116" t="s">
        <v>57</v>
      </c>
      <c r="D51" s="117">
        <v>1911</v>
      </c>
      <c r="E51" s="120">
        <v>0</v>
      </c>
      <c r="F51" s="117">
        <v>0</v>
      </c>
      <c r="G51" s="120">
        <v>0</v>
      </c>
      <c r="H51" s="117">
        <v>0</v>
      </c>
      <c r="I51" s="120">
        <v>0</v>
      </c>
      <c r="J51" s="117">
        <v>0</v>
      </c>
      <c r="K51" s="120">
        <v>0</v>
      </c>
      <c r="L51" s="117">
        <v>0</v>
      </c>
      <c r="M51" s="120">
        <v>0</v>
      </c>
      <c r="N51" s="117">
        <v>430</v>
      </c>
      <c r="O51" s="120">
        <v>204</v>
      </c>
      <c r="P51" s="117">
        <v>1251</v>
      </c>
      <c r="Q51" s="120">
        <v>26</v>
      </c>
      <c r="R51" s="117">
        <v>0</v>
      </c>
      <c r="S51" s="120">
        <v>0</v>
      </c>
      <c r="T51" s="117">
        <v>0</v>
      </c>
      <c r="U51" s="119">
        <v>0</v>
      </c>
    </row>
    <row r="52" spans="1:21" x14ac:dyDescent="0.25">
      <c r="A52" s="111" t="s">
        <v>1138</v>
      </c>
      <c r="B52" s="112" t="s">
        <v>1139</v>
      </c>
      <c r="C52" s="112" t="s">
        <v>57</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row>
    <row r="53" spans="1:21" x14ac:dyDescent="0.25">
      <c r="A53" s="14" t="s">
        <v>1133</v>
      </c>
      <c r="B53" s="116" t="s">
        <v>1140</v>
      </c>
      <c r="C53" s="116" t="s">
        <v>57</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row>
    <row r="54" spans="1:21" x14ac:dyDescent="0.25">
      <c r="A54" s="111" t="s">
        <v>1135</v>
      </c>
      <c r="B54" s="112" t="s">
        <v>1136</v>
      </c>
      <c r="C54" s="112" t="s">
        <v>57</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row>
    <row r="55" spans="1:21" x14ac:dyDescent="0.25">
      <c r="A55" s="14" t="s">
        <v>520</v>
      </c>
      <c r="B55" s="116" t="s">
        <v>1137</v>
      </c>
      <c r="C55" s="116" t="s">
        <v>57</v>
      </c>
      <c r="D55" s="117">
        <v>297</v>
      </c>
      <c r="E55" s="120">
        <v>0</v>
      </c>
      <c r="F55" s="117">
        <v>0</v>
      </c>
      <c r="G55" s="120">
        <v>0</v>
      </c>
      <c r="H55" s="117">
        <v>0</v>
      </c>
      <c r="I55" s="120">
        <v>0</v>
      </c>
      <c r="J55" s="117">
        <v>0</v>
      </c>
      <c r="K55" s="120">
        <v>0</v>
      </c>
      <c r="L55" s="117">
        <v>0</v>
      </c>
      <c r="M55" s="120">
        <v>0</v>
      </c>
      <c r="N55" s="117">
        <v>46</v>
      </c>
      <c r="O55" s="120">
        <v>83</v>
      </c>
      <c r="P55" s="117">
        <v>90</v>
      </c>
      <c r="Q55" s="120">
        <v>78</v>
      </c>
      <c r="R55" s="117">
        <v>0</v>
      </c>
      <c r="S55" s="120">
        <v>0</v>
      </c>
      <c r="T55" s="117">
        <v>0</v>
      </c>
      <c r="U55" s="119">
        <v>0</v>
      </c>
    </row>
    <row r="56" spans="1:21" x14ac:dyDescent="0.25">
      <c r="A56" s="111" t="s">
        <v>1138</v>
      </c>
      <c r="B56" s="112" t="s">
        <v>1139</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row>
    <row r="57" spans="1:21" x14ac:dyDescent="0.25">
      <c r="A57" s="14" t="s">
        <v>1181</v>
      </c>
      <c r="B57" s="116" t="s">
        <v>1182</v>
      </c>
      <c r="C57" s="116" t="s">
        <v>1183</v>
      </c>
      <c r="D57" s="117">
        <v>142</v>
      </c>
      <c r="E57" s="120">
        <v>0</v>
      </c>
      <c r="F57" s="117">
        <v>142</v>
      </c>
      <c r="G57" s="120">
        <v>0</v>
      </c>
      <c r="H57" s="117">
        <v>0</v>
      </c>
      <c r="I57" s="120">
        <v>0</v>
      </c>
      <c r="J57" s="117">
        <v>0</v>
      </c>
      <c r="K57" s="120">
        <v>0</v>
      </c>
      <c r="L57" s="117">
        <v>0</v>
      </c>
      <c r="M57" s="120">
        <v>0</v>
      </c>
      <c r="N57" s="117">
        <v>0</v>
      </c>
      <c r="O57" s="120">
        <v>0</v>
      </c>
      <c r="P57" s="117">
        <v>0</v>
      </c>
      <c r="Q57" s="120">
        <v>0</v>
      </c>
      <c r="R57" s="117">
        <v>0</v>
      </c>
      <c r="S57" s="120">
        <v>0</v>
      </c>
      <c r="T57" s="117">
        <v>0</v>
      </c>
      <c r="U57" s="119">
        <v>0</v>
      </c>
    </row>
    <row r="58" spans="1:21" x14ac:dyDescent="0.25">
      <c r="A58" s="111" t="s">
        <v>1659</v>
      </c>
      <c r="B58" s="112" t="s">
        <v>1660</v>
      </c>
      <c r="C58" s="112" t="s">
        <v>1661</v>
      </c>
      <c r="D58" s="113">
        <v>0</v>
      </c>
      <c r="E58" s="114">
        <v>0</v>
      </c>
      <c r="F58" s="113">
        <v>0</v>
      </c>
      <c r="G58" s="114">
        <v>0</v>
      </c>
      <c r="H58" s="113">
        <v>0</v>
      </c>
      <c r="I58" s="114">
        <v>0</v>
      </c>
      <c r="J58" s="113">
        <v>0</v>
      </c>
      <c r="K58" s="114">
        <v>0</v>
      </c>
      <c r="L58" s="113">
        <v>0</v>
      </c>
      <c r="M58" s="114">
        <v>0</v>
      </c>
      <c r="N58" s="113">
        <v>0</v>
      </c>
      <c r="O58" s="114">
        <v>0</v>
      </c>
      <c r="P58" s="113">
        <v>0</v>
      </c>
      <c r="Q58" s="114">
        <v>0</v>
      </c>
      <c r="R58" s="113">
        <v>0</v>
      </c>
      <c r="S58" s="114">
        <v>0</v>
      </c>
      <c r="T58" s="113">
        <v>0</v>
      </c>
      <c r="U58" s="115">
        <v>0</v>
      </c>
    </row>
    <row r="59" spans="1:21" x14ac:dyDescent="0.25">
      <c r="A59" s="14" t="s">
        <v>1133</v>
      </c>
      <c r="B59" s="116" t="s">
        <v>1184</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row>
    <row r="60" spans="1:21" x14ac:dyDescent="0.25">
      <c r="A60" s="111" t="s">
        <v>1135</v>
      </c>
      <c r="B60" s="112" t="s">
        <v>1136</v>
      </c>
      <c r="C60" s="112" t="s">
        <v>57</v>
      </c>
      <c r="D60" s="113">
        <v>0</v>
      </c>
      <c r="E60" s="114">
        <v>0</v>
      </c>
      <c r="F60" s="113">
        <v>0</v>
      </c>
      <c r="G60" s="114">
        <v>0</v>
      </c>
      <c r="H60" s="113">
        <v>0</v>
      </c>
      <c r="I60" s="114">
        <v>0</v>
      </c>
      <c r="J60" s="113">
        <v>0</v>
      </c>
      <c r="K60" s="114">
        <v>0</v>
      </c>
      <c r="L60" s="113">
        <v>0</v>
      </c>
      <c r="M60" s="114">
        <v>0</v>
      </c>
      <c r="N60" s="113">
        <v>0</v>
      </c>
      <c r="O60" s="114">
        <v>0</v>
      </c>
      <c r="P60" s="113">
        <v>0</v>
      </c>
      <c r="Q60" s="114">
        <v>0</v>
      </c>
      <c r="R60" s="113">
        <v>0</v>
      </c>
      <c r="S60" s="114">
        <v>0</v>
      </c>
      <c r="T60" s="113">
        <v>0</v>
      </c>
      <c r="U60" s="115">
        <v>0</v>
      </c>
    </row>
    <row r="61" spans="1:21" x14ac:dyDescent="0.25">
      <c r="A61" s="14" t="s">
        <v>520</v>
      </c>
      <c r="B61" s="116" t="s">
        <v>1137</v>
      </c>
      <c r="C61" s="116" t="s">
        <v>57</v>
      </c>
      <c r="D61" s="117">
        <v>529</v>
      </c>
      <c r="E61" s="120">
        <v>0</v>
      </c>
      <c r="F61" s="117">
        <v>0</v>
      </c>
      <c r="G61" s="120">
        <v>0</v>
      </c>
      <c r="H61" s="117">
        <v>0</v>
      </c>
      <c r="I61" s="120">
        <v>0</v>
      </c>
      <c r="J61" s="117">
        <v>0</v>
      </c>
      <c r="K61" s="120">
        <v>0</v>
      </c>
      <c r="L61" s="117">
        <v>0</v>
      </c>
      <c r="M61" s="120">
        <v>0</v>
      </c>
      <c r="N61" s="117">
        <v>55</v>
      </c>
      <c r="O61" s="120">
        <v>209</v>
      </c>
      <c r="P61" s="117">
        <v>55</v>
      </c>
      <c r="Q61" s="120">
        <v>210</v>
      </c>
      <c r="R61" s="117">
        <v>0</v>
      </c>
      <c r="S61" s="120">
        <v>0</v>
      </c>
      <c r="T61" s="117">
        <v>0</v>
      </c>
      <c r="U61" s="119">
        <v>0</v>
      </c>
    </row>
    <row r="62" spans="1:21" x14ac:dyDescent="0.25">
      <c r="A62" s="111" t="s">
        <v>1138</v>
      </c>
      <c r="B62" s="112" t="s">
        <v>1139</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row>
    <row r="63" spans="1:21" x14ac:dyDescent="0.25">
      <c r="A63" s="14" t="s">
        <v>1185</v>
      </c>
      <c r="B63" s="116" t="s">
        <v>1186</v>
      </c>
      <c r="C63" s="116" t="s">
        <v>1187</v>
      </c>
      <c r="D63" s="117">
        <v>415</v>
      </c>
      <c r="E63" s="120">
        <v>0</v>
      </c>
      <c r="F63" s="117">
        <v>415</v>
      </c>
      <c r="G63" s="120">
        <v>0</v>
      </c>
      <c r="H63" s="117">
        <v>0</v>
      </c>
      <c r="I63" s="120">
        <v>0</v>
      </c>
      <c r="J63" s="117">
        <v>0</v>
      </c>
      <c r="K63" s="120">
        <v>0</v>
      </c>
      <c r="L63" s="117">
        <v>0</v>
      </c>
      <c r="M63" s="120">
        <v>0</v>
      </c>
      <c r="N63" s="117">
        <v>0</v>
      </c>
      <c r="O63" s="120">
        <v>0</v>
      </c>
      <c r="P63" s="117">
        <v>0</v>
      </c>
      <c r="Q63" s="120">
        <v>0</v>
      </c>
      <c r="R63" s="117">
        <v>0</v>
      </c>
      <c r="S63" s="120">
        <v>0</v>
      </c>
      <c r="T63" s="117">
        <v>0</v>
      </c>
      <c r="U63" s="119">
        <v>0</v>
      </c>
    </row>
    <row r="64" spans="1:21" x14ac:dyDescent="0.25">
      <c r="A64" s="111" t="s">
        <v>1416</v>
      </c>
      <c r="B64" s="112" t="s">
        <v>1402</v>
      </c>
      <c r="C64" s="112" t="s">
        <v>1417</v>
      </c>
      <c r="D64" s="113">
        <v>0</v>
      </c>
      <c r="E64" s="114">
        <v>0</v>
      </c>
      <c r="F64" s="113">
        <v>0</v>
      </c>
      <c r="G64" s="114">
        <v>415</v>
      </c>
      <c r="H64" s="113">
        <v>0</v>
      </c>
      <c r="I64" s="114">
        <v>0</v>
      </c>
      <c r="J64" s="113">
        <v>0</v>
      </c>
      <c r="K64" s="114">
        <v>0</v>
      </c>
      <c r="L64" s="113">
        <v>382</v>
      </c>
      <c r="M64" s="114">
        <v>382</v>
      </c>
      <c r="N64" s="113">
        <v>0</v>
      </c>
      <c r="O64" s="114">
        <v>0</v>
      </c>
      <c r="P64" s="113">
        <v>0</v>
      </c>
      <c r="Q64" s="114">
        <v>0</v>
      </c>
      <c r="R64" s="113">
        <v>0</v>
      </c>
      <c r="S64" s="114">
        <v>0</v>
      </c>
      <c r="T64" s="113">
        <v>0</v>
      </c>
      <c r="U64" s="115">
        <v>0</v>
      </c>
    </row>
    <row r="65" spans="1:21" x14ac:dyDescent="0.25">
      <c r="A65" s="14" t="s">
        <v>1133</v>
      </c>
      <c r="B65" s="116" t="s">
        <v>1148</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row>
    <row r="66" spans="1:21" x14ac:dyDescent="0.25">
      <c r="A66" s="111" t="s">
        <v>1135</v>
      </c>
      <c r="B66" s="112" t="s">
        <v>1136</v>
      </c>
      <c r="C66" s="112" t="s">
        <v>57</v>
      </c>
      <c r="D66" s="113">
        <v>0</v>
      </c>
      <c r="E66" s="114">
        <v>0</v>
      </c>
      <c r="F66" s="113">
        <v>0</v>
      </c>
      <c r="G66" s="114">
        <v>0</v>
      </c>
      <c r="H66" s="113">
        <v>0</v>
      </c>
      <c r="I66" s="114">
        <v>0</v>
      </c>
      <c r="J66" s="113">
        <v>0</v>
      </c>
      <c r="K66" s="114">
        <v>0</v>
      </c>
      <c r="L66" s="113">
        <v>0</v>
      </c>
      <c r="M66" s="114">
        <v>0</v>
      </c>
      <c r="N66" s="113">
        <v>0</v>
      </c>
      <c r="O66" s="114">
        <v>0</v>
      </c>
      <c r="P66" s="113">
        <v>0</v>
      </c>
      <c r="Q66" s="114">
        <v>0</v>
      </c>
      <c r="R66" s="113">
        <v>0</v>
      </c>
      <c r="S66" s="114">
        <v>0</v>
      </c>
      <c r="T66" s="113">
        <v>0</v>
      </c>
      <c r="U66" s="115">
        <v>0</v>
      </c>
    </row>
    <row r="67" spans="1:21" x14ac:dyDescent="0.25">
      <c r="A67" s="14" t="s">
        <v>520</v>
      </c>
      <c r="B67" s="116" t="s">
        <v>1137</v>
      </c>
      <c r="C67" s="116" t="s">
        <v>57</v>
      </c>
      <c r="D67" s="117">
        <v>514</v>
      </c>
      <c r="E67" s="120">
        <v>0</v>
      </c>
      <c r="F67" s="117">
        <v>0</v>
      </c>
      <c r="G67" s="120">
        <v>0</v>
      </c>
      <c r="H67" s="117">
        <v>0</v>
      </c>
      <c r="I67" s="120">
        <v>0</v>
      </c>
      <c r="J67" s="117">
        <v>0</v>
      </c>
      <c r="K67" s="120">
        <v>0</v>
      </c>
      <c r="L67" s="117">
        <v>0</v>
      </c>
      <c r="M67" s="120">
        <v>0</v>
      </c>
      <c r="N67" s="117">
        <v>128.5</v>
      </c>
      <c r="O67" s="120">
        <v>128.5</v>
      </c>
      <c r="P67" s="117">
        <v>128.5</v>
      </c>
      <c r="Q67" s="120">
        <v>128.5</v>
      </c>
      <c r="R67" s="117">
        <v>0</v>
      </c>
      <c r="S67" s="120">
        <v>0</v>
      </c>
      <c r="T67" s="117">
        <v>0</v>
      </c>
      <c r="U67" s="119">
        <v>0</v>
      </c>
    </row>
    <row r="68" spans="1:21" x14ac:dyDescent="0.25">
      <c r="A68" s="111" t="s">
        <v>1138</v>
      </c>
      <c r="B68" s="112" t="s">
        <v>1139</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row>
    <row r="69" spans="1:21" x14ac:dyDescent="0.25">
      <c r="A69" s="14" t="s">
        <v>1188</v>
      </c>
      <c r="B69" s="116" t="s">
        <v>1189</v>
      </c>
      <c r="C69" s="116" t="s">
        <v>1190</v>
      </c>
      <c r="D69" s="117">
        <v>129</v>
      </c>
      <c r="E69" s="120">
        <v>0</v>
      </c>
      <c r="F69" s="117">
        <v>129</v>
      </c>
      <c r="G69" s="120">
        <v>0</v>
      </c>
      <c r="H69" s="117">
        <v>98</v>
      </c>
      <c r="I69" s="120">
        <v>0</v>
      </c>
      <c r="J69" s="117">
        <v>0</v>
      </c>
      <c r="K69" s="120">
        <v>0</v>
      </c>
      <c r="L69" s="117">
        <v>0</v>
      </c>
      <c r="M69" s="120">
        <v>0</v>
      </c>
      <c r="N69" s="117">
        <v>0</v>
      </c>
      <c r="O69" s="120">
        <v>0</v>
      </c>
      <c r="P69" s="117">
        <v>0</v>
      </c>
      <c r="Q69" s="120">
        <v>0</v>
      </c>
      <c r="R69" s="117">
        <v>0</v>
      </c>
      <c r="S69" s="120">
        <v>0</v>
      </c>
      <c r="T69" s="117">
        <v>0</v>
      </c>
      <c r="U69" s="119">
        <v>0</v>
      </c>
    </row>
    <row r="70" spans="1:21" x14ac:dyDescent="0.25">
      <c r="A70" s="111" t="s">
        <v>1590</v>
      </c>
      <c r="B70" s="112" t="s">
        <v>1591</v>
      </c>
      <c r="C70" s="112" t="s">
        <v>1592</v>
      </c>
      <c r="D70" s="113">
        <v>0</v>
      </c>
      <c r="E70" s="114">
        <v>0</v>
      </c>
      <c r="F70" s="113">
        <v>0</v>
      </c>
      <c r="G70" s="114">
        <v>98</v>
      </c>
      <c r="H70" s="113">
        <v>0</v>
      </c>
      <c r="I70" s="114">
        <v>0</v>
      </c>
      <c r="J70" s="113">
        <v>0</v>
      </c>
      <c r="K70" s="114">
        <v>0</v>
      </c>
      <c r="L70" s="113">
        <v>97.797317504882813</v>
      </c>
      <c r="M70" s="114">
        <v>97.797317504882813</v>
      </c>
      <c r="N70" s="113">
        <v>0</v>
      </c>
      <c r="O70" s="114">
        <v>0</v>
      </c>
      <c r="P70" s="113">
        <v>0</v>
      </c>
      <c r="Q70" s="114">
        <v>0</v>
      </c>
      <c r="R70" s="113">
        <v>0</v>
      </c>
      <c r="S70" s="114">
        <v>0</v>
      </c>
      <c r="T70" s="113">
        <v>0</v>
      </c>
      <c r="U70" s="115">
        <v>0</v>
      </c>
    </row>
    <row r="71" spans="1:21" x14ac:dyDescent="0.25">
      <c r="A71" s="14" t="s">
        <v>1133</v>
      </c>
      <c r="B71" s="116" t="s">
        <v>1157</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row>
    <row r="72" spans="1:21" x14ac:dyDescent="0.25">
      <c r="A72" s="111" t="s">
        <v>1135</v>
      </c>
      <c r="B72" s="112" t="s">
        <v>1136</v>
      </c>
      <c r="C72" s="112" t="s">
        <v>57</v>
      </c>
      <c r="D72" s="113">
        <v>0</v>
      </c>
      <c r="E72" s="114">
        <v>0</v>
      </c>
      <c r="F72" s="113">
        <v>0</v>
      </c>
      <c r="G72" s="114">
        <v>0</v>
      </c>
      <c r="H72" s="113">
        <v>0</v>
      </c>
      <c r="I72" s="114">
        <v>0</v>
      </c>
      <c r="J72" s="113">
        <v>0</v>
      </c>
      <c r="K72" s="114">
        <v>0</v>
      </c>
      <c r="L72" s="113">
        <v>0</v>
      </c>
      <c r="M72" s="114">
        <v>0</v>
      </c>
      <c r="N72" s="113">
        <v>0</v>
      </c>
      <c r="O72" s="114">
        <v>0</v>
      </c>
      <c r="P72" s="113">
        <v>0</v>
      </c>
      <c r="Q72" s="114">
        <v>0</v>
      </c>
      <c r="R72" s="113">
        <v>0</v>
      </c>
      <c r="S72" s="114">
        <v>0</v>
      </c>
      <c r="T72" s="113">
        <v>0</v>
      </c>
      <c r="U72" s="115">
        <v>0</v>
      </c>
    </row>
    <row r="73" spans="1:21" x14ac:dyDescent="0.25">
      <c r="A73" s="14" t="s">
        <v>1395</v>
      </c>
      <c r="B73" s="116" t="s">
        <v>1396</v>
      </c>
      <c r="C73" s="116" t="s">
        <v>1397</v>
      </c>
      <c r="D73" s="117">
        <v>2058</v>
      </c>
      <c r="E73" s="120">
        <v>0</v>
      </c>
      <c r="F73" s="117">
        <v>0</v>
      </c>
      <c r="G73" s="120">
        <v>0</v>
      </c>
      <c r="H73" s="117">
        <v>0</v>
      </c>
      <c r="I73" s="120">
        <v>0</v>
      </c>
      <c r="J73" s="117">
        <v>0</v>
      </c>
      <c r="K73" s="120">
        <v>0</v>
      </c>
      <c r="L73" s="117">
        <v>0</v>
      </c>
      <c r="M73" s="120">
        <v>0</v>
      </c>
      <c r="N73" s="117">
        <v>0</v>
      </c>
      <c r="O73" s="120">
        <v>1050</v>
      </c>
      <c r="P73" s="117">
        <v>1008</v>
      </c>
      <c r="Q73" s="120">
        <v>0</v>
      </c>
      <c r="R73" s="117">
        <v>0</v>
      </c>
      <c r="S73" s="120">
        <v>0</v>
      </c>
      <c r="T73" s="117">
        <v>0</v>
      </c>
      <c r="U73" s="119">
        <v>0</v>
      </c>
    </row>
    <row r="74" spans="1:21" x14ac:dyDescent="0.25">
      <c r="A74" s="111" t="s">
        <v>1453</v>
      </c>
      <c r="B74" s="112" t="s">
        <v>1454</v>
      </c>
      <c r="C74" s="112" t="s">
        <v>1455</v>
      </c>
      <c r="D74" s="113">
        <v>0</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row>
    <row r="75" spans="1:21" x14ac:dyDescent="0.25">
      <c r="A75" s="14" t="s">
        <v>520</v>
      </c>
      <c r="B75" s="116" t="s">
        <v>1137</v>
      </c>
      <c r="C75" s="116" t="s">
        <v>57</v>
      </c>
      <c r="D75" s="117">
        <v>0</v>
      </c>
      <c r="E75" s="120">
        <v>0</v>
      </c>
      <c r="F75" s="117">
        <v>0</v>
      </c>
      <c r="G75" s="120">
        <v>0</v>
      </c>
      <c r="H75" s="117">
        <v>0</v>
      </c>
      <c r="I75" s="120">
        <v>0</v>
      </c>
      <c r="J75" s="117">
        <v>0</v>
      </c>
      <c r="K75" s="120">
        <v>0</v>
      </c>
      <c r="L75" s="117">
        <v>0</v>
      </c>
      <c r="M75" s="120">
        <v>0</v>
      </c>
      <c r="N75" s="117">
        <v>0</v>
      </c>
      <c r="O75" s="120">
        <v>0</v>
      </c>
      <c r="P75" s="117">
        <v>0</v>
      </c>
      <c r="Q75" s="120">
        <v>0</v>
      </c>
      <c r="R75" s="117">
        <v>0</v>
      </c>
      <c r="S75" s="120">
        <v>0</v>
      </c>
      <c r="T75" s="117">
        <v>0</v>
      </c>
      <c r="U75" s="119">
        <v>0</v>
      </c>
    </row>
    <row r="76" spans="1:21" x14ac:dyDescent="0.25">
      <c r="A76" s="111" t="s">
        <v>1138</v>
      </c>
      <c r="B76" s="112" t="s">
        <v>1139</v>
      </c>
      <c r="C76" s="112" t="s">
        <v>57</v>
      </c>
      <c r="D76" s="113">
        <v>1618.1</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row>
    <row r="77" spans="1:21" x14ac:dyDescent="0.25">
      <c r="A77" s="14" t="s">
        <v>1133</v>
      </c>
      <c r="B77" s="116" t="s">
        <v>1191</v>
      </c>
      <c r="C77" s="116" t="s">
        <v>57</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row>
    <row r="78" spans="1:21" x14ac:dyDescent="0.25">
      <c r="A78" s="111" t="s">
        <v>1135</v>
      </c>
      <c r="B78" s="112" t="s">
        <v>1136</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row>
    <row r="79" spans="1:21" x14ac:dyDescent="0.25">
      <c r="A79" s="14" t="s">
        <v>1398</v>
      </c>
      <c r="B79" s="116" t="s">
        <v>1399</v>
      </c>
      <c r="C79" s="116" t="s">
        <v>1400</v>
      </c>
      <c r="D79" s="117">
        <v>1815</v>
      </c>
      <c r="E79" s="120">
        <v>0</v>
      </c>
      <c r="F79" s="117">
        <v>1815</v>
      </c>
      <c r="G79" s="120">
        <v>0</v>
      </c>
      <c r="H79" s="117">
        <v>116</v>
      </c>
      <c r="I79" s="120">
        <v>0</v>
      </c>
      <c r="J79" s="117">
        <v>0</v>
      </c>
      <c r="K79" s="120">
        <v>0</v>
      </c>
      <c r="L79" s="117">
        <v>0</v>
      </c>
      <c r="M79" s="120">
        <v>0</v>
      </c>
      <c r="N79" s="117">
        <v>0</v>
      </c>
      <c r="O79" s="120">
        <v>0</v>
      </c>
      <c r="P79" s="117">
        <v>0</v>
      </c>
      <c r="Q79" s="120">
        <v>0</v>
      </c>
      <c r="R79" s="117">
        <v>0</v>
      </c>
      <c r="S79" s="120">
        <v>0</v>
      </c>
      <c r="T79" s="117">
        <v>0</v>
      </c>
      <c r="U79" s="119">
        <v>0</v>
      </c>
    </row>
    <row r="80" spans="1:21" x14ac:dyDescent="0.25">
      <c r="A80" s="111" t="s">
        <v>1192</v>
      </c>
      <c r="B80" s="112" t="s">
        <v>1193</v>
      </c>
      <c r="C80" s="112" t="s">
        <v>1194</v>
      </c>
      <c r="D80" s="113">
        <v>0</v>
      </c>
      <c r="E80" s="114">
        <v>0</v>
      </c>
      <c r="F80" s="113">
        <v>0</v>
      </c>
      <c r="G80" s="114">
        <v>5</v>
      </c>
      <c r="H80" s="113">
        <v>0</v>
      </c>
      <c r="I80" s="114">
        <v>4.3380299806594849</v>
      </c>
      <c r="J80" s="113">
        <v>0</v>
      </c>
      <c r="K80" s="114">
        <v>4.3380299806594849</v>
      </c>
      <c r="L80" s="113">
        <v>125.55832672119141</v>
      </c>
      <c r="M80" s="114">
        <v>129.89635670185089</v>
      </c>
      <c r="N80" s="113">
        <v>0</v>
      </c>
      <c r="O80" s="114">
        <v>0</v>
      </c>
      <c r="P80" s="113">
        <v>0</v>
      </c>
      <c r="Q80" s="114">
        <v>0</v>
      </c>
      <c r="R80" s="113">
        <v>0</v>
      </c>
      <c r="S80" s="114">
        <v>0</v>
      </c>
      <c r="T80" s="113">
        <v>0</v>
      </c>
      <c r="U80" s="115">
        <v>0</v>
      </c>
    </row>
    <row r="81" spans="1:21" x14ac:dyDescent="0.25">
      <c r="A81" s="14" t="s">
        <v>1195</v>
      </c>
      <c r="B81" s="116" t="s">
        <v>1196</v>
      </c>
      <c r="C81" s="116" t="s">
        <v>1197</v>
      </c>
      <c r="D81" s="117">
        <v>0</v>
      </c>
      <c r="E81" s="120">
        <v>0</v>
      </c>
      <c r="F81" s="117">
        <v>0</v>
      </c>
      <c r="G81" s="120">
        <v>1088</v>
      </c>
      <c r="H81" s="117">
        <v>0</v>
      </c>
      <c r="I81" s="120">
        <v>18.819390416145325</v>
      </c>
      <c r="J81" s="117">
        <v>0</v>
      </c>
      <c r="K81" s="120">
        <v>18.819390416145325</v>
      </c>
      <c r="L81" s="117">
        <v>118.97235785739031</v>
      </c>
      <c r="M81" s="120">
        <v>137.79174827353563</v>
      </c>
      <c r="N81" s="117">
        <v>0</v>
      </c>
      <c r="O81" s="120">
        <v>0</v>
      </c>
      <c r="P81" s="117">
        <v>0</v>
      </c>
      <c r="Q81" s="120">
        <v>0</v>
      </c>
      <c r="R81" s="117">
        <v>0</v>
      </c>
      <c r="S81" s="120">
        <v>0</v>
      </c>
      <c r="T81" s="117">
        <v>0</v>
      </c>
      <c r="U81" s="119">
        <v>0</v>
      </c>
    </row>
    <row r="82" spans="1:21" x14ac:dyDescent="0.25">
      <c r="A82" s="111" t="s">
        <v>520</v>
      </c>
      <c r="B82" s="112" t="s">
        <v>1198</v>
      </c>
      <c r="C82" s="112" t="s">
        <v>57</v>
      </c>
      <c r="D82" s="113">
        <v>4823</v>
      </c>
      <c r="E82" s="114">
        <v>0</v>
      </c>
      <c r="F82" s="113">
        <v>0</v>
      </c>
      <c r="G82" s="114">
        <v>0</v>
      </c>
      <c r="H82" s="113">
        <v>0</v>
      </c>
      <c r="I82" s="114">
        <v>0</v>
      </c>
      <c r="J82" s="113">
        <v>0</v>
      </c>
      <c r="K82" s="114">
        <v>0</v>
      </c>
      <c r="L82" s="113">
        <v>0</v>
      </c>
      <c r="M82" s="114">
        <v>0</v>
      </c>
      <c r="N82" s="113">
        <v>1496</v>
      </c>
      <c r="O82" s="114">
        <v>777</v>
      </c>
      <c r="P82" s="113">
        <v>2550</v>
      </c>
      <c r="Q82" s="114">
        <v>0</v>
      </c>
      <c r="R82" s="113">
        <v>0</v>
      </c>
      <c r="S82" s="114">
        <v>0</v>
      </c>
      <c r="T82" s="113">
        <v>0</v>
      </c>
      <c r="U82" s="115">
        <v>0</v>
      </c>
    </row>
    <row r="83" spans="1:21" x14ac:dyDescent="0.25">
      <c r="A83" s="14" t="s">
        <v>1199</v>
      </c>
      <c r="B83" s="116" t="s">
        <v>1200</v>
      </c>
      <c r="C83" s="116" t="s">
        <v>1201</v>
      </c>
      <c r="D83" s="117">
        <v>0</v>
      </c>
      <c r="E83" s="120">
        <v>0</v>
      </c>
      <c r="F83" s="117">
        <v>0</v>
      </c>
      <c r="G83" s="120">
        <v>715</v>
      </c>
      <c r="H83" s="117">
        <v>0</v>
      </c>
      <c r="I83" s="120">
        <v>87.740310668945313</v>
      </c>
      <c r="J83" s="117">
        <v>0</v>
      </c>
      <c r="K83" s="120">
        <v>87.740310668945313</v>
      </c>
      <c r="L83" s="117">
        <v>590.78504490852356</v>
      </c>
      <c r="M83" s="120">
        <v>678.52535557746887</v>
      </c>
      <c r="N83" s="117">
        <v>0</v>
      </c>
      <c r="O83" s="120">
        <v>0</v>
      </c>
      <c r="P83" s="117">
        <v>0</v>
      </c>
      <c r="Q83" s="120">
        <v>0</v>
      </c>
      <c r="R83" s="117">
        <v>0</v>
      </c>
      <c r="S83" s="120">
        <v>0</v>
      </c>
      <c r="T83" s="117">
        <v>0</v>
      </c>
      <c r="U83" s="119">
        <v>0</v>
      </c>
    </row>
    <row r="84" spans="1:21" x14ac:dyDescent="0.25">
      <c r="A84" s="111" t="s">
        <v>1138</v>
      </c>
      <c r="B84" s="112" t="s">
        <v>1139</v>
      </c>
      <c r="C84" s="112" t="s">
        <v>57</v>
      </c>
      <c r="D84" s="113">
        <v>9.9920072216264089E-16</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row>
    <row r="85" spans="1:21" x14ac:dyDescent="0.25">
      <c r="A85" s="14" t="s">
        <v>1133</v>
      </c>
      <c r="B85" s="116" t="s">
        <v>1226</v>
      </c>
      <c r="C85" s="116" t="s">
        <v>57</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row>
    <row r="86" spans="1:21" x14ac:dyDescent="0.25">
      <c r="A86" s="111" t="s">
        <v>1230</v>
      </c>
      <c r="B86" s="112" t="s">
        <v>1231</v>
      </c>
      <c r="C86" s="112" t="s">
        <v>1232</v>
      </c>
      <c r="D86" s="113">
        <v>0</v>
      </c>
      <c r="E86" s="114">
        <v>0</v>
      </c>
      <c r="F86" s="113">
        <v>0</v>
      </c>
      <c r="G86" s="114">
        <v>13</v>
      </c>
      <c r="H86" s="113">
        <v>0</v>
      </c>
      <c r="I86" s="114">
        <v>11.104649901390076</v>
      </c>
      <c r="J86" s="113">
        <v>0</v>
      </c>
      <c r="K86" s="114">
        <v>11.104649901390076</v>
      </c>
      <c r="L86" s="113">
        <v>0</v>
      </c>
      <c r="M86" s="114">
        <v>11.104649901390076</v>
      </c>
      <c r="N86" s="113">
        <v>0</v>
      </c>
      <c r="O86" s="114">
        <v>0</v>
      </c>
      <c r="P86" s="113">
        <v>0</v>
      </c>
      <c r="Q86" s="114">
        <v>0</v>
      </c>
      <c r="R86" s="113">
        <v>0</v>
      </c>
      <c r="S86" s="114">
        <v>0</v>
      </c>
      <c r="T86" s="113">
        <v>0</v>
      </c>
      <c r="U86" s="115">
        <v>0</v>
      </c>
    </row>
    <row r="87" spans="1:21" x14ac:dyDescent="0.25">
      <c r="A87" s="14" t="s">
        <v>1135</v>
      </c>
      <c r="B87" s="116" t="s">
        <v>1136</v>
      </c>
      <c r="C87" s="116" t="s">
        <v>57</v>
      </c>
      <c r="D87" s="117">
        <v>0</v>
      </c>
      <c r="E87" s="120">
        <v>0</v>
      </c>
      <c r="F87" s="117">
        <v>0</v>
      </c>
      <c r="G87" s="120">
        <v>0</v>
      </c>
      <c r="H87" s="117">
        <v>0</v>
      </c>
      <c r="I87" s="120">
        <v>0</v>
      </c>
      <c r="J87" s="117">
        <v>0</v>
      </c>
      <c r="K87" s="120">
        <v>0</v>
      </c>
      <c r="L87" s="117">
        <v>0</v>
      </c>
      <c r="M87" s="120">
        <v>0</v>
      </c>
      <c r="N87" s="117">
        <v>0</v>
      </c>
      <c r="O87" s="120">
        <v>0</v>
      </c>
      <c r="P87" s="117">
        <v>0</v>
      </c>
      <c r="Q87" s="120">
        <v>0</v>
      </c>
      <c r="R87" s="117">
        <v>0</v>
      </c>
      <c r="S87" s="120">
        <v>0</v>
      </c>
      <c r="T87" s="117">
        <v>0</v>
      </c>
      <c r="U87" s="119">
        <v>0</v>
      </c>
    </row>
    <row r="88" spans="1:21" x14ac:dyDescent="0.25">
      <c r="A88" s="111" t="s">
        <v>1675</v>
      </c>
      <c r="B88" s="112" t="s">
        <v>1797</v>
      </c>
      <c r="C88" s="112" t="s">
        <v>1677</v>
      </c>
      <c r="D88" s="113">
        <v>0</v>
      </c>
      <c r="E88" s="114">
        <v>0</v>
      </c>
      <c r="F88" s="113">
        <v>0</v>
      </c>
      <c r="G88" s="114">
        <v>250</v>
      </c>
      <c r="H88" s="113">
        <v>0</v>
      </c>
      <c r="I88" s="114">
        <v>0</v>
      </c>
      <c r="J88" s="113">
        <v>0</v>
      </c>
      <c r="K88" s="114">
        <v>0</v>
      </c>
      <c r="L88" s="113">
        <v>0</v>
      </c>
      <c r="M88" s="114">
        <v>0</v>
      </c>
      <c r="N88" s="113">
        <v>0</v>
      </c>
      <c r="O88" s="114">
        <v>0</v>
      </c>
      <c r="P88" s="113">
        <v>0</v>
      </c>
      <c r="Q88" s="114">
        <v>0</v>
      </c>
      <c r="R88" s="113">
        <v>0</v>
      </c>
      <c r="S88" s="114">
        <v>0</v>
      </c>
      <c r="T88" s="113">
        <v>0</v>
      </c>
      <c r="U88" s="115">
        <v>0</v>
      </c>
    </row>
    <row r="89" spans="1:21" x14ac:dyDescent="0.25">
      <c r="A89" s="14" t="s">
        <v>1233</v>
      </c>
      <c r="B89" s="116" t="s">
        <v>1234</v>
      </c>
      <c r="C89" s="116" t="s">
        <v>1235</v>
      </c>
      <c r="D89" s="117">
        <v>2417</v>
      </c>
      <c r="E89" s="120">
        <v>0</v>
      </c>
      <c r="F89" s="117">
        <v>2417</v>
      </c>
      <c r="G89" s="120">
        <v>0</v>
      </c>
      <c r="H89" s="117">
        <v>13</v>
      </c>
      <c r="I89" s="120">
        <v>0</v>
      </c>
      <c r="J89" s="117">
        <v>0</v>
      </c>
      <c r="K89" s="120">
        <v>0</v>
      </c>
      <c r="L89" s="117">
        <v>0</v>
      </c>
      <c r="M89" s="120">
        <v>0</v>
      </c>
      <c r="N89" s="117">
        <v>0</v>
      </c>
      <c r="O89" s="120">
        <v>0</v>
      </c>
      <c r="P89" s="117">
        <v>0</v>
      </c>
      <c r="Q89" s="120">
        <v>0</v>
      </c>
      <c r="R89" s="117">
        <v>0</v>
      </c>
      <c r="S89" s="120">
        <v>0</v>
      </c>
      <c r="T89" s="117">
        <v>0</v>
      </c>
      <c r="U89" s="119">
        <v>0</v>
      </c>
    </row>
    <row r="90" spans="1:21" x14ac:dyDescent="0.25">
      <c r="A90" s="111" t="s">
        <v>1567</v>
      </c>
      <c r="B90" s="112" t="s">
        <v>1568</v>
      </c>
      <c r="C90" s="112" t="s">
        <v>1569</v>
      </c>
      <c r="D90" s="113">
        <v>0</v>
      </c>
      <c r="E90" s="114">
        <v>0</v>
      </c>
      <c r="F90" s="113">
        <v>0</v>
      </c>
      <c r="G90" s="114">
        <v>350</v>
      </c>
      <c r="H90" s="113">
        <v>0</v>
      </c>
      <c r="I90" s="114">
        <v>0</v>
      </c>
      <c r="J90" s="113">
        <v>0</v>
      </c>
      <c r="K90" s="114">
        <v>0</v>
      </c>
      <c r="L90" s="113">
        <v>0</v>
      </c>
      <c r="M90" s="114">
        <v>0</v>
      </c>
      <c r="N90" s="113">
        <v>0</v>
      </c>
      <c r="O90" s="114">
        <v>0</v>
      </c>
      <c r="P90" s="113">
        <v>0</v>
      </c>
      <c r="Q90" s="114">
        <v>0</v>
      </c>
      <c r="R90" s="113">
        <v>0</v>
      </c>
      <c r="S90" s="114">
        <v>0</v>
      </c>
      <c r="T90" s="113">
        <v>0</v>
      </c>
      <c r="U90" s="115">
        <v>0</v>
      </c>
    </row>
    <row r="91" spans="1:21" x14ac:dyDescent="0.25">
      <c r="A91" s="14" t="s">
        <v>1364</v>
      </c>
      <c r="B91" s="116" t="s">
        <v>1016</v>
      </c>
      <c r="C91" s="116" t="s">
        <v>1510</v>
      </c>
      <c r="D91" s="117">
        <v>0</v>
      </c>
      <c r="E91" s="120">
        <v>0</v>
      </c>
      <c r="F91" s="117">
        <v>0</v>
      </c>
      <c r="G91" s="120">
        <v>940</v>
      </c>
      <c r="H91" s="117">
        <v>0</v>
      </c>
      <c r="I91" s="120">
        <v>0</v>
      </c>
      <c r="J91" s="117">
        <v>0</v>
      </c>
      <c r="K91" s="120">
        <v>0</v>
      </c>
      <c r="L91" s="117">
        <v>362.55000305175781</v>
      </c>
      <c r="M91" s="120">
        <v>362.55000305175781</v>
      </c>
      <c r="N91" s="117">
        <v>0</v>
      </c>
      <c r="O91" s="120">
        <v>0</v>
      </c>
      <c r="P91" s="117">
        <v>0</v>
      </c>
      <c r="Q91" s="120">
        <v>0</v>
      </c>
      <c r="R91" s="117">
        <v>0</v>
      </c>
      <c r="S91" s="120">
        <v>0</v>
      </c>
      <c r="T91" s="117">
        <v>0</v>
      </c>
      <c r="U91" s="119">
        <v>0</v>
      </c>
    </row>
    <row r="92" spans="1:21" x14ac:dyDescent="0.25">
      <c r="A92" s="111" t="s">
        <v>520</v>
      </c>
      <c r="B92" s="112" t="s">
        <v>1137</v>
      </c>
      <c r="C92" s="112" t="s">
        <v>57</v>
      </c>
      <c r="D92" s="113">
        <v>11667</v>
      </c>
      <c r="E92" s="114">
        <v>0</v>
      </c>
      <c r="F92" s="113">
        <v>0</v>
      </c>
      <c r="G92" s="114">
        <v>0</v>
      </c>
      <c r="H92" s="113">
        <v>0</v>
      </c>
      <c r="I92" s="114">
        <v>0</v>
      </c>
      <c r="J92" s="113">
        <v>0</v>
      </c>
      <c r="K92" s="114">
        <v>0</v>
      </c>
      <c r="L92" s="113">
        <v>0</v>
      </c>
      <c r="M92" s="114">
        <v>0</v>
      </c>
      <c r="N92" s="113">
        <v>2235</v>
      </c>
      <c r="O92" s="114">
        <v>3005</v>
      </c>
      <c r="P92" s="113">
        <v>3898</v>
      </c>
      <c r="Q92" s="114">
        <v>2529</v>
      </c>
      <c r="R92" s="113">
        <v>0</v>
      </c>
      <c r="S92" s="114">
        <v>0</v>
      </c>
      <c r="T92" s="113">
        <v>0</v>
      </c>
      <c r="U92" s="115">
        <v>0</v>
      </c>
    </row>
    <row r="93" spans="1:21" x14ac:dyDescent="0.25">
      <c r="A93" s="14" t="s">
        <v>1507</v>
      </c>
      <c r="B93" s="116" t="s">
        <v>1527</v>
      </c>
      <c r="C93" s="116" t="s">
        <v>1528</v>
      </c>
      <c r="D93" s="117">
        <v>0</v>
      </c>
      <c r="E93" s="120">
        <v>0</v>
      </c>
      <c r="F93" s="117">
        <v>0</v>
      </c>
      <c r="G93" s="120">
        <v>254</v>
      </c>
      <c r="H93" s="117">
        <v>0</v>
      </c>
      <c r="I93" s="120">
        <v>0</v>
      </c>
      <c r="J93" s="117">
        <v>0</v>
      </c>
      <c r="K93" s="120">
        <v>0</v>
      </c>
      <c r="L93" s="117">
        <v>176.8059983253479</v>
      </c>
      <c r="M93" s="120">
        <v>176.8059983253479</v>
      </c>
      <c r="N93" s="117">
        <v>0</v>
      </c>
      <c r="O93" s="120">
        <v>0</v>
      </c>
      <c r="P93" s="117">
        <v>0</v>
      </c>
      <c r="Q93" s="120">
        <v>0</v>
      </c>
      <c r="R93" s="117">
        <v>0</v>
      </c>
      <c r="S93" s="120">
        <v>0</v>
      </c>
      <c r="T93" s="117">
        <v>0</v>
      </c>
      <c r="U93" s="119">
        <v>0</v>
      </c>
    </row>
    <row r="94" spans="1:21" x14ac:dyDescent="0.25">
      <c r="A94" s="111" t="s">
        <v>1138</v>
      </c>
      <c r="B94" s="112" t="s">
        <v>1139</v>
      </c>
      <c r="C94" s="112" t="s">
        <v>57</v>
      </c>
      <c r="D94" s="113">
        <v>0</v>
      </c>
      <c r="E94" s="114">
        <v>0</v>
      </c>
      <c r="F94" s="113">
        <v>0</v>
      </c>
      <c r="G94" s="114">
        <v>0</v>
      </c>
      <c r="H94" s="113">
        <v>0</v>
      </c>
      <c r="I94" s="114">
        <v>0</v>
      </c>
      <c r="J94" s="113">
        <v>0</v>
      </c>
      <c r="K94" s="114">
        <v>0</v>
      </c>
      <c r="L94" s="113">
        <v>0</v>
      </c>
      <c r="M94" s="114">
        <v>0</v>
      </c>
      <c r="N94" s="113">
        <v>0</v>
      </c>
      <c r="O94" s="114">
        <v>0</v>
      </c>
      <c r="P94" s="113">
        <v>0</v>
      </c>
      <c r="Q94" s="114">
        <v>0</v>
      </c>
      <c r="R94" s="113">
        <v>0</v>
      </c>
      <c r="S94" s="114">
        <v>0</v>
      </c>
      <c r="T94" s="113">
        <v>0</v>
      </c>
      <c r="U94" s="115">
        <v>0</v>
      </c>
    </row>
    <row r="95" spans="1:21" x14ac:dyDescent="0.25">
      <c r="A95" s="14" t="s">
        <v>1133</v>
      </c>
      <c r="B95" s="116" t="s">
        <v>1134</v>
      </c>
      <c r="C95" s="116" t="s">
        <v>57</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row>
    <row r="96" spans="1:21" x14ac:dyDescent="0.25">
      <c r="A96" s="111" t="s">
        <v>1096</v>
      </c>
      <c r="B96" s="112" t="s">
        <v>1239</v>
      </c>
      <c r="C96" s="112" t="s">
        <v>1097</v>
      </c>
      <c r="D96" s="113">
        <v>0</v>
      </c>
      <c r="E96" s="114">
        <v>0</v>
      </c>
      <c r="F96" s="113">
        <v>0</v>
      </c>
      <c r="G96" s="114">
        <v>56</v>
      </c>
      <c r="H96" s="113">
        <v>0</v>
      </c>
      <c r="I96" s="114">
        <v>54.296999216079712</v>
      </c>
      <c r="J96" s="113">
        <v>0</v>
      </c>
      <c r="K96" s="114">
        <v>54.296999216079712</v>
      </c>
      <c r="L96" s="113">
        <v>0</v>
      </c>
      <c r="M96" s="114">
        <v>54.296999216079712</v>
      </c>
      <c r="N96" s="113">
        <v>0</v>
      </c>
      <c r="O96" s="114">
        <v>0</v>
      </c>
      <c r="P96" s="113">
        <v>0</v>
      </c>
      <c r="Q96" s="114">
        <v>0</v>
      </c>
      <c r="R96" s="113">
        <v>0</v>
      </c>
      <c r="S96" s="114">
        <v>0</v>
      </c>
      <c r="T96" s="113">
        <v>0</v>
      </c>
      <c r="U96" s="115">
        <v>0</v>
      </c>
    </row>
    <row r="97" spans="1:21" x14ac:dyDescent="0.25">
      <c r="A97" s="14" t="s">
        <v>1587</v>
      </c>
      <c r="B97" s="116" t="s">
        <v>1662</v>
      </c>
      <c r="C97" s="116" t="s">
        <v>1588</v>
      </c>
      <c r="D97" s="117">
        <v>0</v>
      </c>
      <c r="E97" s="120">
        <v>0</v>
      </c>
      <c r="F97" s="117">
        <v>0</v>
      </c>
      <c r="G97" s="120">
        <v>59</v>
      </c>
      <c r="H97" s="117">
        <v>0</v>
      </c>
      <c r="I97" s="120">
        <v>0</v>
      </c>
      <c r="J97" s="117">
        <v>0</v>
      </c>
      <c r="K97" s="120">
        <v>0</v>
      </c>
      <c r="L97" s="117">
        <v>59</v>
      </c>
      <c r="M97" s="120">
        <v>59</v>
      </c>
      <c r="N97" s="117">
        <v>0</v>
      </c>
      <c r="O97" s="120">
        <v>0</v>
      </c>
      <c r="P97" s="117">
        <v>0</v>
      </c>
      <c r="Q97" s="120">
        <v>0</v>
      </c>
      <c r="R97" s="117">
        <v>0</v>
      </c>
      <c r="S97" s="120">
        <v>0</v>
      </c>
      <c r="T97" s="117">
        <v>0</v>
      </c>
      <c r="U97" s="119">
        <v>0</v>
      </c>
    </row>
    <row r="98" spans="1:21" x14ac:dyDescent="0.25">
      <c r="A98" s="111" t="s">
        <v>1135</v>
      </c>
      <c r="B98" s="112" t="s">
        <v>1136</v>
      </c>
      <c r="C98" s="112" t="s">
        <v>57</v>
      </c>
      <c r="D98" s="113">
        <v>0</v>
      </c>
      <c r="E98" s="114">
        <v>0</v>
      </c>
      <c r="F98" s="113">
        <v>0</v>
      </c>
      <c r="G98" s="114">
        <v>0</v>
      </c>
      <c r="H98" s="113">
        <v>0</v>
      </c>
      <c r="I98" s="114">
        <v>0</v>
      </c>
      <c r="J98" s="113">
        <v>0</v>
      </c>
      <c r="K98" s="114">
        <v>0</v>
      </c>
      <c r="L98" s="113">
        <v>0</v>
      </c>
      <c r="M98" s="114">
        <v>0</v>
      </c>
      <c r="N98" s="113">
        <v>0</v>
      </c>
      <c r="O98" s="114">
        <v>0</v>
      </c>
      <c r="P98" s="113">
        <v>0</v>
      </c>
      <c r="Q98" s="114">
        <v>0</v>
      </c>
      <c r="R98" s="113">
        <v>0</v>
      </c>
      <c r="S98" s="114">
        <v>0</v>
      </c>
      <c r="T98" s="113">
        <v>0</v>
      </c>
      <c r="U98" s="115">
        <v>0</v>
      </c>
    </row>
    <row r="99" spans="1:21" x14ac:dyDescent="0.25">
      <c r="A99" s="14" t="s">
        <v>1676</v>
      </c>
      <c r="B99" s="116" t="s">
        <v>1798</v>
      </c>
      <c r="C99" s="116" t="s">
        <v>1678</v>
      </c>
      <c r="D99" s="117">
        <v>0</v>
      </c>
      <c r="E99" s="120">
        <v>0</v>
      </c>
      <c r="F99" s="117">
        <v>0</v>
      </c>
      <c r="G99" s="120">
        <v>125</v>
      </c>
      <c r="H99" s="117">
        <v>0</v>
      </c>
      <c r="I99" s="120">
        <v>0</v>
      </c>
      <c r="J99" s="117">
        <v>0</v>
      </c>
      <c r="K99" s="120">
        <v>0</v>
      </c>
      <c r="L99" s="117">
        <v>0</v>
      </c>
      <c r="M99" s="120">
        <v>0</v>
      </c>
      <c r="N99" s="117">
        <v>0</v>
      </c>
      <c r="O99" s="120">
        <v>0</v>
      </c>
      <c r="P99" s="117">
        <v>0</v>
      </c>
      <c r="Q99" s="120">
        <v>0</v>
      </c>
      <c r="R99" s="117">
        <v>0</v>
      </c>
      <c r="S99" s="120">
        <v>0</v>
      </c>
      <c r="T99" s="117">
        <v>0</v>
      </c>
      <c r="U99" s="119">
        <v>0</v>
      </c>
    </row>
    <row r="100" spans="1:21" x14ac:dyDescent="0.25">
      <c r="A100" s="111" t="s">
        <v>1100</v>
      </c>
      <c r="B100" s="112" t="s">
        <v>1240</v>
      </c>
      <c r="C100" s="112" t="s">
        <v>1241</v>
      </c>
      <c r="D100" s="113">
        <v>0</v>
      </c>
      <c r="E100" s="114">
        <v>0</v>
      </c>
      <c r="F100" s="113">
        <v>0</v>
      </c>
      <c r="G100" s="114">
        <v>9</v>
      </c>
      <c r="H100" s="113">
        <v>0</v>
      </c>
      <c r="I100" s="114">
        <v>8.2119101285934448</v>
      </c>
      <c r="J100" s="113">
        <v>0</v>
      </c>
      <c r="K100" s="114">
        <v>8.2119101285934448</v>
      </c>
      <c r="L100" s="113">
        <v>0</v>
      </c>
      <c r="M100" s="114">
        <v>8.2119101285934448</v>
      </c>
      <c r="N100" s="113">
        <v>0</v>
      </c>
      <c r="O100" s="114">
        <v>0</v>
      </c>
      <c r="P100" s="113">
        <v>0</v>
      </c>
      <c r="Q100" s="114">
        <v>0</v>
      </c>
      <c r="R100" s="113">
        <v>0</v>
      </c>
      <c r="S100" s="114">
        <v>0</v>
      </c>
      <c r="T100" s="113">
        <v>0</v>
      </c>
      <c r="U100" s="115">
        <v>0</v>
      </c>
    </row>
    <row r="101" spans="1:21" x14ac:dyDescent="0.25">
      <c r="A101" s="14" t="s">
        <v>1242</v>
      </c>
      <c r="B101" s="116" t="s">
        <v>1243</v>
      </c>
      <c r="C101" s="116" t="s">
        <v>1456</v>
      </c>
      <c r="D101" s="117">
        <v>5812</v>
      </c>
      <c r="E101" s="120">
        <v>0</v>
      </c>
      <c r="F101" s="117">
        <v>2891</v>
      </c>
      <c r="G101" s="120">
        <v>0</v>
      </c>
      <c r="H101" s="117">
        <v>93</v>
      </c>
      <c r="I101" s="120">
        <v>0</v>
      </c>
      <c r="J101" s="117">
        <v>0</v>
      </c>
      <c r="K101" s="120">
        <v>0</v>
      </c>
      <c r="L101" s="117">
        <v>0</v>
      </c>
      <c r="M101" s="120">
        <v>0</v>
      </c>
      <c r="N101" s="117">
        <v>1547</v>
      </c>
      <c r="O101" s="120">
        <v>1374</v>
      </c>
      <c r="P101" s="117">
        <v>0</v>
      </c>
      <c r="Q101" s="120">
        <v>0</v>
      </c>
      <c r="R101" s="117">
        <v>0</v>
      </c>
      <c r="S101" s="120">
        <v>0</v>
      </c>
      <c r="T101" s="117">
        <v>0</v>
      </c>
      <c r="U101" s="119">
        <v>0</v>
      </c>
    </row>
    <row r="102" spans="1:21" x14ac:dyDescent="0.25">
      <c r="A102" s="111" t="s">
        <v>1545</v>
      </c>
      <c r="B102" s="112" t="s">
        <v>58</v>
      </c>
      <c r="C102" s="112" t="s">
        <v>1546</v>
      </c>
      <c r="D102" s="113">
        <v>0</v>
      </c>
      <c r="E102" s="114">
        <v>0</v>
      </c>
      <c r="F102" s="113">
        <v>0</v>
      </c>
      <c r="G102" s="114">
        <v>479</v>
      </c>
      <c r="H102" s="113">
        <v>0</v>
      </c>
      <c r="I102" s="114">
        <v>0</v>
      </c>
      <c r="J102" s="113">
        <v>0</v>
      </c>
      <c r="K102" s="114">
        <v>0</v>
      </c>
      <c r="L102" s="113">
        <v>340.75991821289062</v>
      </c>
      <c r="M102" s="114">
        <v>340.75991821289062</v>
      </c>
      <c r="N102" s="113">
        <v>0</v>
      </c>
      <c r="O102" s="114">
        <v>0</v>
      </c>
      <c r="P102" s="113">
        <v>0</v>
      </c>
      <c r="Q102" s="114">
        <v>0</v>
      </c>
      <c r="R102" s="113">
        <v>0</v>
      </c>
      <c r="S102" s="114">
        <v>0</v>
      </c>
      <c r="T102" s="113">
        <v>0</v>
      </c>
      <c r="U102" s="115">
        <v>0</v>
      </c>
    </row>
    <row r="103" spans="1:21" x14ac:dyDescent="0.25">
      <c r="A103" s="14" t="s">
        <v>1596</v>
      </c>
      <c r="B103" s="116" t="s">
        <v>1732</v>
      </c>
      <c r="C103" s="116" t="s">
        <v>1733</v>
      </c>
      <c r="D103" s="117">
        <v>0</v>
      </c>
      <c r="E103" s="120">
        <v>0</v>
      </c>
      <c r="F103" s="117">
        <v>0</v>
      </c>
      <c r="G103" s="120">
        <v>81</v>
      </c>
      <c r="H103" s="117">
        <v>0</v>
      </c>
      <c r="I103" s="120">
        <v>0</v>
      </c>
      <c r="J103" s="117">
        <v>0</v>
      </c>
      <c r="K103" s="120">
        <v>0</v>
      </c>
      <c r="L103" s="117">
        <v>0</v>
      </c>
      <c r="M103" s="120">
        <v>0</v>
      </c>
      <c r="N103" s="117">
        <v>0</v>
      </c>
      <c r="O103" s="120">
        <v>0</v>
      </c>
      <c r="P103" s="117">
        <v>0</v>
      </c>
      <c r="Q103" s="120">
        <v>0</v>
      </c>
      <c r="R103" s="117">
        <v>0</v>
      </c>
      <c r="S103" s="120">
        <v>0</v>
      </c>
      <c r="T103" s="117">
        <v>0</v>
      </c>
      <c r="U103" s="119">
        <v>0</v>
      </c>
    </row>
    <row r="104" spans="1:21" x14ac:dyDescent="0.25">
      <c r="A104" s="111" t="s">
        <v>520</v>
      </c>
      <c r="B104" s="112" t="s">
        <v>1137</v>
      </c>
      <c r="C104" s="112" t="s">
        <v>57</v>
      </c>
      <c r="D104" s="113">
        <v>31271</v>
      </c>
      <c r="E104" s="114">
        <v>0</v>
      </c>
      <c r="F104" s="113">
        <v>0</v>
      </c>
      <c r="G104" s="114">
        <v>0</v>
      </c>
      <c r="H104" s="113">
        <v>0</v>
      </c>
      <c r="I104" s="114">
        <v>0</v>
      </c>
      <c r="J104" s="113">
        <v>0</v>
      </c>
      <c r="K104" s="114">
        <v>0</v>
      </c>
      <c r="L104" s="113">
        <v>0</v>
      </c>
      <c r="M104" s="114">
        <v>0</v>
      </c>
      <c r="N104" s="113">
        <v>7156</v>
      </c>
      <c r="O104" s="114">
        <v>8462</v>
      </c>
      <c r="P104" s="113">
        <v>9596</v>
      </c>
      <c r="Q104" s="114">
        <v>6057</v>
      </c>
      <c r="R104" s="113">
        <v>0</v>
      </c>
      <c r="S104" s="114">
        <v>0</v>
      </c>
      <c r="T104" s="113">
        <v>0</v>
      </c>
      <c r="U104" s="115">
        <v>0</v>
      </c>
    </row>
    <row r="105" spans="1:21" x14ac:dyDescent="0.25">
      <c r="A105" s="14" t="s">
        <v>1457</v>
      </c>
      <c r="B105" s="116" t="s">
        <v>1458</v>
      </c>
      <c r="C105" s="116" t="s">
        <v>1459</v>
      </c>
      <c r="D105" s="117">
        <v>0</v>
      </c>
      <c r="E105" s="120">
        <v>0</v>
      </c>
      <c r="F105" s="117">
        <v>0</v>
      </c>
      <c r="G105" s="120">
        <v>513</v>
      </c>
      <c r="H105" s="117">
        <v>0</v>
      </c>
      <c r="I105" s="120">
        <v>0</v>
      </c>
      <c r="J105" s="117">
        <v>0</v>
      </c>
      <c r="K105" s="120">
        <v>0</v>
      </c>
      <c r="L105" s="117">
        <v>115.85500335693359</v>
      </c>
      <c r="M105" s="120">
        <v>115.85500335693359</v>
      </c>
      <c r="N105" s="117">
        <v>0</v>
      </c>
      <c r="O105" s="120">
        <v>0</v>
      </c>
      <c r="P105" s="117">
        <v>0</v>
      </c>
      <c r="Q105" s="120">
        <v>0</v>
      </c>
      <c r="R105" s="117">
        <v>0</v>
      </c>
      <c r="S105" s="120">
        <v>0</v>
      </c>
      <c r="T105" s="117">
        <v>0</v>
      </c>
      <c r="U105" s="119">
        <v>0</v>
      </c>
    </row>
    <row r="106" spans="1:21" x14ac:dyDescent="0.25">
      <c r="A106" s="111" t="s">
        <v>1093</v>
      </c>
      <c r="B106" s="112" t="s">
        <v>443</v>
      </c>
      <c r="C106" s="112" t="s">
        <v>1245</v>
      </c>
      <c r="D106" s="113">
        <v>0</v>
      </c>
      <c r="E106" s="114">
        <v>0</v>
      </c>
      <c r="F106" s="113">
        <v>0</v>
      </c>
      <c r="G106" s="114">
        <v>52</v>
      </c>
      <c r="H106" s="113">
        <v>0</v>
      </c>
      <c r="I106" s="114">
        <v>0</v>
      </c>
      <c r="J106" s="113">
        <v>0</v>
      </c>
      <c r="K106" s="114">
        <v>0</v>
      </c>
      <c r="L106" s="113">
        <v>51</v>
      </c>
      <c r="M106" s="114">
        <v>51</v>
      </c>
      <c r="N106" s="113">
        <v>0</v>
      </c>
      <c r="O106" s="114">
        <v>0</v>
      </c>
      <c r="P106" s="113">
        <v>0</v>
      </c>
      <c r="Q106" s="114">
        <v>0</v>
      </c>
      <c r="R106" s="113">
        <v>0</v>
      </c>
      <c r="S106" s="114">
        <v>0</v>
      </c>
      <c r="T106" s="113">
        <v>0</v>
      </c>
      <c r="U106" s="115">
        <v>0</v>
      </c>
    </row>
    <row r="107" spans="1:21" x14ac:dyDescent="0.25">
      <c r="A107" s="14" t="s">
        <v>1092</v>
      </c>
      <c r="B107" s="116" t="s">
        <v>1522</v>
      </c>
      <c r="C107" s="116" t="s">
        <v>1425</v>
      </c>
      <c r="D107" s="117">
        <v>0</v>
      </c>
      <c r="E107" s="120">
        <v>0</v>
      </c>
      <c r="F107" s="117">
        <v>0</v>
      </c>
      <c r="G107" s="120">
        <v>24</v>
      </c>
      <c r="H107" s="117">
        <v>0</v>
      </c>
      <c r="I107" s="120">
        <v>0</v>
      </c>
      <c r="J107" s="117">
        <v>0</v>
      </c>
      <c r="K107" s="120">
        <v>0</v>
      </c>
      <c r="L107" s="117">
        <v>0</v>
      </c>
      <c r="M107" s="120">
        <v>0</v>
      </c>
      <c r="N107" s="117">
        <v>0</v>
      </c>
      <c r="O107" s="120">
        <v>0</v>
      </c>
      <c r="P107" s="117">
        <v>0</v>
      </c>
      <c r="Q107" s="120">
        <v>0</v>
      </c>
      <c r="R107" s="117">
        <v>0</v>
      </c>
      <c r="S107" s="120">
        <v>0</v>
      </c>
      <c r="T107" s="117">
        <v>0</v>
      </c>
      <c r="U107" s="119">
        <v>0</v>
      </c>
    </row>
    <row r="108" spans="1:21" x14ac:dyDescent="0.25">
      <c r="A108" s="111" t="s">
        <v>1472</v>
      </c>
      <c r="B108" s="112" t="s">
        <v>1523</v>
      </c>
      <c r="C108" s="112" t="s">
        <v>1473</v>
      </c>
      <c r="D108" s="113">
        <v>0</v>
      </c>
      <c r="E108" s="114">
        <v>0</v>
      </c>
      <c r="F108" s="113">
        <v>0</v>
      </c>
      <c r="G108" s="114">
        <v>153</v>
      </c>
      <c r="H108" s="113">
        <v>0</v>
      </c>
      <c r="I108" s="114">
        <v>12.800000190734863</v>
      </c>
      <c r="J108" s="113">
        <v>0</v>
      </c>
      <c r="K108" s="114">
        <v>12.800000190734863</v>
      </c>
      <c r="L108" s="113">
        <v>58.07765007019043</v>
      </c>
      <c r="M108" s="114">
        <v>70.877650260925293</v>
      </c>
      <c r="N108" s="113">
        <v>0</v>
      </c>
      <c r="O108" s="114">
        <v>0</v>
      </c>
      <c r="P108" s="113">
        <v>0</v>
      </c>
      <c r="Q108" s="114">
        <v>0</v>
      </c>
      <c r="R108" s="113">
        <v>0</v>
      </c>
      <c r="S108" s="114">
        <v>0</v>
      </c>
      <c r="T108" s="113">
        <v>0</v>
      </c>
      <c r="U108" s="115">
        <v>0</v>
      </c>
    </row>
    <row r="109" spans="1:21" x14ac:dyDescent="0.25">
      <c r="A109" s="14" t="s">
        <v>1551</v>
      </c>
      <c r="B109" s="116" t="s">
        <v>1570</v>
      </c>
      <c r="C109" s="116" t="s">
        <v>1552</v>
      </c>
      <c r="D109" s="117">
        <v>0</v>
      </c>
      <c r="E109" s="120">
        <v>0</v>
      </c>
      <c r="F109" s="117">
        <v>0</v>
      </c>
      <c r="G109" s="120">
        <v>23</v>
      </c>
      <c r="H109" s="117">
        <v>0</v>
      </c>
      <c r="I109" s="120">
        <v>0</v>
      </c>
      <c r="J109" s="117">
        <v>0</v>
      </c>
      <c r="K109" s="120">
        <v>0</v>
      </c>
      <c r="L109" s="117">
        <v>0</v>
      </c>
      <c r="M109" s="120">
        <v>0</v>
      </c>
      <c r="N109" s="117">
        <v>0</v>
      </c>
      <c r="O109" s="120">
        <v>0</v>
      </c>
      <c r="P109" s="117">
        <v>0</v>
      </c>
      <c r="Q109" s="120">
        <v>0</v>
      </c>
      <c r="R109" s="117">
        <v>0</v>
      </c>
      <c r="S109" s="120">
        <v>0</v>
      </c>
      <c r="T109" s="117">
        <v>0</v>
      </c>
      <c r="U109" s="119">
        <v>0</v>
      </c>
    </row>
    <row r="110" spans="1:21" x14ac:dyDescent="0.25">
      <c r="A110" s="111" t="s">
        <v>1580</v>
      </c>
      <c r="B110" s="112" t="s">
        <v>1734</v>
      </c>
      <c r="C110" s="112" t="s">
        <v>1581</v>
      </c>
      <c r="D110" s="113">
        <v>0</v>
      </c>
      <c r="E110" s="114">
        <v>0</v>
      </c>
      <c r="F110" s="113">
        <v>0</v>
      </c>
      <c r="G110" s="114">
        <v>1209</v>
      </c>
      <c r="H110" s="113">
        <v>0</v>
      </c>
      <c r="I110" s="114">
        <v>0</v>
      </c>
      <c r="J110" s="113">
        <v>0</v>
      </c>
      <c r="K110" s="114">
        <v>0</v>
      </c>
      <c r="L110" s="113">
        <v>0</v>
      </c>
      <c r="M110" s="114">
        <v>0</v>
      </c>
      <c r="N110" s="113">
        <v>0</v>
      </c>
      <c r="O110" s="114">
        <v>0</v>
      </c>
      <c r="P110" s="113">
        <v>0</v>
      </c>
      <c r="Q110" s="114">
        <v>0</v>
      </c>
      <c r="R110" s="113">
        <v>0</v>
      </c>
      <c r="S110" s="114">
        <v>0</v>
      </c>
      <c r="T110" s="113">
        <v>0</v>
      </c>
      <c r="U110" s="115">
        <v>0</v>
      </c>
    </row>
    <row r="111" spans="1:21" x14ac:dyDescent="0.25">
      <c r="A111" s="14" t="s">
        <v>1582</v>
      </c>
      <c r="B111" s="116" t="s">
        <v>1584</v>
      </c>
      <c r="C111" s="116" t="s">
        <v>1583</v>
      </c>
      <c r="D111" s="117">
        <v>0</v>
      </c>
      <c r="E111" s="120">
        <v>0</v>
      </c>
      <c r="F111" s="117">
        <v>0</v>
      </c>
      <c r="G111" s="120">
        <v>16</v>
      </c>
      <c r="H111" s="117">
        <v>0</v>
      </c>
      <c r="I111" s="120">
        <v>0</v>
      </c>
      <c r="J111" s="117">
        <v>0</v>
      </c>
      <c r="K111" s="120">
        <v>0</v>
      </c>
      <c r="L111" s="117">
        <v>0</v>
      </c>
      <c r="M111" s="120">
        <v>0</v>
      </c>
      <c r="N111" s="117">
        <v>0</v>
      </c>
      <c r="O111" s="120">
        <v>0</v>
      </c>
      <c r="P111" s="117">
        <v>0</v>
      </c>
      <c r="Q111" s="120">
        <v>0</v>
      </c>
      <c r="R111" s="117">
        <v>0</v>
      </c>
      <c r="S111" s="120">
        <v>0</v>
      </c>
      <c r="T111" s="117">
        <v>0</v>
      </c>
      <c r="U111" s="119">
        <v>0</v>
      </c>
    </row>
    <row r="112" spans="1:21" x14ac:dyDescent="0.25">
      <c r="A112" s="111" t="s">
        <v>1138</v>
      </c>
      <c r="B112" s="112" t="s">
        <v>1139</v>
      </c>
      <c r="C112" s="112" t="s">
        <v>57</v>
      </c>
      <c r="D112" s="113">
        <v>3368.5</v>
      </c>
      <c r="E112" s="114">
        <v>0</v>
      </c>
      <c r="F112" s="113">
        <v>0</v>
      </c>
      <c r="G112" s="114">
        <v>0</v>
      </c>
      <c r="H112" s="113">
        <v>0</v>
      </c>
      <c r="I112" s="114">
        <v>0</v>
      </c>
      <c r="J112" s="113">
        <v>0</v>
      </c>
      <c r="K112" s="114">
        <v>0</v>
      </c>
      <c r="L112" s="113">
        <v>0</v>
      </c>
      <c r="M112" s="114">
        <v>0</v>
      </c>
      <c r="N112" s="113">
        <v>0</v>
      </c>
      <c r="O112" s="114">
        <v>0</v>
      </c>
      <c r="P112" s="113">
        <v>0</v>
      </c>
      <c r="Q112" s="114">
        <v>0</v>
      </c>
      <c r="R112" s="113">
        <v>0</v>
      </c>
      <c r="S112" s="114">
        <v>0</v>
      </c>
      <c r="T112" s="113">
        <v>0</v>
      </c>
      <c r="U112" s="115">
        <v>0</v>
      </c>
    </row>
    <row r="113" spans="1:21" x14ac:dyDescent="0.25">
      <c r="A113" s="14" t="s">
        <v>1476</v>
      </c>
      <c r="B113" s="116" t="s">
        <v>1486</v>
      </c>
      <c r="C113" s="116" t="s">
        <v>1477</v>
      </c>
      <c r="D113" s="117">
        <v>0</v>
      </c>
      <c r="E113" s="120">
        <v>0</v>
      </c>
      <c r="F113" s="117">
        <v>0</v>
      </c>
      <c r="G113" s="120">
        <v>20</v>
      </c>
      <c r="H113" s="117">
        <v>0</v>
      </c>
      <c r="I113" s="120">
        <v>0</v>
      </c>
      <c r="J113" s="117">
        <v>0</v>
      </c>
      <c r="K113" s="120">
        <v>0</v>
      </c>
      <c r="L113" s="117">
        <v>7.810999870300293</v>
      </c>
      <c r="M113" s="120">
        <v>7.810999870300293</v>
      </c>
      <c r="N113" s="117">
        <v>0</v>
      </c>
      <c r="O113" s="120">
        <v>0</v>
      </c>
      <c r="P113" s="117">
        <v>0</v>
      </c>
      <c r="Q113" s="120">
        <v>0</v>
      </c>
      <c r="R113" s="117">
        <v>0</v>
      </c>
      <c r="S113" s="120">
        <v>0</v>
      </c>
      <c r="T113" s="117">
        <v>0</v>
      </c>
      <c r="U113" s="119">
        <v>0</v>
      </c>
    </row>
    <row r="114" spans="1:21" x14ac:dyDescent="0.25">
      <c r="A114" s="111" t="s">
        <v>1133</v>
      </c>
      <c r="B114" s="112" t="s">
        <v>1246</v>
      </c>
      <c r="C114" s="112" t="s">
        <v>57</v>
      </c>
      <c r="D114" s="113">
        <v>0</v>
      </c>
      <c r="E114" s="114">
        <v>0</v>
      </c>
      <c r="F114" s="113">
        <v>0</v>
      </c>
      <c r="G114" s="114">
        <v>0</v>
      </c>
      <c r="H114" s="113">
        <v>0</v>
      </c>
      <c r="I114" s="114">
        <v>0</v>
      </c>
      <c r="J114" s="113">
        <v>0</v>
      </c>
      <c r="K114" s="114">
        <v>0</v>
      </c>
      <c r="L114" s="113">
        <v>0</v>
      </c>
      <c r="M114" s="114">
        <v>0</v>
      </c>
      <c r="N114" s="113">
        <v>0</v>
      </c>
      <c r="O114" s="114">
        <v>0</v>
      </c>
      <c r="P114" s="113">
        <v>0</v>
      </c>
      <c r="Q114" s="114">
        <v>0</v>
      </c>
      <c r="R114" s="113">
        <v>0</v>
      </c>
      <c r="S114" s="114">
        <v>0</v>
      </c>
      <c r="T114" s="113">
        <v>0</v>
      </c>
      <c r="U114" s="115">
        <v>0</v>
      </c>
    </row>
    <row r="115" spans="1:21" x14ac:dyDescent="0.25">
      <c r="A115" s="14" t="s">
        <v>1135</v>
      </c>
      <c r="B115" s="116" t="s">
        <v>1136</v>
      </c>
      <c r="C115" s="116" t="s">
        <v>57</v>
      </c>
      <c r="D115" s="117">
        <v>0</v>
      </c>
      <c r="E115" s="120">
        <v>0</v>
      </c>
      <c r="F115" s="117">
        <v>0</v>
      </c>
      <c r="G115" s="120">
        <v>0</v>
      </c>
      <c r="H115" s="117">
        <v>0</v>
      </c>
      <c r="I115" s="120">
        <v>0</v>
      </c>
      <c r="J115" s="117">
        <v>0</v>
      </c>
      <c r="K115" s="120">
        <v>0</v>
      </c>
      <c r="L115" s="117">
        <v>0</v>
      </c>
      <c r="M115" s="120">
        <v>0</v>
      </c>
      <c r="N115" s="117">
        <v>0</v>
      </c>
      <c r="O115" s="120">
        <v>0</v>
      </c>
      <c r="P115" s="117">
        <v>0</v>
      </c>
      <c r="Q115" s="120">
        <v>0</v>
      </c>
      <c r="R115" s="117">
        <v>0</v>
      </c>
      <c r="S115" s="120">
        <v>0</v>
      </c>
      <c r="T115" s="117">
        <v>0</v>
      </c>
      <c r="U115" s="119">
        <v>0</v>
      </c>
    </row>
    <row r="116" spans="1:21" x14ac:dyDescent="0.25">
      <c r="A116" s="111" t="s">
        <v>520</v>
      </c>
      <c r="B116" s="112" t="s">
        <v>1137</v>
      </c>
      <c r="C116" s="112" t="s">
        <v>57</v>
      </c>
      <c r="D116" s="113">
        <v>30451</v>
      </c>
      <c r="E116" s="114">
        <v>0</v>
      </c>
      <c r="F116" s="113">
        <v>0</v>
      </c>
      <c r="G116" s="114">
        <v>0</v>
      </c>
      <c r="H116" s="113">
        <v>0</v>
      </c>
      <c r="I116" s="114">
        <v>0</v>
      </c>
      <c r="J116" s="113">
        <v>0</v>
      </c>
      <c r="K116" s="114">
        <v>0</v>
      </c>
      <c r="L116" s="113">
        <v>0</v>
      </c>
      <c r="M116" s="114">
        <v>0</v>
      </c>
      <c r="N116" s="113">
        <v>5203</v>
      </c>
      <c r="O116" s="114">
        <v>8313</v>
      </c>
      <c r="P116" s="113">
        <v>9847</v>
      </c>
      <c r="Q116" s="114">
        <v>7088</v>
      </c>
      <c r="R116" s="113">
        <v>0</v>
      </c>
      <c r="S116" s="114">
        <v>0</v>
      </c>
      <c r="T116" s="113">
        <v>0</v>
      </c>
      <c r="U116" s="115">
        <v>0</v>
      </c>
    </row>
    <row r="117" spans="1:21" x14ac:dyDescent="0.25">
      <c r="A117" s="14" t="s">
        <v>1138</v>
      </c>
      <c r="B117" s="116" t="s">
        <v>1139</v>
      </c>
      <c r="C117" s="116" t="s">
        <v>57</v>
      </c>
      <c r="D117" s="117">
        <v>-1</v>
      </c>
      <c r="E117" s="120">
        <v>0</v>
      </c>
      <c r="F117" s="117">
        <v>0</v>
      </c>
      <c r="G117" s="120">
        <v>0</v>
      </c>
      <c r="H117" s="117">
        <v>0</v>
      </c>
      <c r="I117" s="120">
        <v>0</v>
      </c>
      <c r="J117" s="117">
        <v>0</v>
      </c>
      <c r="K117" s="120">
        <v>0</v>
      </c>
      <c r="L117" s="117">
        <v>0</v>
      </c>
      <c r="M117" s="120">
        <v>0</v>
      </c>
      <c r="N117" s="117">
        <v>0</v>
      </c>
      <c r="O117" s="120">
        <v>0</v>
      </c>
      <c r="P117" s="117">
        <v>0</v>
      </c>
      <c r="Q117" s="120">
        <v>0</v>
      </c>
      <c r="R117" s="117">
        <v>0</v>
      </c>
      <c r="S117" s="120">
        <v>0</v>
      </c>
      <c r="T117" s="117">
        <v>0</v>
      </c>
      <c r="U117" s="119">
        <v>0</v>
      </c>
    </row>
    <row r="118" spans="1:21" x14ac:dyDescent="0.25">
      <c r="A118" s="111" t="s">
        <v>1247</v>
      </c>
      <c r="B118" s="112" t="s">
        <v>1248</v>
      </c>
      <c r="C118" s="112" t="s">
        <v>1249</v>
      </c>
      <c r="D118" s="113">
        <v>4112</v>
      </c>
      <c r="E118" s="114">
        <v>0</v>
      </c>
      <c r="F118" s="113">
        <v>4112</v>
      </c>
      <c r="G118" s="114">
        <v>0</v>
      </c>
      <c r="H118" s="113">
        <v>367</v>
      </c>
      <c r="I118" s="114">
        <v>0</v>
      </c>
      <c r="J118" s="113">
        <v>0</v>
      </c>
      <c r="K118" s="114">
        <v>0</v>
      </c>
      <c r="L118" s="113">
        <v>0</v>
      </c>
      <c r="M118" s="114">
        <v>0</v>
      </c>
      <c r="N118" s="113">
        <v>0</v>
      </c>
      <c r="O118" s="114">
        <v>0</v>
      </c>
      <c r="P118" s="113">
        <v>0</v>
      </c>
      <c r="Q118" s="114">
        <v>0</v>
      </c>
      <c r="R118" s="113">
        <v>0</v>
      </c>
      <c r="S118" s="114">
        <v>0</v>
      </c>
      <c r="T118" s="113">
        <v>0</v>
      </c>
      <c r="U118" s="115">
        <v>0</v>
      </c>
    </row>
    <row r="119" spans="1:21" x14ac:dyDescent="0.25">
      <c r="A119" s="14" t="s">
        <v>1131</v>
      </c>
      <c r="B119" s="116" t="s">
        <v>1250</v>
      </c>
      <c r="C119" s="116" t="s">
        <v>1132</v>
      </c>
      <c r="D119" s="117">
        <v>0</v>
      </c>
      <c r="E119" s="120">
        <v>0</v>
      </c>
      <c r="F119" s="117">
        <v>0</v>
      </c>
      <c r="G119" s="120">
        <v>367</v>
      </c>
      <c r="H119" s="117">
        <v>0</v>
      </c>
      <c r="I119" s="120">
        <v>0</v>
      </c>
      <c r="J119" s="117">
        <v>0</v>
      </c>
      <c r="K119" s="120">
        <v>0</v>
      </c>
      <c r="L119" s="117">
        <v>356.9999942779541</v>
      </c>
      <c r="M119" s="120">
        <v>356.9999942779541</v>
      </c>
      <c r="N119" s="117">
        <v>0</v>
      </c>
      <c r="O119" s="120">
        <v>0</v>
      </c>
      <c r="P119" s="117">
        <v>0</v>
      </c>
      <c r="Q119" s="120">
        <v>0</v>
      </c>
      <c r="R119" s="117">
        <v>0</v>
      </c>
      <c r="S119" s="120">
        <v>0</v>
      </c>
      <c r="T119" s="117">
        <v>0</v>
      </c>
      <c r="U119" s="119">
        <v>0</v>
      </c>
    </row>
    <row r="120" spans="1:21" x14ac:dyDescent="0.25">
      <c r="A120" s="111" t="s">
        <v>1251</v>
      </c>
      <c r="B120" s="112" t="s">
        <v>1252</v>
      </c>
      <c r="C120" s="112" t="s">
        <v>1253</v>
      </c>
      <c r="D120" s="113">
        <v>0</v>
      </c>
      <c r="E120" s="114">
        <v>0</v>
      </c>
      <c r="F120" s="113">
        <v>0</v>
      </c>
      <c r="G120" s="114">
        <v>108</v>
      </c>
      <c r="H120" s="113">
        <v>0</v>
      </c>
      <c r="I120" s="114">
        <v>0</v>
      </c>
      <c r="J120" s="113">
        <v>0</v>
      </c>
      <c r="K120" s="114">
        <v>0</v>
      </c>
      <c r="L120" s="113">
        <v>16.879440307617187</v>
      </c>
      <c r="M120" s="114">
        <v>16.879440307617187</v>
      </c>
      <c r="N120" s="113">
        <v>0</v>
      </c>
      <c r="O120" s="114">
        <v>0</v>
      </c>
      <c r="P120" s="113">
        <v>0</v>
      </c>
      <c r="Q120" s="114">
        <v>0</v>
      </c>
      <c r="R120" s="113">
        <v>0</v>
      </c>
      <c r="S120" s="114">
        <v>0</v>
      </c>
      <c r="T120" s="113">
        <v>0</v>
      </c>
      <c r="U120" s="115">
        <v>0</v>
      </c>
    </row>
    <row r="121" spans="1:21" x14ac:dyDescent="0.25">
      <c r="A121" s="14" t="s">
        <v>1460</v>
      </c>
      <c r="B121" s="116" t="s">
        <v>944</v>
      </c>
      <c r="C121" s="116" t="s">
        <v>1461</v>
      </c>
      <c r="D121" s="117">
        <v>0</v>
      </c>
      <c r="E121" s="120">
        <v>0</v>
      </c>
      <c r="F121" s="117">
        <v>0</v>
      </c>
      <c r="G121" s="120">
        <v>200</v>
      </c>
      <c r="H121" s="117">
        <v>0</v>
      </c>
      <c r="I121" s="120">
        <v>0</v>
      </c>
      <c r="J121" s="117">
        <v>0</v>
      </c>
      <c r="K121" s="120">
        <v>0</v>
      </c>
      <c r="L121" s="117">
        <v>194.82400512695312</v>
      </c>
      <c r="M121" s="120">
        <v>194.82400512695312</v>
      </c>
      <c r="N121" s="117">
        <v>0</v>
      </c>
      <c r="O121" s="120">
        <v>0</v>
      </c>
      <c r="P121" s="117">
        <v>0</v>
      </c>
      <c r="Q121" s="120">
        <v>0</v>
      </c>
      <c r="R121" s="117">
        <v>0</v>
      </c>
      <c r="S121" s="120">
        <v>0</v>
      </c>
      <c r="T121" s="117">
        <v>0</v>
      </c>
      <c r="U121" s="119">
        <v>0</v>
      </c>
    </row>
    <row r="122" spans="1:21" x14ac:dyDescent="0.25">
      <c r="A122" s="111" t="s">
        <v>1593</v>
      </c>
      <c r="B122" s="112" t="s">
        <v>689</v>
      </c>
      <c r="C122" s="112" t="s">
        <v>1594</v>
      </c>
      <c r="D122" s="113">
        <v>0</v>
      </c>
      <c r="E122" s="114">
        <v>0</v>
      </c>
      <c r="F122" s="113">
        <v>0</v>
      </c>
      <c r="G122" s="114">
        <v>2925</v>
      </c>
      <c r="H122" s="113">
        <v>0</v>
      </c>
      <c r="I122" s="114">
        <v>0</v>
      </c>
      <c r="J122" s="113">
        <v>0</v>
      </c>
      <c r="K122" s="114">
        <v>0</v>
      </c>
      <c r="L122" s="113">
        <v>622.66292190551758</v>
      </c>
      <c r="M122" s="114">
        <v>622.66292190551758</v>
      </c>
      <c r="N122" s="113">
        <v>0</v>
      </c>
      <c r="O122" s="114">
        <v>0</v>
      </c>
      <c r="P122" s="113">
        <v>0</v>
      </c>
      <c r="Q122" s="114">
        <v>0</v>
      </c>
      <c r="R122" s="113">
        <v>0</v>
      </c>
      <c r="S122" s="114">
        <v>0</v>
      </c>
      <c r="T122" s="113">
        <v>0</v>
      </c>
      <c r="U122" s="115">
        <v>0</v>
      </c>
    </row>
    <row r="123" spans="1:21" x14ac:dyDescent="0.25">
      <c r="A123" s="14" t="s">
        <v>1799</v>
      </c>
      <c r="B123" s="116" t="s">
        <v>1800</v>
      </c>
      <c r="C123" s="116" t="s">
        <v>1801</v>
      </c>
      <c r="D123" s="117">
        <v>0</v>
      </c>
      <c r="E123" s="120">
        <v>0</v>
      </c>
      <c r="F123" s="117">
        <v>0</v>
      </c>
      <c r="G123" s="120">
        <v>0</v>
      </c>
      <c r="H123" s="117">
        <v>0</v>
      </c>
      <c r="I123" s="120">
        <v>0</v>
      </c>
      <c r="J123" s="117">
        <v>0</v>
      </c>
      <c r="K123" s="120">
        <v>0</v>
      </c>
      <c r="L123" s="117">
        <v>0</v>
      </c>
      <c r="M123" s="120">
        <v>0</v>
      </c>
      <c r="N123" s="117">
        <v>0</v>
      </c>
      <c r="O123" s="120">
        <v>0</v>
      </c>
      <c r="P123" s="117">
        <v>0</v>
      </c>
      <c r="Q123" s="120">
        <v>0</v>
      </c>
      <c r="R123" s="117">
        <v>0</v>
      </c>
      <c r="S123" s="120">
        <v>0</v>
      </c>
      <c r="T123" s="117">
        <v>0</v>
      </c>
      <c r="U123" s="119">
        <v>0</v>
      </c>
    </row>
    <row r="124" spans="1:21" x14ac:dyDescent="0.25">
      <c r="A124" s="111" t="s">
        <v>1133</v>
      </c>
      <c r="B124" s="112" t="s">
        <v>1254</v>
      </c>
      <c r="C124" s="112" t="s">
        <v>57</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row>
    <row r="125" spans="1:21" x14ac:dyDescent="0.25">
      <c r="A125" s="14" t="s">
        <v>1135</v>
      </c>
      <c r="B125" s="116" t="s">
        <v>1136</v>
      </c>
      <c r="C125" s="116" t="s">
        <v>57</v>
      </c>
      <c r="D125" s="117">
        <v>0</v>
      </c>
      <c r="E125" s="120">
        <v>0</v>
      </c>
      <c r="F125" s="117">
        <v>0</v>
      </c>
      <c r="G125" s="120">
        <v>0</v>
      </c>
      <c r="H125" s="117">
        <v>0</v>
      </c>
      <c r="I125" s="120">
        <v>0</v>
      </c>
      <c r="J125" s="117">
        <v>0</v>
      </c>
      <c r="K125" s="120">
        <v>0</v>
      </c>
      <c r="L125" s="117">
        <v>0</v>
      </c>
      <c r="M125" s="120">
        <v>0</v>
      </c>
      <c r="N125" s="117">
        <v>0</v>
      </c>
      <c r="O125" s="120">
        <v>0</v>
      </c>
      <c r="P125" s="117">
        <v>0</v>
      </c>
      <c r="Q125" s="120">
        <v>0</v>
      </c>
      <c r="R125" s="117">
        <v>0</v>
      </c>
      <c r="S125" s="120">
        <v>0</v>
      </c>
      <c r="T125" s="117">
        <v>0</v>
      </c>
      <c r="U125" s="119">
        <v>0</v>
      </c>
    </row>
    <row r="126" spans="1:21" x14ac:dyDescent="0.25">
      <c r="A126" s="111" t="s">
        <v>520</v>
      </c>
      <c r="B126" s="112" t="s">
        <v>1255</v>
      </c>
      <c r="C126" s="112" t="s">
        <v>57</v>
      </c>
      <c r="D126" s="113">
        <v>21180</v>
      </c>
      <c r="E126" s="114">
        <v>0</v>
      </c>
      <c r="F126" s="113">
        <v>0</v>
      </c>
      <c r="G126" s="114">
        <v>0</v>
      </c>
      <c r="H126" s="113">
        <v>0</v>
      </c>
      <c r="I126" s="114">
        <v>0</v>
      </c>
      <c r="J126" s="113">
        <v>0</v>
      </c>
      <c r="K126" s="114">
        <v>0</v>
      </c>
      <c r="L126" s="113">
        <v>0</v>
      </c>
      <c r="M126" s="114">
        <v>0</v>
      </c>
      <c r="N126" s="113">
        <v>15470</v>
      </c>
      <c r="O126" s="114">
        <v>2660</v>
      </c>
      <c r="P126" s="113">
        <v>390</v>
      </c>
      <c r="Q126" s="114">
        <v>2660</v>
      </c>
      <c r="R126" s="113">
        <v>0</v>
      </c>
      <c r="S126" s="114">
        <v>0</v>
      </c>
      <c r="T126" s="113">
        <v>0</v>
      </c>
      <c r="U126" s="115">
        <v>0</v>
      </c>
    </row>
    <row r="127" spans="1:21" x14ac:dyDescent="0.25">
      <c r="A127" s="14" t="s">
        <v>1138</v>
      </c>
      <c r="B127" s="116" t="s">
        <v>1139</v>
      </c>
      <c r="C127" s="116" t="s">
        <v>57</v>
      </c>
      <c r="D127" s="117">
        <v>0</v>
      </c>
      <c r="E127" s="120">
        <v>0</v>
      </c>
      <c r="F127" s="117">
        <v>0</v>
      </c>
      <c r="G127" s="120">
        <v>0</v>
      </c>
      <c r="H127" s="117">
        <v>0</v>
      </c>
      <c r="I127" s="120">
        <v>0</v>
      </c>
      <c r="J127" s="117">
        <v>0</v>
      </c>
      <c r="K127" s="120">
        <v>0</v>
      </c>
      <c r="L127" s="117">
        <v>0</v>
      </c>
      <c r="M127" s="120">
        <v>0</v>
      </c>
      <c r="N127" s="117">
        <v>0</v>
      </c>
      <c r="O127" s="120">
        <v>0</v>
      </c>
      <c r="P127" s="117">
        <v>0</v>
      </c>
      <c r="Q127" s="120">
        <v>0</v>
      </c>
      <c r="R127" s="117">
        <v>0</v>
      </c>
      <c r="S127" s="120">
        <v>0</v>
      </c>
      <c r="T127" s="117">
        <v>0</v>
      </c>
      <c r="U127" s="119">
        <v>0</v>
      </c>
    </row>
    <row r="128" spans="1:21" x14ac:dyDescent="0.25">
      <c r="A128" s="111" t="s">
        <v>1256</v>
      </c>
      <c r="B128" s="112" t="s">
        <v>1257</v>
      </c>
      <c r="C128" s="112" t="s">
        <v>1258</v>
      </c>
      <c r="D128" s="113">
        <v>4684</v>
      </c>
      <c r="E128" s="114">
        <v>0</v>
      </c>
      <c r="F128" s="113">
        <v>4684</v>
      </c>
      <c r="G128" s="114">
        <v>0</v>
      </c>
      <c r="H128" s="113">
        <v>0</v>
      </c>
      <c r="I128" s="114">
        <v>0</v>
      </c>
      <c r="J128" s="113">
        <v>0</v>
      </c>
      <c r="K128" s="114">
        <v>0</v>
      </c>
      <c r="L128" s="113">
        <v>0</v>
      </c>
      <c r="M128" s="114">
        <v>0</v>
      </c>
      <c r="N128" s="113">
        <v>0</v>
      </c>
      <c r="O128" s="114">
        <v>0</v>
      </c>
      <c r="P128" s="113">
        <v>0</v>
      </c>
      <c r="Q128" s="114">
        <v>0</v>
      </c>
      <c r="R128" s="113">
        <v>0</v>
      </c>
      <c r="S128" s="114">
        <v>0</v>
      </c>
      <c r="T128" s="113">
        <v>0</v>
      </c>
      <c r="U128" s="115">
        <v>0</v>
      </c>
    </row>
    <row r="129" spans="1:21" x14ac:dyDescent="0.25">
      <c r="A129" s="14" t="s">
        <v>655</v>
      </c>
      <c r="B129" s="116" t="s">
        <v>1259</v>
      </c>
      <c r="C129" s="116" t="s">
        <v>1260</v>
      </c>
      <c r="D129" s="117">
        <v>0</v>
      </c>
      <c r="E129" s="120">
        <v>0</v>
      </c>
      <c r="F129" s="117">
        <v>0</v>
      </c>
      <c r="G129" s="120">
        <v>280</v>
      </c>
      <c r="H129" s="117">
        <v>0</v>
      </c>
      <c r="I129" s="120">
        <v>0</v>
      </c>
      <c r="J129" s="117">
        <v>0</v>
      </c>
      <c r="K129" s="120">
        <v>0</v>
      </c>
      <c r="L129" s="117">
        <v>280</v>
      </c>
      <c r="M129" s="120">
        <v>280</v>
      </c>
      <c r="N129" s="117">
        <v>0</v>
      </c>
      <c r="O129" s="120">
        <v>0</v>
      </c>
      <c r="P129" s="117">
        <v>0</v>
      </c>
      <c r="Q129" s="120">
        <v>0</v>
      </c>
      <c r="R129" s="117">
        <v>0</v>
      </c>
      <c r="S129" s="120">
        <v>0</v>
      </c>
      <c r="T129" s="117">
        <v>0</v>
      </c>
      <c r="U129" s="119">
        <v>0</v>
      </c>
    </row>
    <row r="130" spans="1:21" x14ac:dyDescent="0.25">
      <c r="A130" s="111" t="s">
        <v>1401</v>
      </c>
      <c r="B130" s="112" t="s">
        <v>1402</v>
      </c>
      <c r="C130" s="112" t="s">
        <v>1403</v>
      </c>
      <c r="D130" s="113">
        <v>0</v>
      </c>
      <c r="E130" s="114">
        <v>0</v>
      </c>
      <c r="F130" s="113">
        <v>0</v>
      </c>
      <c r="G130" s="114">
        <v>4184</v>
      </c>
      <c r="H130" s="113">
        <v>0</v>
      </c>
      <c r="I130" s="114">
        <v>0</v>
      </c>
      <c r="J130" s="113">
        <v>0</v>
      </c>
      <c r="K130" s="114">
        <v>0</v>
      </c>
      <c r="L130" s="113">
        <v>4157.25</v>
      </c>
      <c r="M130" s="114">
        <v>4157.25</v>
      </c>
      <c r="N130" s="113">
        <v>0</v>
      </c>
      <c r="O130" s="114">
        <v>0</v>
      </c>
      <c r="P130" s="113">
        <v>0</v>
      </c>
      <c r="Q130" s="114">
        <v>0</v>
      </c>
      <c r="R130" s="113">
        <v>0</v>
      </c>
      <c r="S130" s="114">
        <v>0</v>
      </c>
      <c r="T130" s="113">
        <v>0</v>
      </c>
      <c r="U130" s="115">
        <v>0</v>
      </c>
    </row>
    <row r="131" spans="1:21" x14ac:dyDescent="0.25">
      <c r="A131" s="14" t="s">
        <v>1462</v>
      </c>
      <c r="B131" s="116" t="s">
        <v>1463</v>
      </c>
      <c r="C131" s="116" t="s">
        <v>1464</v>
      </c>
      <c r="D131" s="117">
        <v>0</v>
      </c>
      <c r="E131" s="120">
        <v>0</v>
      </c>
      <c r="F131" s="117">
        <v>0</v>
      </c>
      <c r="G131" s="120">
        <v>55</v>
      </c>
      <c r="H131" s="117">
        <v>0</v>
      </c>
      <c r="I131" s="120">
        <v>46.814499855041504</v>
      </c>
      <c r="J131" s="117">
        <v>0</v>
      </c>
      <c r="K131" s="120">
        <v>46.814499855041504</v>
      </c>
      <c r="L131" s="117">
        <v>5.0538201332092285</v>
      </c>
      <c r="M131" s="120">
        <v>51.868319988250732</v>
      </c>
      <c r="N131" s="117">
        <v>0</v>
      </c>
      <c r="O131" s="120">
        <v>0</v>
      </c>
      <c r="P131" s="117">
        <v>0</v>
      </c>
      <c r="Q131" s="120">
        <v>0</v>
      </c>
      <c r="R131" s="117">
        <v>0</v>
      </c>
      <c r="S131" s="120">
        <v>0</v>
      </c>
      <c r="T131" s="117">
        <v>0</v>
      </c>
      <c r="U131" s="119">
        <v>0</v>
      </c>
    </row>
    <row r="132" spans="1:21" x14ac:dyDescent="0.25">
      <c r="A132" s="111" t="s">
        <v>1133</v>
      </c>
      <c r="B132" s="112" t="s">
        <v>1261</v>
      </c>
      <c r="C132" s="112" t="s">
        <v>57</v>
      </c>
      <c r="D132" s="113">
        <v>0</v>
      </c>
      <c r="E132" s="114">
        <v>0</v>
      </c>
      <c r="F132" s="113">
        <v>0</v>
      </c>
      <c r="G132" s="114">
        <v>0</v>
      </c>
      <c r="H132" s="113">
        <v>0</v>
      </c>
      <c r="I132" s="114">
        <v>0</v>
      </c>
      <c r="J132" s="113">
        <v>0</v>
      </c>
      <c r="K132" s="114">
        <v>0</v>
      </c>
      <c r="L132" s="113">
        <v>0</v>
      </c>
      <c r="M132" s="114">
        <v>0</v>
      </c>
      <c r="N132" s="113">
        <v>0</v>
      </c>
      <c r="O132" s="114">
        <v>0</v>
      </c>
      <c r="P132" s="113">
        <v>0</v>
      </c>
      <c r="Q132" s="114">
        <v>0</v>
      </c>
      <c r="R132" s="113">
        <v>0</v>
      </c>
      <c r="S132" s="114">
        <v>0</v>
      </c>
      <c r="T132" s="113">
        <v>0</v>
      </c>
      <c r="U132" s="115">
        <v>0</v>
      </c>
    </row>
    <row r="133" spans="1:21" x14ac:dyDescent="0.25">
      <c r="A133" s="14" t="s">
        <v>1135</v>
      </c>
      <c r="B133" s="116" t="s">
        <v>1136</v>
      </c>
      <c r="C133" s="116" t="s">
        <v>57</v>
      </c>
      <c r="D133" s="117">
        <v>0</v>
      </c>
      <c r="E133" s="120">
        <v>0</v>
      </c>
      <c r="F133" s="117">
        <v>0</v>
      </c>
      <c r="G133" s="120">
        <v>0</v>
      </c>
      <c r="H133" s="117">
        <v>0</v>
      </c>
      <c r="I133" s="120">
        <v>0</v>
      </c>
      <c r="J133" s="117">
        <v>0</v>
      </c>
      <c r="K133" s="120">
        <v>0</v>
      </c>
      <c r="L133" s="117">
        <v>0</v>
      </c>
      <c r="M133" s="120">
        <v>0</v>
      </c>
      <c r="N133" s="117">
        <v>0</v>
      </c>
      <c r="O133" s="120">
        <v>0</v>
      </c>
      <c r="P133" s="117">
        <v>0</v>
      </c>
      <c r="Q133" s="120">
        <v>0</v>
      </c>
      <c r="R133" s="117">
        <v>0</v>
      </c>
      <c r="S133" s="120">
        <v>0</v>
      </c>
      <c r="T133" s="117">
        <v>0</v>
      </c>
      <c r="U133" s="119">
        <v>0</v>
      </c>
    </row>
    <row r="134" spans="1:21" x14ac:dyDescent="0.25">
      <c r="A134" s="111" t="s">
        <v>520</v>
      </c>
      <c r="B134" s="112" t="s">
        <v>1262</v>
      </c>
      <c r="C134" s="112" t="s">
        <v>57</v>
      </c>
      <c r="D134" s="113">
        <v>118779</v>
      </c>
      <c r="E134" s="114">
        <v>0</v>
      </c>
      <c r="F134" s="113">
        <v>0</v>
      </c>
      <c r="G134" s="114">
        <v>0</v>
      </c>
      <c r="H134" s="113">
        <v>0</v>
      </c>
      <c r="I134" s="114">
        <v>0</v>
      </c>
      <c r="J134" s="113">
        <v>0</v>
      </c>
      <c r="K134" s="114">
        <v>0</v>
      </c>
      <c r="L134" s="113">
        <v>0</v>
      </c>
      <c r="M134" s="114">
        <v>0</v>
      </c>
      <c r="N134" s="113">
        <v>33549</v>
      </c>
      <c r="O134" s="114">
        <v>39434</v>
      </c>
      <c r="P134" s="113">
        <v>19449</v>
      </c>
      <c r="Q134" s="114">
        <v>26347</v>
      </c>
      <c r="R134" s="113">
        <v>0</v>
      </c>
      <c r="S134" s="114">
        <v>0</v>
      </c>
      <c r="T134" s="113">
        <v>0</v>
      </c>
      <c r="U134" s="115">
        <v>0</v>
      </c>
    </row>
    <row r="135" spans="1:21" x14ac:dyDescent="0.25">
      <c r="A135" s="14" t="s">
        <v>1138</v>
      </c>
      <c r="B135" s="116" t="s">
        <v>1139</v>
      </c>
      <c r="C135" s="116" t="s">
        <v>57</v>
      </c>
      <c r="D135" s="117">
        <v>0</v>
      </c>
      <c r="E135" s="120">
        <v>0</v>
      </c>
      <c r="F135" s="117">
        <v>0</v>
      </c>
      <c r="G135" s="120">
        <v>0</v>
      </c>
      <c r="H135" s="117">
        <v>0</v>
      </c>
      <c r="I135" s="120">
        <v>0</v>
      </c>
      <c r="J135" s="117">
        <v>0</v>
      </c>
      <c r="K135" s="120">
        <v>0</v>
      </c>
      <c r="L135" s="117">
        <v>0</v>
      </c>
      <c r="M135" s="120">
        <v>0</v>
      </c>
      <c r="N135" s="117">
        <v>0</v>
      </c>
      <c r="O135" s="120">
        <v>0</v>
      </c>
      <c r="P135" s="117">
        <v>0</v>
      </c>
      <c r="Q135" s="120">
        <v>0</v>
      </c>
      <c r="R135" s="117">
        <v>0</v>
      </c>
      <c r="S135" s="120">
        <v>0</v>
      </c>
      <c r="T135" s="117">
        <v>0</v>
      </c>
      <c r="U135" s="119">
        <v>0</v>
      </c>
    </row>
    <row r="136" spans="1:21" x14ac:dyDescent="0.25">
      <c r="A136" s="111" t="s">
        <v>1077</v>
      </c>
      <c r="B136" s="112" t="s">
        <v>1149</v>
      </c>
      <c r="C136" s="112" t="s">
        <v>1263</v>
      </c>
      <c r="D136" s="113">
        <v>0</v>
      </c>
      <c r="E136" s="114">
        <v>0</v>
      </c>
      <c r="F136" s="113">
        <v>0</v>
      </c>
      <c r="G136" s="114">
        <v>479</v>
      </c>
      <c r="H136" s="113">
        <v>0</v>
      </c>
      <c r="I136" s="114">
        <v>479.32675170898437</v>
      </c>
      <c r="J136" s="113">
        <v>0</v>
      </c>
      <c r="K136" s="114">
        <v>479.32675170898437</v>
      </c>
      <c r="L136" s="113">
        <v>0</v>
      </c>
      <c r="M136" s="114">
        <v>479.32675170898437</v>
      </c>
      <c r="N136" s="113">
        <v>0</v>
      </c>
      <c r="O136" s="114">
        <v>0</v>
      </c>
      <c r="P136" s="113">
        <v>0</v>
      </c>
      <c r="Q136" s="114">
        <v>0</v>
      </c>
      <c r="R136" s="113">
        <v>0</v>
      </c>
      <c r="S136" s="114">
        <v>0</v>
      </c>
      <c r="T136" s="113">
        <v>0</v>
      </c>
      <c r="U136" s="115">
        <v>0</v>
      </c>
    </row>
    <row r="137" spans="1:21" x14ac:dyDescent="0.25">
      <c r="A137" s="14" t="s">
        <v>1116</v>
      </c>
      <c r="B137" s="116" t="s">
        <v>1118</v>
      </c>
      <c r="C137" s="116" t="s">
        <v>1117</v>
      </c>
      <c r="D137" s="117">
        <v>0</v>
      </c>
      <c r="E137" s="120">
        <v>0</v>
      </c>
      <c r="F137" s="117">
        <v>0</v>
      </c>
      <c r="G137" s="120">
        <v>14</v>
      </c>
      <c r="H137" s="117">
        <v>0</v>
      </c>
      <c r="I137" s="120">
        <v>14.010740280151367</v>
      </c>
      <c r="J137" s="117">
        <v>0</v>
      </c>
      <c r="K137" s="120">
        <v>14.010740280151367</v>
      </c>
      <c r="L137" s="117">
        <v>0</v>
      </c>
      <c r="M137" s="120">
        <v>14.010740280151367</v>
      </c>
      <c r="N137" s="117">
        <v>0</v>
      </c>
      <c r="O137" s="120">
        <v>0</v>
      </c>
      <c r="P137" s="117">
        <v>0</v>
      </c>
      <c r="Q137" s="120">
        <v>0</v>
      </c>
      <c r="R137" s="117">
        <v>0</v>
      </c>
      <c r="S137" s="120">
        <v>0</v>
      </c>
      <c r="T137" s="117">
        <v>0</v>
      </c>
      <c r="U137" s="119">
        <v>0</v>
      </c>
    </row>
    <row r="138" spans="1:21" x14ac:dyDescent="0.25">
      <c r="A138" s="111" t="s">
        <v>1124</v>
      </c>
      <c r="B138" s="112" t="s">
        <v>1126</v>
      </c>
      <c r="C138" s="112" t="s">
        <v>1125</v>
      </c>
      <c r="D138" s="113">
        <v>0</v>
      </c>
      <c r="E138" s="114">
        <v>0</v>
      </c>
      <c r="F138" s="113">
        <v>0</v>
      </c>
      <c r="G138" s="114">
        <v>10</v>
      </c>
      <c r="H138" s="113">
        <v>0</v>
      </c>
      <c r="I138" s="114">
        <v>9.5870800018310547</v>
      </c>
      <c r="J138" s="113">
        <v>0</v>
      </c>
      <c r="K138" s="114">
        <v>9.5870800018310547</v>
      </c>
      <c r="L138" s="113">
        <v>0</v>
      </c>
      <c r="M138" s="114">
        <v>9.5870800018310547</v>
      </c>
      <c r="N138" s="113">
        <v>0</v>
      </c>
      <c r="O138" s="114">
        <v>0</v>
      </c>
      <c r="P138" s="113">
        <v>0</v>
      </c>
      <c r="Q138" s="114">
        <v>0</v>
      </c>
      <c r="R138" s="113">
        <v>0</v>
      </c>
      <c r="S138" s="114">
        <v>0</v>
      </c>
      <c r="T138" s="113">
        <v>0</v>
      </c>
      <c r="U138" s="115">
        <v>0</v>
      </c>
    </row>
    <row r="139" spans="1:21" x14ac:dyDescent="0.25">
      <c r="A139" s="14" t="s">
        <v>1120</v>
      </c>
      <c r="B139" s="116" t="s">
        <v>1122</v>
      </c>
      <c r="C139" s="116" t="s">
        <v>1121</v>
      </c>
      <c r="D139" s="117">
        <v>0</v>
      </c>
      <c r="E139" s="120">
        <v>0</v>
      </c>
      <c r="F139" s="117">
        <v>0</v>
      </c>
      <c r="G139" s="120">
        <v>11</v>
      </c>
      <c r="H139" s="117">
        <v>0</v>
      </c>
      <c r="I139" s="120">
        <v>10.502650260925293</v>
      </c>
      <c r="J139" s="117">
        <v>0</v>
      </c>
      <c r="K139" s="120">
        <v>10.502650260925293</v>
      </c>
      <c r="L139" s="117">
        <v>0</v>
      </c>
      <c r="M139" s="120">
        <v>10.502650260925293</v>
      </c>
      <c r="N139" s="117">
        <v>0</v>
      </c>
      <c r="O139" s="120">
        <v>0</v>
      </c>
      <c r="P139" s="117">
        <v>0</v>
      </c>
      <c r="Q139" s="120">
        <v>0</v>
      </c>
      <c r="R139" s="117">
        <v>0</v>
      </c>
      <c r="S139" s="120">
        <v>0</v>
      </c>
      <c r="T139" s="117">
        <v>0</v>
      </c>
      <c r="U139" s="119">
        <v>0</v>
      </c>
    </row>
    <row r="140" spans="1:21" x14ac:dyDescent="0.25">
      <c r="A140" s="111" t="s">
        <v>702</v>
      </c>
      <c r="B140" s="112" t="s">
        <v>1264</v>
      </c>
      <c r="C140" s="112" t="s">
        <v>1265</v>
      </c>
      <c r="D140" s="113">
        <v>0</v>
      </c>
      <c r="E140" s="114">
        <v>0</v>
      </c>
      <c r="F140" s="113">
        <v>0</v>
      </c>
      <c r="G140" s="114">
        <v>102</v>
      </c>
      <c r="H140" s="113">
        <v>0</v>
      </c>
      <c r="I140" s="114">
        <v>52.566009163856506</v>
      </c>
      <c r="J140" s="113">
        <v>0</v>
      </c>
      <c r="K140" s="114">
        <v>52.566009163856506</v>
      </c>
      <c r="L140" s="113">
        <v>48.807849884033203</v>
      </c>
      <c r="M140" s="114">
        <v>101.37385904788971</v>
      </c>
      <c r="N140" s="113">
        <v>0</v>
      </c>
      <c r="O140" s="114">
        <v>0</v>
      </c>
      <c r="P140" s="113">
        <v>0</v>
      </c>
      <c r="Q140" s="114">
        <v>0</v>
      </c>
      <c r="R140" s="113">
        <v>0</v>
      </c>
      <c r="S140" s="114">
        <v>0</v>
      </c>
      <c r="T140" s="113">
        <v>0</v>
      </c>
      <c r="U140" s="115">
        <v>0</v>
      </c>
    </row>
    <row r="141" spans="1:21" x14ac:dyDescent="0.25">
      <c r="A141" s="14" t="s">
        <v>701</v>
      </c>
      <c r="B141" s="116" t="s">
        <v>316</v>
      </c>
      <c r="C141" s="116" t="s">
        <v>1269</v>
      </c>
      <c r="D141" s="117">
        <v>0</v>
      </c>
      <c r="E141" s="120">
        <v>0</v>
      </c>
      <c r="F141" s="117">
        <v>0</v>
      </c>
      <c r="G141" s="120">
        <v>122</v>
      </c>
      <c r="H141" s="117">
        <v>0</v>
      </c>
      <c r="I141" s="120">
        <v>103.01386070251465</v>
      </c>
      <c r="J141" s="117">
        <v>0</v>
      </c>
      <c r="K141" s="120">
        <v>103.01386070251465</v>
      </c>
      <c r="L141" s="117">
        <v>0</v>
      </c>
      <c r="M141" s="120">
        <v>103.01386070251465</v>
      </c>
      <c r="N141" s="117">
        <v>0</v>
      </c>
      <c r="O141" s="120">
        <v>0</v>
      </c>
      <c r="P141" s="117">
        <v>0</v>
      </c>
      <c r="Q141" s="120">
        <v>0</v>
      </c>
      <c r="R141" s="117">
        <v>0</v>
      </c>
      <c r="S141" s="120">
        <v>0</v>
      </c>
      <c r="T141" s="117">
        <v>0</v>
      </c>
      <c r="U141" s="119">
        <v>0</v>
      </c>
    </row>
    <row r="142" spans="1:21" x14ac:dyDescent="0.25">
      <c r="A142" s="111" t="s">
        <v>699</v>
      </c>
      <c r="B142" s="112" t="s">
        <v>1270</v>
      </c>
      <c r="C142" s="112" t="s">
        <v>1271</v>
      </c>
      <c r="D142" s="113">
        <v>0</v>
      </c>
      <c r="E142" s="114">
        <v>0</v>
      </c>
      <c r="F142" s="113">
        <v>0</v>
      </c>
      <c r="G142" s="114">
        <v>440</v>
      </c>
      <c r="H142" s="113">
        <v>0</v>
      </c>
      <c r="I142" s="114">
        <v>183.79908752441406</v>
      </c>
      <c r="J142" s="113">
        <v>0</v>
      </c>
      <c r="K142" s="114">
        <v>183.79908752441406</v>
      </c>
      <c r="L142" s="113">
        <v>254.36210632324219</v>
      </c>
      <c r="M142" s="114">
        <v>438.16119384765625</v>
      </c>
      <c r="N142" s="113">
        <v>0</v>
      </c>
      <c r="O142" s="114">
        <v>0</v>
      </c>
      <c r="P142" s="113">
        <v>0</v>
      </c>
      <c r="Q142" s="114">
        <v>0</v>
      </c>
      <c r="R142" s="113">
        <v>0</v>
      </c>
      <c r="S142" s="114">
        <v>0</v>
      </c>
      <c r="T142" s="113">
        <v>0</v>
      </c>
      <c r="U142" s="115">
        <v>0</v>
      </c>
    </row>
    <row r="143" spans="1:21" x14ac:dyDescent="0.25">
      <c r="A143" s="14" t="s">
        <v>1275</v>
      </c>
      <c r="B143" s="116" t="s">
        <v>767</v>
      </c>
      <c r="C143" s="116" t="s">
        <v>1276</v>
      </c>
      <c r="D143" s="117">
        <v>0</v>
      </c>
      <c r="E143" s="120">
        <v>0</v>
      </c>
      <c r="F143" s="117">
        <v>0</v>
      </c>
      <c r="G143" s="120">
        <v>0</v>
      </c>
      <c r="H143" s="117">
        <v>0</v>
      </c>
      <c r="I143" s="120">
        <v>0</v>
      </c>
      <c r="J143" s="117">
        <v>0</v>
      </c>
      <c r="K143" s="120">
        <v>0</v>
      </c>
      <c r="L143" s="117">
        <v>0</v>
      </c>
      <c r="M143" s="120">
        <v>0</v>
      </c>
      <c r="N143" s="117">
        <v>0</v>
      </c>
      <c r="O143" s="120">
        <v>0</v>
      </c>
      <c r="P143" s="117">
        <v>0</v>
      </c>
      <c r="Q143" s="120">
        <v>0</v>
      </c>
      <c r="R143" s="117">
        <v>0</v>
      </c>
      <c r="S143" s="120">
        <v>0</v>
      </c>
      <c r="T143" s="117">
        <v>0</v>
      </c>
      <c r="U143" s="119">
        <v>0</v>
      </c>
    </row>
    <row r="144" spans="1:21" x14ac:dyDescent="0.25">
      <c r="A144" s="111" t="s">
        <v>1128</v>
      </c>
      <c r="B144" s="112" t="s">
        <v>1277</v>
      </c>
      <c r="C144" s="112" t="s">
        <v>1129</v>
      </c>
      <c r="D144" s="113">
        <v>0</v>
      </c>
      <c r="E144" s="114">
        <v>0</v>
      </c>
      <c r="F144" s="113">
        <v>0</v>
      </c>
      <c r="G144" s="114">
        <v>1</v>
      </c>
      <c r="H144" s="113">
        <v>0</v>
      </c>
      <c r="I144" s="114">
        <v>0.70901525020599365</v>
      </c>
      <c r="J144" s="113">
        <v>0</v>
      </c>
      <c r="K144" s="114">
        <v>0.70901525020599365</v>
      </c>
      <c r="L144" s="113">
        <v>0</v>
      </c>
      <c r="M144" s="114">
        <v>0.70901525020599365</v>
      </c>
      <c r="N144" s="113">
        <v>0</v>
      </c>
      <c r="O144" s="114">
        <v>0</v>
      </c>
      <c r="P144" s="113">
        <v>0</v>
      </c>
      <c r="Q144" s="114">
        <v>0</v>
      </c>
      <c r="R144" s="113">
        <v>0</v>
      </c>
      <c r="S144" s="114">
        <v>0</v>
      </c>
      <c r="T144" s="113">
        <v>0</v>
      </c>
      <c r="U144" s="115">
        <v>0</v>
      </c>
    </row>
    <row r="145" spans="1:21" x14ac:dyDescent="0.25">
      <c r="A145" s="14" t="s">
        <v>1278</v>
      </c>
      <c r="B145" s="116" t="s">
        <v>946</v>
      </c>
      <c r="C145" s="116" t="s">
        <v>1279</v>
      </c>
      <c r="D145" s="117">
        <v>0</v>
      </c>
      <c r="E145" s="120">
        <v>0</v>
      </c>
      <c r="F145" s="117">
        <v>0</v>
      </c>
      <c r="G145" s="120">
        <v>0</v>
      </c>
      <c r="H145" s="117">
        <v>0</v>
      </c>
      <c r="I145" s="120">
        <v>0</v>
      </c>
      <c r="J145" s="117">
        <v>0</v>
      </c>
      <c r="K145" s="120">
        <v>0</v>
      </c>
      <c r="L145" s="117">
        <v>0</v>
      </c>
      <c r="M145" s="120">
        <v>0</v>
      </c>
      <c r="N145" s="117">
        <v>0</v>
      </c>
      <c r="O145" s="120">
        <v>0</v>
      </c>
      <c r="P145" s="117">
        <v>0</v>
      </c>
      <c r="Q145" s="120">
        <v>0</v>
      </c>
      <c r="R145" s="117">
        <v>0</v>
      </c>
      <c r="S145" s="120">
        <v>0</v>
      </c>
      <c r="T145" s="117">
        <v>0</v>
      </c>
      <c r="U145" s="119">
        <v>0</v>
      </c>
    </row>
    <row r="146" spans="1:21" x14ac:dyDescent="0.25">
      <c r="A146" s="111" t="s">
        <v>519</v>
      </c>
      <c r="B146" s="112" t="s">
        <v>1280</v>
      </c>
      <c r="C146" s="112" t="s">
        <v>1281</v>
      </c>
      <c r="D146" s="113">
        <v>0</v>
      </c>
      <c r="E146" s="114">
        <v>0</v>
      </c>
      <c r="F146" s="113">
        <v>0</v>
      </c>
      <c r="G146" s="114">
        <v>2954</v>
      </c>
      <c r="H146" s="113">
        <v>0</v>
      </c>
      <c r="I146" s="114">
        <v>156.83368110656738</v>
      </c>
      <c r="J146" s="113">
        <v>0</v>
      </c>
      <c r="K146" s="114">
        <v>156.83368110656738</v>
      </c>
      <c r="L146" s="113">
        <v>756.182861328125</v>
      </c>
      <c r="M146" s="114">
        <v>913.01654243469238</v>
      </c>
      <c r="N146" s="113">
        <v>0</v>
      </c>
      <c r="O146" s="114">
        <v>0</v>
      </c>
      <c r="P146" s="113">
        <v>0</v>
      </c>
      <c r="Q146" s="114">
        <v>0</v>
      </c>
      <c r="R146" s="113">
        <v>0</v>
      </c>
      <c r="S146" s="114">
        <v>0</v>
      </c>
      <c r="T146" s="113">
        <v>0</v>
      </c>
      <c r="U146" s="115">
        <v>0</v>
      </c>
    </row>
    <row r="147" spans="1:21" x14ac:dyDescent="0.25">
      <c r="A147" s="14" t="s">
        <v>1282</v>
      </c>
      <c r="B147" s="116" t="s">
        <v>1283</v>
      </c>
      <c r="C147" s="116" t="s">
        <v>1284</v>
      </c>
      <c r="D147" s="117">
        <v>0</v>
      </c>
      <c r="E147" s="120">
        <v>0</v>
      </c>
      <c r="F147" s="117">
        <v>0</v>
      </c>
      <c r="G147" s="120">
        <v>0</v>
      </c>
      <c r="H147" s="117">
        <v>0</v>
      </c>
      <c r="I147" s="120">
        <v>0</v>
      </c>
      <c r="J147" s="117">
        <v>0</v>
      </c>
      <c r="K147" s="120">
        <v>0</v>
      </c>
      <c r="L147" s="117">
        <v>0</v>
      </c>
      <c r="M147" s="120">
        <v>0</v>
      </c>
      <c r="N147" s="117">
        <v>0</v>
      </c>
      <c r="O147" s="120">
        <v>0</v>
      </c>
      <c r="P147" s="117">
        <v>0</v>
      </c>
      <c r="Q147" s="120">
        <v>0</v>
      </c>
      <c r="R147" s="117">
        <v>0</v>
      </c>
      <c r="S147" s="120">
        <v>0</v>
      </c>
      <c r="T147" s="117">
        <v>0</v>
      </c>
      <c r="U147" s="119">
        <v>0</v>
      </c>
    </row>
    <row r="148" spans="1:21" x14ac:dyDescent="0.25">
      <c r="A148" s="111" t="s">
        <v>1106</v>
      </c>
      <c r="B148" s="112" t="s">
        <v>1285</v>
      </c>
      <c r="C148" s="112" t="s">
        <v>1107</v>
      </c>
      <c r="D148" s="113">
        <v>0</v>
      </c>
      <c r="E148" s="114">
        <v>0</v>
      </c>
      <c r="F148" s="113">
        <v>0</v>
      </c>
      <c r="G148" s="114">
        <v>1606</v>
      </c>
      <c r="H148" s="113">
        <v>0</v>
      </c>
      <c r="I148" s="114">
        <v>1236.459716796875</v>
      </c>
      <c r="J148" s="113">
        <v>0</v>
      </c>
      <c r="K148" s="114">
        <v>1236.459716796875</v>
      </c>
      <c r="L148" s="113">
        <v>0</v>
      </c>
      <c r="M148" s="114">
        <v>1236.459716796875</v>
      </c>
      <c r="N148" s="113">
        <v>0</v>
      </c>
      <c r="O148" s="114">
        <v>0</v>
      </c>
      <c r="P148" s="113">
        <v>0</v>
      </c>
      <c r="Q148" s="114">
        <v>0</v>
      </c>
      <c r="R148" s="113">
        <v>0</v>
      </c>
      <c r="S148" s="114">
        <v>0</v>
      </c>
      <c r="T148" s="113">
        <v>0</v>
      </c>
      <c r="U148" s="115">
        <v>0</v>
      </c>
    </row>
    <row r="149" spans="1:21" x14ac:dyDescent="0.25">
      <c r="A149" s="14" t="s">
        <v>1289</v>
      </c>
      <c r="B149" s="116" t="s">
        <v>1290</v>
      </c>
      <c r="C149" s="116" t="s">
        <v>1291</v>
      </c>
      <c r="D149" s="117">
        <v>0</v>
      </c>
      <c r="E149" s="120">
        <v>0</v>
      </c>
      <c r="F149" s="117">
        <v>0</v>
      </c>
      <c r="G149" s="120">
        <v>0</v>
      </c>
      <c r="H149" s="117">
        <v>0</v>
      </c>
      <c r="I149" s="120">
        <v>0</v>
      </c>
      <c r="J149" s="117">
        <v>0</v>
      </c>
      <c r="K149" s="120">
        <v>0</v>
      </c>
      <c r="L149" s="117">
        <v>0</v>
      </c>
      <c r="M149" s="120">
        <v>0</v>
      </c>
      <c r="N149" s="117">
        <v>0</v>
      </c>
      <c r="O149" s="120">
        <v>0</v>
      </c>
      <c r="P149" s="117">
        <v>0</v>
      </c>
      <c r="Q149" s="120">
        <v>0</v>
      </c>
      <c r="R149" s="117">
        <v>0</v>
      </c>
      <c r="S149" s="120">
        <v>0</v>
      </c>
      <c r="T149" s="117">
        <v>0</v>
      </c>
      <c r="U149" s="119">
        <v>0</v>
      </c>
    </row>
    <row r="150" spans="1:21" x14ac:dyDescent="0.25">
      <c r="A150" s="111" t="s">
        <v>703</v>
      </c>
      <c r="B150" s="112" t="s">
        <v>322</v>
      </c>
      <c r="C150" s="112" t="s">
        <v>1292</v>
      </c>
      <c r="D150" s="113">
        <v>0</v>
      </c>
      <c r="E150" s="114">
        <v>0</v>
      </c>
      <c r="F150" s="113">
        <v>0</v>
      </c>
      <c r="G150" s="114">
        <v>217</v>
      </c>
      <c r="H150" s="113">
        <v>0</v>
      </c>
      <c r="I150" s="114">
        <v>141.84867095947266</v>
      </c>
      <c r="J150" s="113">
        <v>0</v>
      </c>
      <c r="K150" s="114">
        <v>141.84867095947266</v>
      </c>
      <c r="L150" s="113">
        <v>56.086551666259766</v>
      </c>
      <c r="M150" s="114">
        <v>197.93522262573242</v>
      </c>
      <c r="N150" s="113">
        <v>0</v>
      </c>
      <c r="O150" s="114">
        <v>0</v>
      </c>
      <c r="P150" s="113">
        <v>0</v>
      </c>
      <c r="Q150" s="114">
        <v>0</v>
      </c>
      <c r="R150" s="113">
        <v>0</v>
      </c>
      <c r="S150" s="114">
        <v>0</v>
      </c>
      <c r="T150" s="113">
        <v>0</v>
      </c>
      <c r="U150" s="115">
        <v>0</v>
      </c>
    </row>
    <row r="151" spans="1:21" x14ac:dyDescent="0.25">
      <c r="A151" s="14" t="s">
        <v>1293</v>
      </c>
      <c r="B151" s="116" t="s">
        <v>1294</v>
      </c>
      <c r="C151" s="116" t="s">
        <v>1295</v>
      </c>
      <c r="D151" s="117">
        <v>85316</v>
      </c>
      <c r="E151" s="120">
        <v>0</v>
      </c>
      <c r="F151" s="117">
        <v>54226</v>
      </c>
      <c r="G151" s="120">
        <v>0</v>
      </c>
      <c r="H151" s="117">
        <v>12462</v>
      </c>
      <c r="I151" s="120">
        <v>0</v>
      </c>
      <c r="J151" s="117">
        <v>0</v>
      </c>
      <c r="K151" s="120">
        <v>0</v>
      </c>
      <c r="L151" s="117">
        <v>0</v>
      </c>
      <c r="M151" s="120">
        <v>0</v>
      </c>
      <c r="N151" s="117">
        <v>17762</v>
      </c>
      <c r="O151" s="120">
        <v>10187</v>
      </c>
      <c r="P151" s="117">
        <v>3141</v>
      </c>
      <c r="Q151" s="120">
        <v>0</v>
      </c>
      <c r="R151" s="117">
        <v>0</v>
      </c>
      <c r="S151" s="120">
        <v>0</v>
      </c>
      <c r="T151" s="117">
        <v>0</v>
      </c>
      <c r="U151" s="119">
        <v>0</v>
      </c>
    </row>
    <row r="152" spans="1:21" x14ac:dyDescent="0.25">
      <c r="A152" s="111" t="s">
        <v>696</v>
      </c>
      <c r="B152" s="112" t="s">
        <v>304</v>
      </c>
      <c r="C152" s="112" t="s">
        <v>1299</v>
      </c>
      <c r="D152" s="113">
        <v>0</v>
      </c>
      <c r="E152" s="114">
        <v>0</v>
      </c>
      <c r="F152" s="113">
        <v>0</v>
      </c>
      <c r="G152" s="114">
        <v>8350</v>
      </c>
      <c r="H152" s="113">
        <v>0</v>
      </c>
      <c r="I152" s="114">
        <v>4138.4391467571259</v>
      </c>
      <c r="J152" s="113">
        <v>0</v>
      </c>
      <c r="K152" s="114">
        <v>4138.4391467571259</v>
      </c>
      <c r="L152" s="113">
        <v>3214.4389572143555</v>
      </c>
      <c r="M152" s="114">
        <v>7352.8781039714813</v>
      </c>
      <c r="N152" s="113">
        <v>0</v>
      </c>
      <c r="O152" s="114">
        <v>0</v>
      </c>
      <c r="P152" s="113">
        <v>0</v>
      </c>
      <c r="Q152" s="114">
        <v>0</v>
      </c>
      <c r="R152" s="113">
        <v>0</v>
      </c>
      <c r="S152" s="114">
        <v>0</v>
      </c>
      <c r="T152" s="113">
        <v>0</v>
      </c>
      <c r="U152" s="115">
        <v>0</v>
      </c>
    </row>
    <row r="153" spans="1:21" x14ac:dyDescent="0.25">
      <c r="A153" s="14" t="s">
        <v>707</v>
      </c>
      <c r="B153" s="116" t="s">
        <v>1300</v>
      </c>
      <c r="C153" s="116" t="s">
        <v>1301</v>
      </c>
      <c r="D153" s="117">
        <v>0</v>
      </c>
      <c r="E153" s="120">
        <v>0</v>
      </c>
      <c r="F153" s="117">
        <v>0</v>
      </c>
      <c r="G153" s="120">
        <v>684</v>
      </c>
      <c r="H153" s="117">
        <v>0</v>
      </c>
      <c r="I153" s="120">
        <v>265.6845703125</v>
      </c>
      <c r="J153" s="117">
        <v>0</v>
      </c>
      <c r="K153" s="120">
        <v>265.6845703125</v>
      </c>
      <c r="L153" s="117">
        <v>0</v>
      </c>
      <c r="M153" s="120">
        <v>265.6845703125</v>
      </c>
      <c r="N153" s="117">
        <v>0</v>
      </c>
      <c r="O153" s="120">
        <v>0</v>
      </c>
      <c r="P153" s="117">
        <v>0</v>
      </c>
      <c r="Q153" s="120">
        <v>0</v>
      </c>
      <c r="R153" s="117">
        <v>0</v>
      </c>
      <c r="S153" s="120">
        <v>0</v>
      </c>
      <c r="T153" s="117">
        <v>0</v>
      </c>
      <c r="U153" s="119">
        <v>0</v>
      </c>
    </row>
    <row r="154" spans="1:21" x14ac:dyDescent="0.25">
      <c r="A154" s="111" t="s">
        <v>518</v>
      </c>
      <c r="B154" s="112" t="s">
        <v>1302</v>
      </c>
      <c r="C154" s="112" t="s">
        <v>1303</v>
      </c>
      <c r="D154" s="113">
        <v>0</v>
      </c>
      <c r="E154" s="114">
        <v>0</v>
      </c>
      <c r="F154" s="113">
        <v>0</v>
      </c>
      <c r="G154" s="114">
        <v>6163</v>
      </c>
      <c r="H154" s="113">
        <v>0</v>
      </c>
      <c r="I154" s="114">
        <v>810.03533935546875</v>
      </c>
      <c r="J154" s="113">
        <v>0</v>
      </c>
      <c r="K154" s="114">
        <v>810.03533935546875</v>
      </c>
      <c r="L154" s="113">
        <v>24.569290161132813</v>
      </c>
      <c r="M154" s="114">
        <v>834.60462951660156</v>
      </c>
      <c r="N154" s="113">
        <v>0</v>
      </c>
      <c r="O154" s="114">
        <v>0</v>
      </c>
      <c r="P154" s="113">
        <v>0</v>
      </c>
      <c r="Q154" s="114">
        <v>0</v>
      </c>
      <c r="R154" s="113">
        <v>0</v>
      </c>
      <c r="S154" s="114">
        <v>0</v>
      </c>
      <c r="T154" s="113">
        <v>0</v>
      </c>
      <c r="U154" s="115">
        <v>0</v>
      </c>
    </row>
    <row r="155" spans="1:21" x14ac:dyDescent="0.25">
      <c r="A155" s="14" t="s">
        <v>711</v>
      </c>
      <c r="B155" s="116" t="s">
        <v>712</v>
      </c>
      <c r="C155" s="116" t="s">
        <v>1304</v>
      </c>
      <c r="D155" s="117">
        <v>0</v>
      </c>
      <c r="E155" s="120">
        <v>0</v>
      </c>
      <c r="F155" s="117">
        <v>0</v>
      </c>
      <c r="G155" s="120">
        <v>120</v>
      </c>
      <c r="H155" s="117">
        <v>0</v>
      </c>
      <c r="I155" s="120">
        <v>0</v>
      </c>
      <c r="J155" s="117">
        <v>0</v>
      </c>
      <c r="K155" s="120">
        <v>0</v>
      </c>
      <c r="L155" s="117">
        <v>0</v>
      </c>
      <c r="M155" s="120">
        <v>0</v>
      </c>
      <c r="N155" s="117">
        <v>0</v>
      </c>
      <c r="O155" s="120">
        <v>0</v>
      </c>
      <c r="P155" s="117">
        <v>0</v>
      </c>
      <c r="Q155" s="120">
        <v>0</v>
      </c>
      <c r="R155" s="117">
        <v>0</v>
      </c>
      <c r="S155" s="120">
        <v>0</v>
      </c>
      <c r="T155" s="117">
        <v>0</v>
      </c>
      <c r="U155" s="119">
        <v>0</v>
      </c>
    </row>
    <row r="156" spans="1:21" x14ac:dyDescent="0.25">
      <c r="A156" s="111" t="s">
        <v>1114</v>
      </c>
      <c r="B156" s="112" t="s">
        <v>1112</v>
      </c>
      <c r="C156" s="112" t="s">
        <v>1115</v>
      </c>
      <c r="D156" s="113">
        <v>0</v>
      </c>
      <c r="E156" s="114">
        <v>0</v>
      </c>
      <c r="F156" s="113">
        <v>0</v>
      </c>
      <c r="G156" s="114">
        <v>300</v>
      </c>
      <c r="H156" s="113">
        <v>0</v>
      </c>
      <c r="I156" s="114">
        <v>0</v>
      </c>
      <c r="J156" s="113">
        <v>0</v>
      </c>
      <c r="K156" s="114">
        <v>0</v>
      </c>
      <c r="L156" s="113">
        <v>0</v>
      </c>
      <c r="M156" s="114">
        <v>0</v>
      </c>
      <c r="N156" s="113">
        <v>0</v>
      </c>
      <c r="O156" s="114">
        <v>0</v>
      </c>
      <c r="P156" s="113">
        <v>0</v>
      </c>
      <c r="Q156" s="114">
        <v>0</v>
      </c>
      <c r="R156" s="113">
        <v>0</v>
      </c>
      <c r="S156" s="114">
        <v>0</v>
      </c>
      <c r="T156" s="113">
        <v>0</v>
      </c>
      <c r="U156" s="115">
        <v>0</v>
      </c>
    </row>
    <row r="157" spans="1:21" x14ac:dyDescent="0.25">
      <c r="A157" s="14" t="s">
        <v>1307</v>
      </c>
      <c r="B157" s="116" t="s">
        <v>1308</v>
      </c>
      <c r="C157" s="116" t="s">
        <v>1309</v>
      </c>
      <c r="D157" s="117">
        <v>0</v>
      </c>
      <c r="E157" s="120">
        <v>0</v>
      </c>
      <c r="F157" s="117">
        <v>0</v>
      </c>
      <c r="G157" s="120">
        <v>373</v>
      </c>
      <c r="H157" s="117">
        <v>0</v>
      </c>
      <c r="I157" s="120">
        <v>69.509599685668945</v>
      </c>
      <c r="J157" s="117">
        <v>0</v>
      </c>
      <c r="K157" s="120">
        <v>69.509599685668945</v>
      </c>
      <c r="L157" s="117">
        <v>176.40750122070312</v>
      </c>
      <c r="M157" s="120">
        <v>245.91710090637207</v>
      </c>
      <c r="N157" s="117">
        <v>0</v>
      </c>
      <c r="O157" s="120">
        <v>0</v>
      </c>
      <c r="P157" s="117">
        <v>0</v>
      </c>
      <c r="Q157" s="120">
        <v>0</v>
      </c>
      <c r="R157" s="117">
        <v>0</v>
      </c>
      <c r="S157" s="120">
        <v>0</v>
      </c>
      <c r="T157" s="117">
        <v>0</v>
      </c>
      <c r="U157" s="119">
        <v>0</v>
      </c>
    </row>
    <row r="158" spans="1:21" x14ac:dyDescent="0.25">
      <c r="A158" s="111" t="s">
        <v>1110</v>
      </c>
      <c r="B158" s="112" t="s">
        <v>708</v>
      </c>
      <c r="C158" s="112" t="s">
        <v>1111</v>
      </c>
      <c r="D158" s="113">
        <v>0</v>
      </c>
      <c r="E158" s="114">
        <v>0</v>
      </c>
      <c r="F158" s="113">
        <v>0</v>
      </c>
      <c r="G158" s="114">
        <v>693</v>
      </c>
      <c r="H158" s="113">
        <v>0</v>
      </c>
      <c r="I158" s="114">
        <v>693.4403076171875</v>
      </c>
      <c r="J158" s="113">
        <v>0</v>
      </c>
      <c r="K158" s="114">
        <v>693.4403076171875</v>
      </c>
      <c r="L158" s="113">
        <v>0</v>
      </c>
      <c r="M158" s="114">
        <v>693.4403076171875</v>
      </c>
      <c r="N158" s="113">
        <v>0</v>
      </c>
      <c r="O158" s="114">
        <v>0</v>
      </c>
      <c r="P158" s="113">
        <v>0</v>
      </c>
      <c r="Q158" s="114">
        <v>0</v>
      </c>
      <c r="R158" s="113">
        <v>0</v>
      </c>
      <c r="S158" s="114">
        <v>0</v>
      </c>
      <c r="T158" s="113">
        <v>0</v>
      </c>
      <c r="U158" s="115">
        <v>0</v>
      </c>
    </row>
    <row r="159" spans="1:21" x14ac:dyDescent="0.25">
      <c r="A159" s="14" t="s">
        <v>697</v>
      </c>
      <c r="B159" s="116" t="s">
        <v>1310</v>
      </c>
      <c r="C159" s="116" t="s">
        <v>1311</v>
      </c>
      <c r="D159" s="117">
        <v>0</v>
      </c>
      <c r="E159" s="120">
        <v>0</v>
      </c>
      <c r="F159" s="117">
        <v>0</v>
      </c>
      <c r="G159" s="120">
        <v>350</v>
      </c>
      <c r="H159" s="117">
        <v>0</v>
      </c>
      <c r="I159" s="120">
        <v>41.252120971679688</v>
      </c>
      <c r="J159" s="117">
        <v>0</v>
      </c>
      <c r="K159" s="120">
        <v>41.252120971679688</v>
      </c>
      <c r="L159" s="117">
        <v>7.4446201324462891</v>
      </c>
      <c r="M159" s="120">
        <v>48.696741104125977</v>
      </c>
      <c r="N159" s="117">
        <v>0</v>
      </c>
      <c r="O159" s="120">
        <v>0</v>
      </c>
      <c r="P159" s="117">
        <v>0</v>
      </c>
      <c r="Q159" s="120">
        <v>0</v>
      </c>
      <c r="R159" s="117">
        <v>0</v>
      </c>
      <c r="S159" s="120">
        <v>0</v>
      </c>
      <c r="T159" s="117">
        <v>0</v>
      </c>
      <c r="U159" s="119">
        <v>0</v>
      </c>
    </row>
    <row r="160" spans="1:21" x14ac:dyDescent="0.25">
      <c r="A160" s="111" t="s">
        <v>521</v>
      </c>
      <c r="B160" s="112" t="s">
        <v>1312</v>
      </c>
      <c r="C160" s="112" t="s">
        <v>1313</v>
      </c>
      <c r="D160" s="113">
        <v>0</v>
      </c>
      <c r="E160" s="114">
        <v>0</v>
      </c>
      <c r="F160" s="113">
        <v>0</v>
      </c>
      <c r="G160" s="114">
        <v>0</v>
      </c>
      <c r="H160" s="113">
        <v>0</v>
      </c>
      <c r="I160" s="114">
        <v>0</v>
      </c>
      <c r="J160" s="113">
        <v>0</v>
      </c>
      <c r="K160" s="114">
        <v>0</v>
      </c>
      <c r="L160" s="113">
        <v>0</v>
      </c>
      <c r="M160" s="114">
        <v>0</v>
      </c>
      <c r="N160" s="113">
        <v>0</v>
      </c>
      <c r="O160" s="114">
        <v>0</v>
      </c>
      <c r="P160" s="113">
        <v>0</v>
      </c>
      <c r="Q160" s="114">
        <v>0</v>
      </c>
      <c r="R160" s="113">
        <v>0</v>
      </c>
      <c r="S160" s="114">
        <v>0</v>
      </c>
      <c r="T160" s="113">
        <v>0</v>
      </c>
      <c r="U160" s="115">
        <v>0</v>
      </c>
    </row>
    <row r="161" spans="1:21" x14ac:dyDescent="0.25">
      <c r="A161" s="14" t="s">
        <v>523</v>
      </c>
      <c r="B161" s="116" t="s">
        <v>522</v>
      </c>
      <c r="C161" s="116" t="s">
        <v>1314</v>
      </c>
      <c r="D161" s="117">
        <v>0</v>
      </c>
      <c r="E161" s="120">
        <v>0</v>
      </c>
      <c r="F161" s="117">
        <v>0</v>
      </c>
      <c r="G161" s="120">
        <v>0</v>
      </c>
      <c r="H161" s="117">
        <v>0</v>
      </c>
      <c r="I161" s="120">
        <v>0</v>
      </c>
      <c r="J161" s="117">
        <v>0</v>
      </c>
      <c r="K161" s="120">
        <v>0</v>
      </c>
      <c r="L161" s="117">
        <v>0</v>
      </c>
      <c r="M161" s="120">
        <v>0</v>
      </c>
      <c r="N161" s="117">
        <v>0</v>
      </c>
      <c r="O161" s="120">
        <v>0</v>
      </c>
      <c r="P161" s="117">
        <v>0</v>
      </c>
      <c r="Q161" s="120">
        <v>0</v>
      </c>
      <c r="R161" s="117">
        <v>0</v>
      </c>
      <c r="S161" s="120">
        <v>0</v>
      </c>
      <c r="T161" s="117">
        <v>0</v>
      </c>
      <c r="U161" s="119">
        <v>0</v>
      </c>
    </row>
    <row r="162" spans="1:21" x14ac:dyDescent="0.25">
      <c r="A162" s="111" t="s">
        <v>1103</v>
      </c>
      <c r="B162" s="112" t="s">
        <v>1315</v>
      </c>
      <c r="C162" s="112" t="s">
        <v>1104</v>
      </c>
      <c r="D162" s="113">
        <v>0</v>
      </c>
      <c r="E162" s="114">
        <v>0</v>
      </c>
      <c r="F162" s="113">
        <v>0</v>
      </c>
      <c r="G162" s="114">
        <v>1225</v>
      </c>
      <c r="H162" s="113">
        <v>0</v>
      </c>
      <c r="I162" s="114">
        <v>0</v>
      </c>
      <c r="J162" s="113">
        <v>0</v>
      </c>
      <c r="K162" s="114">
        <v>0</v>
      </c>
      <c r="L162" s="113">
        <v>1080</v>
      </c>
      <c r="M162" s="114">
        <v>1080</v>
      </c>
      <c r="N162" s="113">
        <v>0</v>
      </c>
      <c r="O162" s="114">
        <v>0</v>
      </c>
      <c r="P162" s="113">
        <v>0</v>
      </c>
      <c r="Q162" s="114">
        <v>0</v>
      </c>
      <c r="R162" s="113">
        <v>0</v>
      </c>
      <c r="S162" s="114">
        <v>0</v>
      </c>
      <c r="T162" s="113">
        <v>0</v>
      </c>
      <c r="U162" s="115">
        <v>0</v>
      </c>
    </row>
    <row r="163" spans="1:21" x14ac:dyDescent="0.25">
      <c r="A163" s="14" t="s">
        <v>1316</v>
      </c>
      <c r="B163" s="116" t="s">
        <v>1317</v>
      </c>
      <c r="C163" s="116" t="s">
        <v>1318</v>
      </c>
      <c r="D163" s="117">
        <v>0</v>
      </c>
      <c r="E163" s="120">
        <v>0</v>
      </c>
      <c r="F163" s="117">
        <v>0</v>
      </c>
      <c r="G163" s="120">
        <v>3223</v>
      </c>
      <c r="H163" s="117">
        <v>0</v>
      </c>
      <c r="I163" s="120">
        <v>142.675537109375</v>
      </c>
      <c r="J163" s="117">
        <v>0</v>
      </c>
      <c r="K163" s="120">
        <v>142.675537109375</v>
      </c>
      <c r="L163" s="117">
        <v>2855.5419702529907</v>
      </c>
      <c r="M163" s="120">
        <v>2998.2175073623657</v>
      </c>
      <c r="N163" s="117">
        <v>0</v>
      </c>
      <c r="O163" s="120">
        <v>0</v>
      </c>
      <c r="P163" s="117">
        <v>0</v>
      </c>
      <c r="Q163" s="120">
        <v>0</v>
      </c>
      <c r="R163" s="117">
        <v>0</v>
      </c>
      <c r="S163" s="120">
        <v>0</v>
      </c>
      <c r="T163" s="117">
        <v>0</v>
      </c>
      <c r="U163" s="119">
        <v>0</v>
      </c>
    </row>
    <row r="164" spans="1:21" x14ac:dyDescent="0.25">
      <c r="A164" s="111" t="s">
        <v>953</v>
      </c>
      <c r="B164" s="112" t="s">
        <v>954</v>
      </c>
      <c r="C164" s="112" t="s">
        <v>1319</v>
      </c>
      <c r="D164" s="113">
        <v>0</v>
      </c>
      <c r="E164" s="114">
        <v>0</v>
      </c>
      <c r="F164" s="113">
        <v>0</v>
      </c>
      <c r="G164" s="114">
        <v>600</v>
      </c>
      <c r="H164" s="113">
        <v>0</v>
      </c>
      <c r="I164" s="114">
        <v>599.97772216796875</v>
      </c>
      <c r="J164" s="113">
        <v>0</v>
      </c>
      <c r="K164" s="114">
        <v>599.97772216796875</v>
      </c>
      <c r="L164" s="113">
        <v>0</v>
      </c>
      <c r="M164" s="114">
        <v>599.97772216796875</v>
      </c>
      <c r="N164" s="113">
        <v>0</v>
      </c>
      <c r="O164" s="114">
        <v>0</v>
      </c>
      <c r="P164" s="113">
        <v>0</v>
      </c>
      <c r="Q164" s="114">
        <v>0</v>
      </c>
      <c r="R164" s="113">
        <v>0</v>
      </c>
      <c r="S164" s="114">
        <v>0</v>
      </c>
      <c r="T164" s="113">
        <v>0</v>
      </c>
      <c r="U164" s="115">
        <v>0</v>
      </c>
    </row>
    <row r="165" spans="1:21" x14ac:dyDescent="0.25">
      <c r="A165" s="14" t="s">
        <v>1102</v>
      </c>
      <c r="B165" s="116" t="s">
        <v>310</v>
      </c>
      <c r="C165" s="116" t="s">
        <v>1320</v>
      </c>
      <c r="D165" s="117">
        <v>0</v>
      </c>
      <c r="E165" s="120">
        <v>0</v>
      </c>
      <c r="F165" s="117">
        <v>0</v>
      </c>
      <c r="G165" s="120">
        <v>504</v>
      </c>
      <c r="H165" s="117">
        <v>0</v>
      </c>
      <c r="I165" s="120">
        <v>96.815998077392578</v>
      </c>
      <c r="J165" s="117">
        <v>0</v>
      </c>
      <c r="K165" s="120">
        <v>96.815998077392578</v>
      </c>
      <c r="L165" s="117">
        <v>407.36207246780396</v>
      </c>
      <c r="M165" s="120">
        <v>504.17807054519653</v>
      </c>
      <c r="N165" s="117">
        <v>0</v>
      </c>
      <c r="O165" s="120">
        <v>0</v>
      </c>
      <c r="P165" s="117">
        <v>0</v>
      </c>
      <c r="Q165" s="120">
        <v>0</v>
      </c>
      <c r="R165" s="117">
        <v>0</v>
      </c>
      <c r="S165" s="120">
        <v>0</v>
      </c>
      <c r="T165" s="117">
        <v>0</v>
      </c>
      <c r="U165" s="119">
        <v>0</v>
      </c>
    </row>
    <row r="166" spans="1:21" x14ac:dyDescent="0.25">
      <c r="A166" s="111" t="s">
        <v>1084</v>
      </c>
      <c r="B166" s="112" t="s">
        <v>1321</v>
      </c>
      <c r="C166" s="112" t="s">
        <v>1322</v>
      </c>
      <c r="D166" s="113">
        <v>0</v>
      </c>
      <c r="E166" s="114">
        <v>0</v>
      </c>
      <c r="F166" s="113">
        <v>0</v>
      </c>
      <c r="G166" s="114">
        <v>216</v>
      </c>
      <c r="H166" s="113">
        <v>0</v>
      </c>
      <c r="I166" s="114">
        <v>11.423999786376953</v>
      </c>
      <c r="J166" s="113">
        <v>0</v>
      </c>
      <c r="K166" s="114">
        <v>11.423999786376953</v>
      </c>
      <c r="L166" s="113">
        <v>204.57600402832031</v>
      </c>
      <c r="M166" s="114">
        <v>216.00000381469727</v>
      </c>
      <c r="N166" s="113">
        <v>0</v>
      </c>
      <c r="O166" s="114">
        <v>0</v>
      </c>
      <c r="P166" s="113">
        <v>0</v>
      </c>
      <c r="Q166" s="114">
        <v>0</v>
      </c>
      <c r="R166" s="113">
        <v>0</v>
      </c>
      <c r="S166" s="114">
        <v>0</v>
      </c>
      <c r="T166" s="113">
        <v>0</v>
      </c>
      <c r="U166" s="115">
        <v>0</v>
      </c>
    </row>
    <row r="167" spans="1:21" x14ac:dyDescent="0.25">
      <c r="A167" s="14" t="s">
        <v>990</v>
      </c>
      <c r="B167" s="116" t="s">
        <v>1277</v>
      </c>
      <c r="C167" s="116" t="s">
        <v>1323</v>
      </c>
      <c r="D167" s="117">
        <v>0</v>
      </c>
      <c r="E167" s="120">
        <v>0</v>
      </c>
      <c r="F167" s="117">
        <v>0</v>
      </c>
      <c r="G167" s="120">
        <v>1500</v>
      </c>
      <c r="H167" s="117">
        <v>0</v>
      </c>
      <c r="I167" s="120">
        <v>0</v>
      </c>
      <c r="J167" s="117">
        <v>0</v>
      </c>
      <c r="K167" s="120">
        <v>0</v>
      </c>
      <c r="L167" s="117">
        <v>1496.0580673217773</v>
      </c>
      <c r="M167" s="120">
        <v>1496.0580673217773</v>
      </c>
      <c r="N167" s="117">
        <v>0</v>
      </c>
      <c r="O167" s="120">
        <v>0</v>
      </c>
      <c r="P167" s="117">
        <v>0</v>
      </c>
      <c r="Q167" s="120">
        <v>0</v>
      </c>
      <c r="R167" s="117">
        <v>0</v>
      </c>
      <c r="S167" s="120">
        <v>0</v>
      </c>
      <c r="T167" s="117">
        <v>0</v>
      </c>
      <c r="U167" s="119">
        <v>0</v>
      </c>
    </row>
    <row r="168" spans="1:21" x14ac:dyDescent="0.25">
      <c r="A168" s="111" t="s">
        <v>992</v>
      </c>
      <c r="B168" s="112" t="s">
        <v>967</v>
      </c>
      <c r="C168" s="112" t="s">
        <v>1324</v>
      </c>
      <c r="D168" s="113">
        <v>0</v>
      </c>
      <c r="E168" s="114">
        <v>0</v>
      </c>
      <c r="F168" s="113">
        <v>0</v>
      </c>
      <c r="G168" s="114">
        <v>278</v>
      </c>
      <c r="H168" s="113">
        <v>0</v>
      </c>
      <c r="I168" s="114">
        <v>108.51967239379883</v>
      </c>
      <c r="J168" s="113">
        <v>0</v>
      </c>
      <c r="K168" s="114">
        <v>108.51967239379883</v>
      </c>
      <c r="L168" s="113">
        <v>169.582275390625</v>
      </c>
      <c r="M168" s="114">
        <v>278.10194778442383</v>
      </c>
      <c r="N168" s="113">
        <v>0</v>
      </c>
      <c r="O168" s="114">
        <v>0</v>
      </c>
      <c r="P168" s="113">
        <v>0</v>
      </c>
      <c r="Q168" s="114">
        <v>0</v>
      </c>
      <c r="R168" s="113">
        <v>0</v>
      </c>
      <c r="S168" s="114">
        <v>0</v>
      </c>
      <c r="T168" s="113">
        <v>0</v>
      </c>
      <c r="U168" s="115">
        <v>0</v>
      </c>
    </row>
    <row r="169" spans="1:21" x14ac:dyDescent="0.25">
      <c r="A169" s="14" t="s">
        <v>1404</v>
      </c>
      <c r="B169" s="116" t="s">
        <v>1405</v>
      </c>
      <c r="C169" s="116" t="s">
        <v>1406</v>
      </c>
      <c r="D169" s="117">
        <v>0</v>
      </c>
      <c r="E169" s="120">
        <v>0</v>
      </c>
      <c r="F169" s="117">
        <v>0</v>
      </c>
      <c r="G169" s="120">
        <v>245</v>
      </c>
      <c r="H169" s="117">
        <v>0</v>
      </c>
      <c r="I169" s="120">
        <v>0</v>
      </c>
      <c r="J169" s="117">
        <v>0</v>
      </c>
      <c r="K169" s="120">
        <v>0</v>
      </c>
      <c r="L169" s="117">
        <v>232.37596130371094</v>
      </c>
      <c r="M169" s="120">
        <v>232.37596130371094</v>
      </c>
      <c r="N169" s="117">
        <v>0</v>
      </c>
      <c r="O169" s="120">
        <v>0</v>
      </c>
      <c r="P169" s="117">
        <v>0</v>
      </c>
      <c r="Q169" s="120">
        <v>0</v>
      </c>
      <c r="R169" s="117">
        <v>0</v>
      </c>
      <c r="S169" s="120">
        <v>0</v>
      </c>
      <c r="T169" s="117">
        <v>0</v>
      </c>
      <c r="U169" s="119">
        <v>0</v>
      </c>
    </row>
    <row r="170" spans="1:21" x14ac:dyDescent="0.25">
      <c r="A170" s="111" t="s">
        <v>1080</v>
      </c>
      <c r="B170" s="112" t="s">
        <v>1325</v>
      </c>
      <c r="C170" s="112" t="s">
        <v>1326</v>
      </c>
      <c r="D170" s="113">
        <v>0</v>
      </c>
      <c r="E170" s="114">
        <v>0</v>
      </c>
      <c r="F170" s="113">
        <v>0</v>
      </c>
      <c r="G170" s="114">
        <v>814</v>
      </c>
      <c r="H170" s="113">
        <v>0</v>
      </c>
      <c r="I170" s="114">
        <v>813.67767333984375</v>
      </c>
      <c r="J170" s="113">
        <v>0</v>
      </c>
      <c r="K170" s="114">
        <v>813.67767333984375</v>
      </c>
      <c r="L170" s="113">
        <v>0</v>
      </c>
      <c r="M170" s="114">
        <v>813.67767333984375</v>
      </c>
      <c r="N170" s="113">
        <v>0</v>
      </c>
      <c r="O170" s="114">
        <v>0</v>
      </c>
      <c r="P170" s="113">
        <v>0</v>
      </c>
      <c r="Q170" s="114">
        <v>0</v>
      </c>
      <c r="R170" s="113">
        <v>0</v>
      </c>
      <c r="S170" s="114">
        <v>0</v>
      </c>
      <c r="T170" s="113">
        <v>0</v>
      </c>
      <c r="U170" s="115">
        <v>0</v>
      </c>
    </row>
    <row r="171" spans="1:21" x14ac:dyDescent="0.25">
      <c r="A171" s="14" t="s">
        <v>1087</v>
      </c>
      <c r="B171" s="116" t="s">
        <v>966</v>
      </c>
      <c r="C171" s="116" t="s">
        <v>1327</v>
      </c>
      <c r="D171" s="117">
        <v>0</v>
      </c>
      <c r="E171" s="120">
        <v>0</v>
      </c>
      <c r="F171" s="117">
        <v>0</v>
      </c>
      <c r="G171" s="120">
        <v>155</v>
      </c>
      <c r="H171" s="117">
        <v>0</v>
      </c>
      <c r="I171" s="120">
        <v>0</v>
      </c>
      <c r="J171" s="117">
        <v>0</v>
      </c>
      <c r="K171" s="120">
        <v>0</v>
      </c>
      <c r="L171" s="117">
        <v>154.5</v>
      </c>
      <c r="M171" s="120">
        <v>154.5</v>
      </c>
      <c r="N171" s="117">
        <v>0</v>
      </c>
      <c r="O171" s="120">
        <v>0</v>
      </c>
      <c r="P171" s="117">
        <v>0</v>
      </c>
      <c r="Q171" s="120">
        <v>0</v>
      </c>
      <c r="R171" s="117">
        <v>0</v>
      </c>
      <c r="S171" s="120">
        <v>0</v>
      </c>
      <c r="T171" s="117">
        <v>0</v>
      </c>
      <c r="U171" s="119">
        <v>0</v>
      </c>
    </row>
    <row r="172" spans="1:21" x14ac:dyDescent="0.25">
      <c r="A172" s="111" t="s">
        <v>991</v>
      </c>
      <c r="B172" s="112" t="s">
        <v>965</v>
      </c>
      <c r="C172" s="112" t="s">
        <v>1328</v>
      </c>
      <c r="D172" s="113">
        <v>0</v>
      </c>
      <c r="E172" s="114">
        <v>0</v>
      </c>
      <c r="F172" s="113">
        <v>0</v>
      </c>
      <c r="G172" s="114">
        <v>247</v>
      </c>
      <c r="H172" s="113">
        <v>0</v>
      </c>
      <c r="I172" s="114">
        <v>35.544418334960938</v>
      </c>
      <c r="J172" s="113">
        <v>0</v>
      </c>
      <c r="K172" s="114">
        <v>35.544418334960938</v>
      </c>
      <c r="L172" s="113">
        <v>211.65557861328125</v>
      </c>
      <c r="M172" s="114">
        <v>247.19999694824219</v>
      </c>
      <c r="N172" s="113">
        <v>0</v>
      </c>
      <c r="O172" s="114">
        <v>0</v>
      </c>
      <c r="P172" s="113">
        <v>0</v>
      </c>
      <c r="Q172" s="114">
        <v>0</v>
      </c>
      <c r="R172" s="113">
        <v>0</v>
      </c>
      <c r="S172" s="114">
        <v>0</v>
      </c>
      <c r="T172" s="113">
        <v>0</v>
      </c>
      <c r="U172" s="115">
        <v>0</v>
      </c>
    </row>
    <row r="173" spans="1:21" x14ac:dyDescent="0.25">
      <c r="A173" s="14" t="s">
        <v>1083</v>
      </c>
      <c r="B173" s="116" t="s">
        <v>1329</v>
      </c>
      <c r="C173" s="116" t="s">
        <v>1330</v>
      </c>
      <c r="D173" s="117">
        <v>0</v>
      </c>
      <c r="E173" s="120">
        <v>0</v>
      </c>
      <c r="F173" s="117">
        <v>0</v>
      </c>
      <c r="G173" s="120">
        <v>871</v>
      </c>
      <c r="H173" s="117">
        <v>0</v>
      </c>
      <c r="I173" s="120">
        <v>0</v>
      </c>
      <c r="J173" s="117">
        <v>0</v>
      </c>
      <c r="K173" s="120">
        <v>0</v>
      </c>
      <c r="L173" s="117">
        <v>384.39999389648437</v>
      </c>
      <c r="M173" s="120">
        <v>384.39999389648437</v>
      </c>
      <c r="N173" s="117">
        <v>0</v>
      </c>
      <c r="O173" s="120">
        <v>0</v>
      </c>
      <c r="P173" s="117">
        <v>0</v>
      </c>
      <c r="Q173" s="120">
        <v>0</v>
      </c>
      <c r="R173" s="117">
        <v>0</v>
      </c>
      <c r="S173" s="120">
        <v>0</v>
      </c>
      <c r="T173" s="117">
        <v>0</v>
      </c>
      <c r="U173" s="119">
        <v>0</v>
      </c>
    </row>
    <row r="174" spans="1:21" x14ac:dyDescent="0.25">
      <c r="A174" s="111" t="s">
        <v>1487</v>
      </c>
      <c r="B174" s="112" t="s">
        <v>1488</v>
      </c>
      <c r="C174" s="112" t="s">
        <v>1489</v>
      </c>
      <c r="D174" s="113">
        <v>0</v>
      </c>
      <c r="E174" s="114">
        <v>0</v>
      </c>
      <c r="F174" s="113">
        <v>0</v>
      </c>
      <c r="G174" s="114">
        <v>150</v>
      </c>
      <c r="H174" s="113">
        <v>0</v>
      </c>
      <c r="I174" s="114">
        <v>0</v>
      </c>
      <c r="J174" s="113">
        <v>0</v>
      </c>
      <c r="K174" s="114">
        <v>0</v>
      </c>
      <c r="L174" s="113">
        <v>0</v>
      </c>
      <c r="M174" s="114">
        <v>0</v>
      </c>
      <c r="N174" s="113">
        <v>0</v>
      </c>
      <c r="O174" s="114">
        <v>0</v>
      </c>
      <c r="P174" s="113">
        <v>0</v>
      </c>
      <c r="Q174" s="114">
        <v>0</v>
      </c>
      <c r="R174" s="113">
        <v>0</v>
      </c>
      <c r="S174" s="114">
        <v>0</v>
      </c>
      <c r="T174" s="113">
        <v>0</v>
      </c>
      <c r="U174" s="115">
        <v>0</v>
      </c>
    </row>
    <row r="175" spans="1:21" x14ac:dyDescent="0.25">
      <c r="A175" s="14" t="s">
        <v>1418</v>
      </c>
      <c r="B175" s="116" t="s">
        <v>1419</v>
      </c>
      <c r="C175" s="116" t="s">
        <v>1420</v>
      </c>
      <c r="D175" s="117">
        <v>0</v>
      </c>
      <c r="E175" s="120">
        <v>0</v>
      </c>
      <c r="F175" s="117">
        <v>0</v>
      </c>
      <c r="G175" s="120">
        <v>141</v>
      </c>
      <c r="H175" s="117">
        <v>0</v>
      </c>
      <c r="I175" s="120">
        <v>0</v>
      </c>
      <c r="J175" s="117">
        <v>0</v>
      </c>
      <c r="K175" s="120">
        <v>0</v>
      </c>
      <c r="L175" s="117">
        <v>141.22349548339844</v>
      </c>
      <c r="M175" s="120">
        <v>141.22349548339844</v>
      </c>
      <c r="N175" s="117">
        <v>0</v>
      </c>
      <c r="O175" s="120">
        <v>0</v>
      </c>
      <c r="P175" s="117">
        <v>0</v>
      </c>
      <c r="Q175" s="120">
        <v>0</v>
      </c>
      <c r="R175" s="117">
        <v>0</v>
      </c>
      <c r="S175" s="120">
        <v>0</v>
      </c>
      <c r="T175" s="117">
        <v>0</v>
      </c>
      <c r="U175" s="119">
        <v>0</v>
      </c>
    </row>
    <row r="176" spans="1:21" x14ac:dyDescent="0.25">
      <c r="A176" s="111" t="s">
        <v>1524</v>
      </c>
      <c r="B176" s="112" t="s">
        <v>1525</v>
      </c>
      <c r="C176" s="112" t="s">
        <v>1526</v>
      </c>
      <c r="D176" s="113">
        <v>0</v>
      </c>
      <c r="E176" s="114">
        <v>0</v>
      </c>
      <c r="F176" s="113">
        <v>0</v>
      </c>
      <c r="G176" s="114">
        <v>420</v>
      </c>
      <c r="H176" s="113">
        <v>0</v>
      </c>
      <c r="I176" s="114">
        <v>0</v>
      </c>
      <c r="J176" s="113">
        <v>0</v>
      </c>
      <c r="K176" s="114">
        <v>0</v>
      </c>
      <c r="L176" s="113">
        <v>420.44839477539062</v>
      </c>
      <c r="M176" s="114">
        <v>420.44839477539062</v>
      </c>
      <c r="N176" s="113">
        <v>0</v>
      </c>
      <c r="O176" s="114">
        <v>0</v>
      </c>
      <c r="P176" s="113">
        <v>0</v>
      </c>
      <c r="Q176" s="114">
        <v>0</v>
      </c>
      <c r="R176" s="113">
        <v>0</v>
      </c>
      <c r="S176" s="114">
        <v>0</v>
      </c>
      <c r="T176" s="113">
        <v>0</v>
      </c>
      <c r="U176" s="115">
        <v>0</v>
      </c>
    </row>
    <row r="177" spans="1:21" x14ac:dyDescent="0.25">
      <c r="A177" s="14" t="s">
        <v>1547</v>
      </c>
      <c r="B177" s="116" t="s">
        <v>1548</v>
      </c>
      <c r="C177" s="116" t="s">
        <v>1549</v>
      </c>
      <c r="D177" s="117">
        <v>0</v>
      </c>
      <c r="E177" s="120">
        <v>0</v>
      </c>
      <c r="F177" s="117">
        <v>0</v>
      </c>
      <c r="G177" s="120">
        <v>800</v>
      </c>
      <c r="H177" s="117">
        <v>0</v>
      </c>
      <c r="I177" s="120">
        <v>0</v>
      </c>
      <c r="J177" s="117">
        <v>0</v>
      </c>
      <c r="K177" s="120">
        <v>0</v>
      </c>
      <c r="L177" s="117">
        <v>800</v>
      </c>
      <c r="M177" s="120">
        <v>800</v>
      </c>
      <c r="N177" s="117">
        <v>0</v>
      </c>
      <c r="O177" s="120">
        <v>0</v>
      </c>
      <c r="P177" s="117">
        <v>0</v>
      </c>
      <c r="Q177" s="120">
        <v>0</v>
      </c>
      <c r="R177" s="117">
        <v>0</v>
      </c>
      <c r="S177" s="120">
        <v>0</v>
      </c>
      <c r="T177" s="117">
        <v>0</v>
      </c>
      <c r="U177" s="119">
        <v>0</v>
      </c>
    </row>
    <row r="178" spans="1:21" x14ac:dyDescent="0.25">
      <c r="A178" s="111" t="s">
        <v>1571</v>
      </c>
      <c r="B178" s="112" t="s">
        <v>1537</v>
      </c>
      <c r="C178" s="112" t="s">
        <v>1572</v>
      </c>
      <c r="D178" s="113">
        <v>0</v>
      </c>
      <c r="E178" s="114">
        <v>0</v>
      </c>
      <c r="F178" s="113">
        <v>0</v>
      </c>
      <c r="G178" s="114">
        <v>500</v>
      </c>
      <c r="H178" s="113">
        <v>0</v>
      </c>
      <c r="I178" s="114">
        <v>0</v>
      </c>
      <c r="J178" s="113">
        <v>0</v>
      </c>
      <c r="K178" s="114">
        <v>0</v>
      </c>
      <c r="L178" s="113">
        <v>439.99998474121094</v>
      </c>
      <c r="M178" s="114">
        <v>439.99998474121094</v>
      </c>
      <c r="N178" s="113">
        <v>0</v>
      </c>
      <c r="O178" s="114">
        <v>0</v>
      </c>
      <c r="P178" s="113">
        <v>0</v>
      </c>
      <c r="Q178" s="114">
        <v>0</v>
      </c>
      <c r="R178" s="113">
        <v>0</v>
      </c>
      <c r="S178" s="114">
        <v>0</v>
      </c>
      <c r="T178" s="113">
        <v>0</v>
      </c>
      <c r="U178" s="115">
        <v>0</v>
      </c>
    </row>
    <row r="179" spans="1:21" x14ac:dyDescent="0.25">
      <c r="A179" s="14" t="s">
        <v>1573</v>
      </c>
      <c r="B179" s="116" t="s">
        <v>1511</v>
      </c>
      <c r="C179" s="116" t="s">
        <v>1574</v>
      </c>
      <c r="D179" s="117">
        <v>0</v>
      </c>
      <c r="E179" s="120">
        <v>0</v>
      </c>
      <c r="F179" s="117">
        <v>0</v>
      </c>
      <c r="G179" s="120">
        <v>760</v>
      </c>
      <c r="H179" s="117">
        <v>0</v>
      </c>
      <c r="I179" s="120">
        <v>0</v>
      </c>
      <c r="J179" s="117">
        <v>0</v>
      </c>
      <c r="K179" s="120">
        <v>0</v>
      </c>
      <c r="L179" s="117">
        <v>572.49600219726562</v>
      </c>
      <c r="M179" s="120">
        <v>572.49600219726562</v>
      </c>
      <c r="N179" s="117">
        <v>0</v>
      </c>
      <c r="O179" s="120">
        <v>0</v>
      </c>
      <c r="P179" s="117">
        <v>0</v>
      </c>
      <c r="Q179" s="120">
        <v>0</v>
      </c>
      <c r="R179" s="117">
        <v>0</v>
      </c>
      <c r="S179" s="120">
        <v>0</v>
      </c>
      <c r="T179" s="117">
        <v>0</v>
      </c>
      <c r="U179" s="119">
        <v>0</v>
      </c>
    </row>
    <row r="180" spans="1:21" x14ac:dyDescent="0.25">
      <c r="A180" s="111" t="s">
        <v>1575</v>
      </c>
      <c r="B180" s="112" t="s">
        <v>787</v>
      </c>
      <c r="C180" s="112" t="s">
        <v>1576</v>
      </c>
      <c r="D180" s="113">
        <v>0</v>
      </c>
      <c r="E180" s="114">
        <v>0</v>
      </c>
      <c r="F180" s="113">
        <v>0</v>
      </c>
      <c r="G180" s="114">
        <v>1865</v>
      </c>
      <c r="H180" s="113">
        <v>0</v>
      </c>
      <c r="I180" s="114">
        <v>0</v>
      </c>
      <c r="J180" s="113">
        <v>0</v>
      </c>
      <c r="K180" s="114">
        <v>0</v>
      </c>
      <c r="L180" s="113">
        <v>1678.5040016174316</v>
      </c>
      <c r="M180" s="114">
        <v>1678.5040016174316</v>
      </c>
      <c r="N180" s="113">
        <v>0</v>
      </c>
      <c r="O180" s="114">
        <v>0</v>
      </c>
      <c r="P180" s="113">
        <v>0</v>
      </c>
      <c r="Q180" s="114">
        <v>0</v>
      </c>
      <c r="R180" s="113">
        <v>0</v>
      </c>
      <c r="S180" s="114">
        <v>0</v>
      </c>
      <c r="T180" s="113">
        <v>0</v>
      </c>
      <c r="U180" s="115">
        <v>0</v>
      </c>
    </row>
    <row r="181" spans="1:21" x14ac:dyDescent="0.25">
      <c r="A181" s="14" t="s">
        <v>1577</v>
      </c>
      <c r="B181" s="116" t="s">
        <v>1578</v>
      </c>
      <c r="C181" s="116" t="s">
        <v>1579</v>
      </c>
      <c r="D181" s="117">
        <v>0</v>
      </c>
      <c r="E181" s="120">
        <v>0</v>
      </c>
      <c r="F181" s="117">
        <v>0</v>
      </c>
      <c r="G181" s="120">
        <v>179</v>
      </c>
      <c r="H181" s="117">
        <v>0</v>
      </c>
      <c r="I181" s="120">
        <v>0</v>
      </c>
      <c r="J181" s="117">
        <v>0</v>
      </c>
      <c r="K181" s="120">
        <v>0</v>
      </c>
      <c r="L181" s="117">
        <v>0</v>
      </c>
      <c r="M181" s="120">
        <v>0</v>
      </c>
      <c r="N181" s="117">
        <v>0</v>
      </c>
      <c r="O181" s="120">
        <v>0</v>
      </c>
      <c r="P181" s="117">
        <v>0</v>
      </c>
      <c r="Q181" s="120">
        <v>0</v>
      </c>
      <c r="R181" s="117">
        <v>0</v>
      </c>
      <c r="S181" s="120">
        <v>0</v>
      </c>
      <c r="T181" s="117">
        <v>0</v>
      </c>
      <c r="U181" s="119">
        <v>0</v>
      </c>
    </row>
    <row r="182" spans="1:21" x14ac:dyDescent="0.25">
      <c r="A182" s="111" t="s">
        <v>1663</v>
      </c>
      <c r="B182" s="112" t="s">
        <v>1606</v>
      </c>
      <c r="C182" s="112" t="s">
        <v>1664</v>
      </c>
      <c r="D182" s="113">
        <v>0</v>
      </c>
      <c r="E182" s="114">
        <v>0</v>
      </c>
      <c r="F182" s="113">
        <v>0</v>
      </c>
      <c r="G182" s="114">
        <v>0</v>
      </c>
      <c r="H182" s="113">
        <v>0</v>
      </c>
      <c r="I182" s="114">
        <v>0</v>
      </c>
      <c r="J182" s="113">
        <v>0</v>
      </c>
      <c r="K182" s="114">
        <v>0</v>
      </c>
      <c r="L182" s="113">
        <v>0</v>
      </c>
      <c r="M182" s="114">
        <v>0</v>
      </c>
      <c r="N182" s="113">
        <v>0</v>
      </c>
      <c r="O182" s="114">
        <v>0</v>
      </c>
      <c r="P182" s="113">
        <v>0</v>
      </c>
      <c r="Q182" s="114">
        <v>0</v>
      </c>
      <c r="R182" s="113">
        <v>0</v>
      </c>
      <c r="S182" s="114">
        <v>0</v>
      </c>
      <c r="T182" s="113">
        <v>0</v>
      </c>
      <c r="U182" s="115">
        <v>0</v>
      </c>
    </row>
    <row r="183" spans="1:21" x14ac:dyDescent="0.25">
      <c r="A183" s="14" t="s">
        <v>1665</v>
      </c>
      <c r="B183" s="116" t="s">
        <v>1600</v>
      </c>
      <c r="C183" s="116" t="s">
        <v>1666</v>
      </c>
      <c r="D183" s="117">
        <v>0</v>
      </c>
      <c r="E183" s="120">
        <v>0</v>
      </c>
      <c r="F183" s="117">
        <v>0</v>
      </c>
      <c r="G183" s="120">
        <v>26</v>
      </c>
      <c r="H183" s="117">
        <v>0</v>
      </c>
      <c r="I183" s="120">
        <v>0</v>
      </c>
      <c r="J183" s="117">
        <v>0</v>
      </c>
      <c r="K183" s="120">
        <v>0</v>
      </c>
      <c r="L183" s="117">
        <v>25.677000045776367</v>
      </c>
      <c r="M183" s="120">
        <v>25.677000045776367</v>
      </c>
      <c r="N183" s="117">
        <v>0</v>
      </c>
      <c r="O183" s="120">
        <v>0</v>
      </c>
      <c r="P183" s="117">
        <v>0</v>
      </c>
      <c r="Q183" s="120">
        <v>0</v>
      </c>
      <c r="R183" s="117">
        <v>0</v>
      </c>
      <c r="S183" s="120">
        <v>0</v>
      </c>
      <c r="T183" s="117">
        <v>0</v>
      </c>
      <c r="U183" s="119">
        <v>0</v>
      </c>
    </row>
    <row r="184" spans="1:21" x14ac:dyDescent="0.25">
      <c r="A184" s="111" t="s">
        <v>1667</v>
      </c>
      <c r="B184" s="112" t="s">
        <v>968</v>
      </c>
      <c r="C184" s="112" t="s">
        <v>1668</v>
      </c>
      <c r="D184" s="113">
        <v>0</v>
      </c>
      <c r="E184" s="114">
        <v>0</v>
      </c>
      <c r="F184" s="113">
        <v>0</v>
      </c>
      <c r="G184" s="114">
        <v>68</v>
      </c>
      <c r="H184" s="113">
        <v>0</v>
      </c>
      <c r="I184" s="114">
        <v>0</v>
      </c>
      <c r="J184" s="113">
        <v>0</v>
      </c>
      <c r="K184" s="114">
        <v>0</v>
      </c>
      <c r="L184" s="113">
        <v>68.472000122070313</v>
      </c>
      <c r="M184" s="114">
        <v>68.472000122070313</v>
      </c>
      <c r="N184" s="113">
        <v>0</v>
      </c>
      <c r="O184" s="114">
        <v>0</v>
      </c>
      <c r="P184" s="113">
        <v>0</v>
      </c>
      <c r="Q184" s="114">
        <v>0</v>
      </c>
      <c r="R184" s="113">
        <v>0</v>
      </c>
      <c r="S184" s="114">
        <v>0</v>
      </c>
      <c r="T184" s="113">
        <v>0</v>
      </c>
      <c r="U184" s="115">
        <v>0</v>
      </c>
    </row>
    <row r="185" spans="1:21" x14ac:dyDescent="0.25">
      <c r="A185" s="14" t="s">
        <v>1669</v>
      </c>
      <c r="B185" s="116" t="s">
        <v>778</v>
      </c>
      <c r="C185" s="116" t="s">
        <v>1670</v>
      </c>
      <c r="D185" s="117">
        <v>0</v>
      </c>
      <c r="E185" s="120">
        <v>0</v>
      </c>
      <c r="F185" s="117">
        <v>0</v>
      </c>
      <c r="G185" s="120">
        <v>860</v>
      </c>
      <c r="H185" s="117">
        <v>0</v>
      </c>
      <c r="I185" s="120">
        <v>0</v>
      </c>
      <c r="J185" s="117">
        <v>0</v>
      </c>
      <c r="K185" s="120">
        <v>0</v>
      </c>
      <c r="L185" s="117">
        <v>0</v>
      </c>
      <c r="M185" s="120">
        <v>0</v>
      </c>
      <c r="N185" s="117">
        <v>0</v>
      </c>
      <c r="O185" s="120">
        <v>0</v>
      </c>
      <c r="P185" s="117">
        <v>0</v>
      </c>
      <c r="Q185" s="120">
        <v>0</v>
      </c>
      <c r="R185" s="117">
        <v>0</v>
      </c>
      <c r="S185" s="120">
        <v>0</v>
      </c>
      <c r="T185" s="117">
        <v>0</v>
      </c>
      <c r="U185" s="119">
        <v>0</v>
      </c>
    </row>
    <row r="186" spans="1:21" x14ac:dyDescent="0.25">
      <c r="A186" s="111" t="s">
        <v>1708</v>
      </c>
      <c r="B186" s="112" t="s">
        <v>798</v>
      </c>
      <c r="C186" s="112" t="s">
        <v>1709</v>
      </c>
      <c r="D186" s="113">
        <v>0</v>
      </c>
      <c r="E186" s="114">
        <v>0</v>
      </c>
      <c r="F186" s="113">
        <v>0</v>
      </c>
      <c r="G186" s="114">
        <v>12</v>
      </c>
      <c r="H186" s="113">
        <v>0</v>
      </c>
      <c r="I186" s="114">
        <v>0</v>
      </c>
      <c r="J186" s="113">
        <v>0</v>
      </c>
      <c r="K186" s="114">
        <v>0</v>
      </c>
      <c r="L186" s="113">
        <v>0</v>
      </c>
      <c r="M186" s="114">
        <v>0</v>
      </c>
      <c r="N186" s="113">
        <v>0</v>
      </c>
      <c r="O186" s="114">
        <v>0</v>
      </c>
      <c r="P186" s="113">
        <v>0</v>
      </c>
      <c r="Q186" s="114">
        <v>0</v>
      </c>
      <c r="R186" s="113">
        <v>0</v>
      </c>
      <c r="S186" s="114">
        <v>0</v>
      </c>
      <c r="T186" s="113">
        <v>0</v>
      </c>
      <c r="U186" s="115">
        <v>0</v>
      </c>
    </row>
    <row r="187" spans="1:21" x14ac:dyDescent="0.25">
      <c r="A187" s="14" t="s">
        <v>1710</v>
      </c>
      <c r="B187" s="116" t="s">
        <v>1706</v>
      </c>
      <c r="C187" s="116" t="s">
        <v>1711</v>
      </c>
      <c r="D187" s="117">
        <v>0</v>
      </c>
      <c r="E187" s="120">
        <v>0</v>
      </c>
      <c r="F187" s="117">
        <v>0</v>
      </c>
      <c r="G187" s="120">
        <v>99</v>
      </c>
      <c r="H187" s="117">
        <v>0</v>
      </c>
      <c r="I187" s="120">
        <v>0</v>
      </c>
      <c r="J187" s="117">
        <v>0</v>
      </c>
      <c r="K187" s="120">
        <v>0</v>
      </c>
      <c r="L187" s="117">
        <v>99.022499084472656</v>
      </c>
      <c r="M187" s="120">
        <v>99.022499084472656</v>
      </c>
      <c r="N187" s="117">
        <v>0</v>
      </c>
      <c r="O187" s="120">
        <v>0</v>
      </c>
      <c r="P187" s="117">
        <v>0</v>
      </c>
      <c r="Q187" s="120">
        <v>0</v>
      </c>
      <c r="R187" s="117">
        <v>0</v>
      </c>
      <c r="S187" s="120">
        <v>0</v>
      </c>
      <c r="T187" s="117">
        <v>0</v>
      </c>
      <c r="U187" s="119">
        <v>0</v>
      </c>
    </row>
    <row r="188" spans="1:21" x14ac:dyDescent="0.25">
      <c r="A188" s="111" t="s">
        <v>1133</v>
      </c>
      <c r="B188" s="112" t="s">
        <v>1331</v>
      </c>
      <c r="C188" s="112" t="s">
        <v>57</v>
      </c>
      <c r="D188" s="113">
        <v>0</v>
      </c>
      <c r="E188" s="114">
        <v>0</v>
      </c>
      <c r="F188" s="113">
        <v>0</v>
      </c>
      <c r="G188" s="114">
        <v>0</v>
      </c>
      <c r="H188" s="113">
        <v>0</v>
      </c>
      <c r="I188" s="114">
        <v>0</v>
      </c>
      <c r="J188" s="113">
        <v>0</v>
      </c>
      <c r="K188" s="114">
        <v>0</v>
      </c>
      <c r="L188" s="113">
        <v>0</v>
      </c>
      <c r="M188" s="114">
        <v>0</v>
      </c>
      <c r="N188" s="113">
        <v>0</v>
      </c>
      <c r="O188" s="114">
        <v>0</v>
      </c>
      <c r="P188" s="113">
        <v>0</v>
      </c>
      <c r="Q188" s="114">
        <v>0</v>
      </c>
      <c r="R188" s="113">
        <v>0</v>
      </c>
      <c r="S188" s="114">
        <v>0</v>
      </c>
      <c r="T188" s="113">
        <v>0</v>
      </c>
      <c r="U188" s="115">
        <v>0</v>
      </c>
    </row>
    <row r="189" spans="1:21" x14ac:dyDescent="0.25">
      <c r="A189" s="14" t="s">
        <v>1135</v>
      </c>
      <c r="B189" s="116" t="s">
        <v>1136</v>
      </c>
      <c r="C189" s="116" t="s">
        <v>57</v>
      </c>
      <c r="D189" s="117">
        <v>0</v>
      </c>
      <c r="E189" s="120">
        <v>0</v>
      </c>
      <c r="F189" s="117">
        <v>0</v>
      </c>
      <c r="G189" s="120">
        <v>0</v>
      </c>
      <c r="H189" s="117">
        <v>0</v>
      </c>
      <c r="I189" s="120">
        <v>0</v>
      </c>
      <c r="J189" s="117">
        <v>0</v>
      </c>
      <c r="K189" s="120">
        <v>0</v>
      </c>
      <c r="L189" s="117">
        <v>0</v>
      </c>
      <c r="M189" s="120">
        <v>0</v>
      </c>
      <c r="N189" s="117">
        <v>0</v>
      </c>
      <c r="O189" s="120">
        <v>0</v>
      </c>
      <c r="P189" s="117">
        <v>0</v>
      </c>
      <c r="Q189" s="120">
        <v>0</v>
      </c>
      <c r="R189" s="117">
        <v>0</v>
      </c>
      <c r="S189" s="120">
        <v>0</v>
      </c>
      <c r="T189" s="117">
        <v>0</v>
      </c>
      <c r="U189" s="119">
        <v>0</v>
      </c>
    </row>
    <row r="190" spans="1:21" x14ac:dyDescent="0.25">
      <c r="A190" s="111" t="s">
        <v>1332</v>
      </c>
      <c r="B190" s="112" t="s">
        <v>1333</v>
      </c>
      <c r="C190" s="112" t="s">
        <v>1449</v>
      </c>
      <c r="D190" s="113">
        <v>1746</v>
      </c>
      <c r="E190" s="114">
        <v>0</v>
      </c>
      <c r="F190" s="113">
        <v>90</v>
      </c>
      <c r="G190" s="114">
        <v>0</v>
      </c>
      <c r="H190" s="113">
        <v>0</v>
      </c>
      <c r="I190" s="114">
        <v>0</v>
      </c>
      <c r="J190" s="113">
        <v>0</v>
      </c>
      <c r="K190" s="114">
        <v>0</v>
      </c>
      <c r="L190" s="113">
        <v>0</v>
      </c>
      <c r="M190" s="114">
        <v>0</v>
      </c>
      <c r="N190" s="113">
        <v>1656</v>
      </c>
      <c r="O190" s="114">
        <v>0</v>
      </c>
      <c r="P190" s="113">
        <v>0</v>
      </c>
      <c r="Q190" s="114">
        <v>0</v>
      </c>
      <c r="R190" s="113">
        <v>0</v>
      </c>
      <c r="S190" s="114">
        <v>0</v>
      </c>
      <c r="T190" s="113">
        <v>0</v>
      </c>
      <c r="U190" s="115">
        <v>0</v>
      </c>
    </row>
    <row r="191" spans="1:21" x14ac:dyDescent="0.25">
      <c r="A191" s="14" t="s">
        <v>1365</v>
      </c>
      <c r="B191" s="116" t="s">
        <v>1450</v>
      </c>
      <c r="C191" s="116" t="s">
        <v>1451</v>
      </c>
      <c r="D191" s="117">
        <v>0</v>
      </c>
      <c r="E191" s="120">
        <v>0</v>
      </c>
      <c r="F191" s="117">
        <v>0</v>
      </c>
      <c r="G191" s="120">
        <v>0</v>
      </c>
      <c r="H191" s="117">
        <v>0</v>
      </c>
      <c r="I191" s="120">
        <v>0</v>
      </c>
      <c r="J191" s="117">
        <v>0</v>
      </c>
      <c r="K191" s="120">
        <v>0</v>
      </c>
      <c r="L191" s="117">
        <v>0</v>
      </c>
      <c r="M191" s="120">
        <v>0</v>
      </c>
      <c r="N191" s="117">
        <v>0</v>
      </c>
      <c r="O191" s="120">
        <v>0</v>
      </c>
      <c r="P191" s="117">
        <v>0</v>
      </c>
      <c r="Q191" s="120">
        <v>0</v>
      </c>
      <c r="R191" s="117">
        <v>0</v>
      </c>
      <c r="S191" s="120">
        <v>0</v>
      </c>
      <c r="T191" s="117">
        <v>0</v>
      </c>
      <c r="U191" s="119">
        <v>0</v>
      </c>
    </row>
    <row r="192" spans="1:21" x14ac:dyDescent="0.25">
      <c r="A192" s="111" t="s">
        <v>520</v>
      </c>
      <c r="B192" s="112" t="s">
        <v>1137</v>
      </c>
      <c r="C192" s="112" t="s">
        <v>57</v>
      </c>
      <c r="D192" s="113">
        <v>3710</v>
      </c>
      <c r="E192" s="114">
        <v>0</v>
      </c>
      <c r="F192" s="113">
        <v>0</v>
      </c>
      <c r="G192" s="114">
        <v>0</v>
      </c>
      <c r="H192" s="113">
        <v>0</v>
      </c>
      <c r="I192" s="114">
        <v>0</v>
      </c>
      <c r="J192" s="113">
        <v>0</v>
      </c>
      <c r="K192" s="114">
        <v>0</v>
      </c>
      <c r="L192" s="113">
        <v>0</v>
      </c>
      <c r="M192" s="114">
        <v>0</v>
      </c>
      <c r="N192" s="113">
        <v>208</v>
      </c>
      <c r="O192" s="114">
        <v>2982</v>
      </c>
      <c r="P192" s="113">
        <v>350</v>
      </c>
      <c r="Q192" s="114">
        <v>170</v>
      </c>
      <c r="R192" s="113">
        <v>0</v>
      </c>
      <c r="S192" s="114">
        <v>0</v>
      </c>
      <c r="T192" s="113">
        <v>0</v>
      </c>
      <c r="U192" s="115">
        <v>0</v>
      </c>
    </row>
    <row r="193" spans="1:21" x14ac:dyDescent="0.25">
      <c r="A193" s="14" t="s">
        <v>1138</v>
      </c>
      <c r="B193" s="116" t="s">
        <v>1139</v>
      </c>
      <c r="C193" s="116" t="s">
        <v>57</v>
      </c>
      <c r="D193" s="117">
        <v>3092</v>
      </c>
      <c r="E193" s="120">
        <v>0</v>
      </c>
      <c r="F193" s="117">
        <v>0</v>
      </c>
      <c r="G193" s="120">
        <v>0</v>
      </c>
      <c r="H193" s="117">
        <v>0</v>
      </c>
      <c r="I193" s="120">
        <v>0</v>
      </c>
      <c r="J193" s="117">
        <v>0</v>
      </c>
      <c r="K193" s="120">
        <v>0</v>
      </c>
      <c r="L193" s="117">
        <v>0</v>
      </c>
      <c r="M193" s="120">
        <v>0</v>
      </c>
      <c r="N193" s="117">
        <v>0</v>
      </c>
      <c r="O193" s="120">
        <v>0</v>
      </c>
      <c r="P193" s="117">
        <v>0</v>
      </c>
      <c r="Q193" s="120">
        <v>0</v>
      </c>
      <c r="R193" s="117">
        <v>0</v>
      </c>
      <c r="S193" s="120">
        <v>0</v>
      </c>
      <c r="T193" s="117">
        <v>0</v>
      </c>
      <c r="U193" s="119">
        <v>0</v>
      </c>
    </row>
    <row r="194" spans="1:21" x14ac:dyDescent="0.25">
      <c r="A194" s="111" t="s">
        <v>1133</v>
      </c>
      <c r="B194" s="112" t="s">
        <v>1254</v>
      </c>
      <c r="C194" s="112" t="s">
        <v>57</v>
      </c>
      <c r="D194" s="113">
        <v>0</v>
      </c>
      <c r="E194" s="114">
        <v>0</v>
      </c>
      <c r="F194" s="113">
        <v>0</v>
      </c>
      <c r="G194" s="114">
        <v>0</v>
      </c>
      <c r="H194" s="113">
        <v>0</v>
      </c>
      <c r="I194" s="114">
        <v>0</v>
      </c>
      <c r="J194" s="113">
        <v>0</v>
      </c>
      <c r="K194" s="114">
        <v>0</v>
      </c>
      <c r="L194" s="113">
        <v>0</v>
      </c>
      <c r="M194" s="114">
        <v>0</v>
      </c>
      <c r="N194" s="113">
        <v>0</v>
      </c>
      <c r="O194" s="114">
        <v>0</v>
      </c>
      <c r="P194" s="113">
        <v>0</v>
      </c>
      <c r="Q194" s="114">
        <v>0</v>
      </c>
      <c r="R194" s="113">
        <v>0</v>
      </c>
      <c r="S194" s="114">
        <v>0</v>
      </c>
      <c r="T194" s="113">
        <v>0</v>
      </c>
      <c r="U194" s="115">
        <v>0</v>
      </c>
    </row>
    <row r="195" spans="1:21" x14ac:dyDescent="0.25">
      <c r="A195" s="14" t="s">
        <v>1135</v>
      </c>
      <c r="B195" s="116" t="s">
        <v>1136</v>
      </c>
      <c r="C195" s="116" t="s">
        <v>57</v>
      </c>
      <c r="D195" s="117">
        <v>0</v>
      </c>
      <c r="E195" s="120">
        <v>0</v>
      </c>
      <c r="F195" s="117">
        <v>0</v>
      </c>
      <c r="G195" s="120">
        <v>0</v>
      </c>
      <c r="H195" s="117">
        <v>0</v>
      </c>
      <c r="I195" s="120">
        <v>0</v>
      </c>
      <c r="J195" s="117">
        <v>0</v>
      </c>
      <c r="K195" s="120">
        <v>0</v>
      </c>
      <c r="L195" s="117">
        <v>0</v>
      </c>
      <c r="M195" s="120">
        <v>0</v>
      </c>
      <c r="N195" s="117">
        <v>0</v>
      </c>
      <c r="O195" s="120">
        <v>0</v>
      </c>
      <c r="P195" s="117">
        <v>0</v>
      </c>
      <c r="Q195" s="120">
        <v>0</v>
      </c>
      <c r="R195" s="117">
        <v>0</v>
      </c>
      <c r="S195" s="120">
        <v>0</v>
      </c>
      <c r="T195" s="117">
        <v>0</v>
      </c>
      <c r="U195" s="119">
        <v>0</v>
      </c>
    </row>
    <row r="196" spans="1:21" x14ac:dyDescent="0.25">
      <c r="A196" s="111" t="s">
        <v>520</v>
      </c>
      <c r="B196" s="112" t="s">
        <v>1335</v>
      </c>
      <c r="C196" s="112" t="s">
        <v>57</v>
      </c>
      <c r="D196" s="113">
        <v>625</v>
      </c>
      <c r="E196" s="114">
        <v>0</v>
      </c>
      <c r="F196" s="113">
        <v>0</v>
      </c>
      <c r="G196" s="114">
        <v>0</v>
      </c>
      <c r="H196" s="113">
        <v>0</v>
      </c>
      <c r="I196" s="114">
        <v>0</v>
      </c>
      <c r="J196" s="113">
        <v>0</v>
      </c>
      <c r="K196" s="114">
        <v>0</v>
      </c>
      <c r="L196" s="113">
        <v>0</v>
      </c>
      <c r="M196" s="114">
        <v>0</v>
      </c>
      <c r="N196" s="113">
        <v>75</v>
      </c>
      <c r="O196" s="114">
        <v>150</v>
      </c>
      <c r="P196" s="113">
        <v>150</v>
      </c>
      <c r="Q196" s="114">
        <v>250</v>
      </c>
      <c r="R196" s="113">
        <v>0</v>
      </c>
      <c r="S196" s="114">
        <v>0</v>
      </c>
      <c r="T196" s="113">
        <v>0</v>
      </c>
      <c r="U196" s="115">
        <v>0</v>
      </c>
    </row>
    <row r="197" spans="1:21" x14ac:dyDescent="0.25">
      <c r="A197" s="14" t="s">
        <v>1138</v>
      </c>
      <c r="B197" s="116" t="s">
        <v>1139</v>
      </c>
      <c r="C197" s="116" t="s">
        <v>57</v>
      </c>
      <c r="D197" s="117">
        <v>0</v>
      </c>
      <c r="E197" s="120">
        <v>0</v>
      </c>
      <c r="F197" s="117">
        <v>0</v>
      </c>
      <c r="G197" s="120">
        <v>0</v>
      </c>
      <c r="H197" s="117">
        <v>0</v>
      </c>
      <c r="I197" s="120">
        <v>0</v>
      </c>
      <c r="J197" s="117">
        <v>0</v>
      </c>
      <c r="K197" s="120">
        <v>0</v>
      </c>
      <c r="L197" s="117">
        <v>0</v>
      </c>
      <c r="M197" s="120">
        <v>0</v>
      </c>
      <c r="N197" s="117">
        <v>0</v>
      </c>
      <c r="O197" s="120">
        <v>0</v>
      </c>
      <c r="P197" s="117">
        <v>0</v>
      </c>
      <c r="Q197" s="120">
        <v>0</v>
      </c>
      <c r="R197" s="117">
        <v>0</v>
      </c>
      <c r="S197" s="120">
        <v>0</v>
      </c>
      <c r="T197" s="117">
        <v>0</v>
      </c>
      <c r="U197" s="119">
        <v>0</v>
      </c>
    </row>
    <row r="198" spans="1:21" x14ac:dyDescent="0.25">
      <c r="A198" s="111" t="s">
        <v>1336</v>
      </c>
      <c r="B198" s="112" t="s">
        <v>1337</v>
      </c>
      <c r="C198" s="112" t="s">
        <v>1338</v>
      </c>
      <c r="D198" s="113">
        <v>75</v>
      </c>
      <c r="E198" s="114">
        <v>0</v>
      </c>
      <c r="F198" s="113">
        <v>75</v>
      </c>
      <c r="G198" s="114">
        <v>0</v>
      </c>
      <c r="H198" s="113">
        <v>0</v>
      </c>
      <c r="I198" s="114">
        <v>0</v>
      </c>
      <c r="J198" s="113">
        <v>0</v>
      </c>
      <c r="K198" s="114">
        <v>0</v>
      </c>
      <c r="L198" s="113">
        <v>0</v>
      </c>
      <c r="M198" s="114">
        <v>0</v>
      </c>
      <c r="N198" s="113">
        <v>0</v>
      </c>
      <c r="O198" s="114">
        <v>0</v>
      </c>
      <c r="P198" s="113">
        <v>0</v>
      </c>
      <c r="Q198" s="114">
        <v>0</v>
      </c>
      <c r="R198" s="113">
        <v>0</v>
      </c>
      <c r="S198" s="114">
        <v>0</v>
      </c>
      <c r="T198" s="113">
        <v>0</v>
      </c>
      <c r="U198" s="115">
        <v>0</v>
      </c>
    </row>
    <row r="199" spans="1:21" x14ac:dyDescent="0.25">
      <c r="A199" s="14" t="s">
        <v>1421</v>
      </c>
      <c r="B199" s="116" t="s">
        <v>1402</v>
      </c>
      <c r="C199" s="116" t="s">
        <v>1422</v>
      </c>
      <c r="D199" s="117">
        <v>0</v>
      </c>
      <c r="E199" s="120">
        <v>0</v>
      </c>
      <c r="F199" s="117">
        <v>0</v>
      </c>
      <c r="G199" s="120">
        <v>75</v>
      </c>
      <c r="H199" s="117">
        <v>0</v>
      </c>
      <c r="I199" s="120">
        <v>0</v>
      </c>
      <c r="J199" s="117">
        <v>0</v>
      </c>
      <c r="K199" s="120">
        <v>0</v>
      </c>
      <c r="L199" s="117">
        <v>0</v>
      </c>
      <c r="M199" s="120">
        <v>0</v>
      </c>
      <c r="N199" s="117">
        <v>0</v>
      </c>
      <c r="O199" s="120">
        <v>0</v>
      </c>
      <c r="P199" s="117">
        <v>0</v>
      </c>
      <c r="Q199" s="120">
        <v>0</v>
      </c>
      <c r="R199" s="117">
        <v>0</v>
      </c>
      <c r="S199" s="120">
        <v>0</v>
      </c>
      <c r="T199" s="117">
        <v>0</v>
      </c>
      <c r="U199" s="119">
        <v>0</v>
      </c>
    </row>
    <row r="200" spans="1:21" x14ac:dyDescent="0.25">
      <c r="A200" s="111" t="s">
        <v>1133</v>
      </c>
      <c r="B200" s="112" t="s">
        <v>1339</v>
      </c>
      <c r="C200" s="112" t="s">
        <v>57</v>
      </c>
      <c r="D200" s="113">
        <v>0</v>
      </c>
      <c r="E200" s="114">
        <v>0</v>
      </c>
      <c r="F200" s="113">
        <v>0</v>
      </c>
      <c r="G200" s="114">
        <v>0</v>
      </c>
      <c r="H200" s="113">
        <v>0</v>
      </c>
      <c r="I200" s="114">
        <v>0</v>
      </c>
      <c r="J200" s="113">
        <v>0</v>
      </c>
      <c r="K200" s="114">
        <v>0</v>
      </c>
      <c r="L200" s="113">
        <v>0</v>
      </c>
      <c r="M200" s="114">
        <v>0</v>
      </c>
      <c r="N200" s="113">
        <v>0</v>
      </c>
      <c r="O200" s="114">
        <v>0</v>
      </c>
      <c r="P200" s="113">
        <v>0</v>
      </c>
      <c r="Q200" s="114">
        <v>0</v>
      </c>
      <c r="R200" s="113">
        <v>0</v>
      </c>
      <c r="S200" s="114">
        <v>0</v>
      </c>
      <c r="T200" s="113">
        <v>0</v>
      </c>
      <c r="U200" s="115">
        <v>0</v>
      </c>
    </row>
    <row r="201" spans="1:21" x14ac:dyDescent="0.25">
      <c r="A201" s="14" t="s">
        <v>1135</v>
      </c>
      <c r="B201" s="116" t="s">
        <v>1136</v>
      </c>
      <c r="C201" s="116" t="s">
        <v>57</v>
      </c>
      <c r="D201" s="117">
        <v>0</v>
      </c>
      <c r="E201" s="120">
        <v>0</v>
      </c>
      <c r="F201" s="117">
        <v>0</v>
      </c>
      <c r="G201" s="120">
        <v>0</v>
      </c>
      <c r="H201" s="117">
        <v>0</v>
      </c>
      <c r="I201" s="120">
        <v>0</v>
      </c>
      <c r="J201" s="117">
        <v>0</v>
      </c>
      <c r="K201" s="120">
        <v>0</v>
      </c>
      <c r="L201" s="117">
        <v>0</v>
      </c>
      <c r="M201" s="120">
        <v>0</v>
      </c>
      <c r="N201" s="117">
        <v>0</v>
      </c>
      <c r="O201" s="120">
        <v>0</v>
      </c>
      <c r="P201" s="117">
        <v>0</v>
      </c>
      <c r="Q201" s="120">
        <v>0</v>
      </c>
      <c r="R201" s="117">
        <v>0</v>
      </c>
      <c r="S201" s="120">
        <v>0</v>
      </c>
      <c r="T201" s="117">
        <v>0</v>
      </c>
      <c r="U201" s="119">
        <v>0</v>
      </c>
    </row>
    <row r="202" spans="1:21" x14ac:dyDescent="0.25">
      <c r="A202" s="111" t="s">
        <v>520</v>
      </c>
      <c r="B202" s="112" t="s">
        <v>1340</v>
      </c>
      <c r="C202" s="112" t="s">
        <v>57</v>
      </c>
      <c r="D202" s="113">
        <v>571</v>
      </c>
      <c r="E202" s="114">
        <v>0</v>
      </c>
      <c r="F202" s="113">
        <v>0</v>
      </c>
      <c r="G202" s="114">
        <v>0</v>
      </c>
      <c r="H202" s="113">
        <v>0</v>
      </c>
      <c r="I202" s="114">
        <v>0</v>
      </c>
      <c r="J202" s="113">
        <v>0</v>
      </c>
      <c r="K202" s="114">
        <v>0</v>
      </c>
      <c r="L202" s="113">
        <v>0</v>
      </c>
      <c r="M202" s="114">
        <v>0</v>
      </c>
      <c r="N202" s="113">
        <v>135</v>
      </c>
      <c r="O202" s="114">
        <v>136</v>
      </c>
      <c r="P202" s="113">
        <v>150</v>
      </c>
      <c r="Q202" s="114">
        <v>150</v>
      </c>
      <c r="R202" s="113">
        <v>0</v>
      </c>
      <c r="S202" s="114">
        <v>0</v>
      </c>
      <c r="T202" s="113">
        <v>0</v>
      </c>
      <c r="U202" s="115">
        <v>0</v>
      </c>
    </row>
    <row r="203" spans="1:21" x14ac:dyDescent="0.25">
      <c r="A203" s="14" t="s">
        <v>1138</v>
      </c>
      <c r="B203" s="116" t="s">
        <v>1139</v>
      </c>
      <c r="C203" s="116" t="s">
        <v>57</v>
      </c>
      <c r="D203" s="117">
        <v>0</v>
      </c>
      <c r="E203" s="120">
        <v>0</v>
      </c>
      <c r="F203" s="117">
        <v>0</v>
      </c>
      <c r="G203" s="120">
        <v>0</v>
      </c>
      <c r="H203" s="117">
        <v>0</v>
      </c>
      <c r="I203" s="120">
        <v>0</v>
      </c>
      <c r="J203" s="117">
        <v>0</v>
      </c>
      <c r="K203" s="120">
        <v>0</v>
      </c>
      <c r="L203" s="117">
        <v>0</v>
      </c>
      <c r="M203" s="120">
        <v>0</v>
      </c>
      <c r="N203" s="117">
        <v>0</v>
      </c>
      <c r="O203" s="120">
        <v>0</v>
      </c>
      <c r="P203" s="117">
        <v>0</v>
      </c>
      <c r="Q203" s="120">
        <v>0</v>
      </c>
      <c r="R203" s="117">
        <v>0</v>
      </c>
      <c r="S203" s="120">
        <v>0</v>
      </c>
      <c r="T203" s="117">
        <v>0</v>
      </c>
      <c r="U203" s="119">
        <v>0</v>
      </c>
    </row>
    <row r="204" spans="1:21" x14ac:dyDescent="0.25">
      <c r="A204" s="111" t="s">
        <v>745</v>
      </c>
      <c r="B204" s="112" t="s">
        <v>1344</v>
      </c>
      <c r="C204" s="112" t="s">
        <v>1345</v>
      </c>
      <c r="D204" s="113">
        <v>0</v>
      </c>
      <c r="E204" s="114">
        <v>0</v>
      </c>
      <c r="F204" s="113">
        <v>0</v>
      </c>
      <c r="G204" s="114">
        <v>8</v>
      </c>
      <c r="H204" s="113">
        <v>0</v>
      </c>
      <c r="I204" s="114">
        <v>7.60504150390625</v>
      </c>
      <c r="J204" s="113">
        <v>0</v>
      </c>
      <c r="K204" s="114">
        <v>7.60504150390625</v>
      </c>
      <c r="L204" s="113">
        <v>0</v>
      </c>
      <c r="M204" s="114">
        <v>7.60504150390625</v>
      </c>
      <c r="N204" s="113">
        <v>0</v>
      </c>
      <c r="O204" s="114">
        <v>0</v>
      </c>
      <c r="P204" s="113">
        <v>0</v>
      </c>
      <c r="Q204" s="114">
        <v>0</v>
      </c>
      <c r="R204" s="113">
        <v>0</v>
      </c>
      <c r="S204" s="114">
        <v>0</v>
      </c>
      <c r="T204" s="113">
        <v>0</v>
      </c>
      <c r="U204" s="115">
        <v>0</v>
      </c>
    </row>
    <row r="205" spans="1:21" x14ac:dyDescent="0.25">
      <c r="A205" s="14" t="s">
        <v>1336</v>
      </c>
      <c r="B205" s="116" t="s">
        <v>1346</v>
      </c>
      <c r="C205" s="116" t="s">
        <v>1347</v>
      </c>
      <c r="D205" s="117">
        <v>1318</v>
      </c>
      <c r="E205" s="120">
        <v>0</v>
      </c>
      <c r="F205" s="117">
        <v>1289</v>
      </c>
      <c r="G205" s="120">
        <v>0</v>
      </c>
      <c r="H205" s="117">
        <v>219</v>
      </c>
      <c r="I205" s="120">
        <v>0</v>
      </c>
      <c r="J205" s="117">
        <v>0</v>
      </c>
      <c r="K205" s="120">
        <v>0</v>
      </c>
      <c r="L205" s="117">
        <v>0</v>
      </c>
      <c r="M205" s="120">
        <v>0</v>
      </c>
      <c r="N205" s="117">
        <v>15</v>
      </c>
      <c r="O205" s="120">
        <v>14</v>
      </c>
      <c r="P205" s="117">
        <v>0</v>
      </c>
      <c r="Q205" s="120">
        <v>0</v>
      </c>
      <c r="R205" s="117">
        <v>0</v>
      </c>
      <c r="S205" s="120">
        <v>0</v>
      </c>
      <c r="T205" s="117">
        <v>0</v>
      </c>
      <c r="U205" s="119">
        <v>0</v>
      </c>
    </row>
    <row r="206" spans="1:21" x14ac:dyDescent="0.25">
      <c r="A206" s="111" t="s">
        <v>1712</v>
      </c>
      <c r="B206" s="112" t="s">
        <v>1706</v>
      </c>
      <c r="C206" s="112" t="s">
        <v>1713</v>
      </c>
      <c r="D206" s="113">
        <v>0</v>
      </c>
      <c r="E206" s="114">
        <v>0</v>
      </c>
      <c r="F206" s="113">
        <v>0</v>
      </c>
      <c r="G206" s="114">
        <v>15</v>
      </c>
      <c r="H206" s="113">
        <v>0</v>
      </c>
      <c r="I206" s="114">
        <v>0</v>
      </c>
      <c r="J206" s="113">
        <v>0</v>
      </c>
      <c r="K206" s="114">
        <v>0</v>
      </c>
      <c r="L206" s="113">
        <v>14.723099708557129</v>
      </c>
      <c r="M206" s="114">
        <v>14.723099708557129</v>
      </c>
      <c r="N206" s="113">
        <v>0</v>
      </c>
      <c r="O206" s="114">
        <v>0</v>
      </c>
      <c r="P206" s="113">
        <v>0</v>
      </c>
      <c r="Q206" s="114">
        <v>0</v>
      </c>
      <c r="R206" s="113">
        <v>0</v>
      </c>
      <c r="S206" s="114">
        <v>0</v>
      </c>
      <c r="T206" s="113">
        <v>0</v>
      </c>
      <c r="U206" s="115">
        <v>0</v>
      </c>
    </row>
    <row r="207" spans="1:21" x14ac:dyDescent="0.25">
      <c r="A207" s="14"/>
      <c r="B207" s="116"/>
      <c r="C207" s="116"/>
      <c r="D207" s="117"/>
      <c r="E207" s="120"/>
      <c r="F207" s="117"/>
      <c r="G207" s="120"/>
      <c r="H207" s="117"/>
      <c r="I207" s="120"/>
      <c r="J207" s="117"/>
      <c r="K207" s="120"/>
      <c r="L207" s="117"/>
      <c r="M207" s="120"/>
      <c r="N207" s="117"/>
      <c r="O207" s="120"/>
      <c r="P207" s="117"/>
      <c r="Q207" s="120"/>
      <c r="R207" s="117"/>
      <c r="S207" s="120"/>
      <c r="T207" s="117"/>
      <c r="U207" s="119"/>
    </row>
    <row r="208" spans="1:21" x14ac:dyDescent="0.25">
      <c r="A208" s="111"/>
      <c r="B208" s="112"/>
      <c r="C208" s="112"/>
      <c r="D208" s="113"/>
      <c r="E208" s="114"/>
      <c r="F208" s="113"/>
      <c r="G208" s="114"/>
      <c r="H208" s="113"/>
      <c r="I208" s="114"/>
      <c r="J208" s="113"/>
      <c r="K208" s="114"/>
      <c r="L208" s="113"/>
      <c r="M208" s="114"/>
      <c r="N208" s="113"/>
      <c r="O208" s="114"/>
      <c r="P208" s="113"/>
      <c r="Q208" s="114"/>
      <c r="R208" s="113"/>
      <c r="S208" s="114"/>
      <c r="T208" s="113"/>
      <c r="U208" s="115"/>
    </row>
    <row r="209" spans="1:21" x14ac:dyDescent="0.25">
      <c r="A209" s="14"/>
      <c r="B209" s="116"/>
      <c r="C209" s="116"/>
      <c r="D209" s="117"/>
      <c r="E209" s="120"/>
      <c r="F209" s="117"/>
      <c r="G209" s="120"/>
      <c r="H209" s="117"/>
      <c r="I209" s="120"/>
      <c r="J209" s="117"/>
      <c r="K209" s="120"/>
      <c r="L209" s="117"/>
      <c r="M209" s="120"/>
      <c r="N209" s="117"/>
      <c r="O209" s="120"/>
      <c r="P209" s="117"/>
      <c r="Q209" s="120"/>
      <c r="R209" s="117"/>
      <c r="S209" s="120"/>
      <c r="T209" s="117"/>
      <c r="U209" s="119"/>
    </row>
    <row r="210" spans="1:21" x14ac:dyDescent="0.25">
      <c r="A210" s="111"/>
      <c r="B210" s="112"/>
      <c r="C210" s="112"/>
      <c r="D210" s="113"/>
      <c r="E210" s="114"/>
      <c r="F210" s="113"/>
      <c r="G210" s="114"/>
      <c r="H210" s="113"/>
      <c r="I210" s="114"/>
      <c r="J210" s="113"/>
      <c r="K210" s="114"/>
      <c r="L210" s="113"/>
      <c r="M210" s="114"/>
      <c r="N210" s="113"/>
      <c r="O210" s="114"/>
      <c r="P210" s="113"/>
      <c r="Q210" s="114"/>
      <c r="R210" s="113"/>
      <c r="S210" s="114"/>
      <c r="T210" s="113"/>
      <c r="U210" s="115"/>
    </row>
    <row r="211" spans="1:21" x14ac:dyDescent="0.25">
      <c r="A211" s="14"/>
      <c r="B211" s="116"/>
      <c r="C211" s="116"/>
      <c r="D211" s="117"/>
      <c r="E211" s="120"/>
      <c r="F211" s="117"/>
      <c r="G211" s="120"/>
      <c r="H211" s="117"/>
      <c r="I211" s="120"/>
      <c r="J211" s="117"/>
      <c r="K211" s="120"/>
      <c r="L211" s="117"/>
      <c r="M211" s="120"/>
      <c r="N211" s="117"/>
      <c r="O211" s="120"/>
      <c r="P211" s="117"/>
      <c r="Q211" s="120"/>
      <c r="R211" s="117"/>
      <c r="S211" s="120"/>
      <c r="T211" s="117"/>
      <c r="U211" s="119"/>
    </row>
    <row r="212" spans="1:21" x14ac:dyDescent="0.25">
      <c r="A212" s="111"/>
      <c r="B212" s="112"/>
      <c r="C212" s="112"/>
      <c r="D212" s="113"/>
      <c r="E212" s="114"/>
      <c r="F212" s="113"/>
      <c r="G212" s="114"/>
      <c r="H212" s="113"/>
      <c r="I212" s="114"/>
      <c r="J212" s="113"/>
      <c r="K212" s="114"/>
      <c r="L212" s="113"/>
      <c r="M212" s="114"/>
      <c r="N212" s="113"/>
      <c r="O212" s="114"/>
      <c r="P212" s="113"/>
      <c r="Q212" s="114"/>
      <c r="R212" s="113"/>
      <c r="S212" s="114"/>
      <c r="T212" s="113"/>
      <c r="U212" s="115"/>
    </row>
    <row r="213" spans="1:21" x14ac:dyDescent="0.25">
      <c r="A213" s="14"/>
      <c r="B213" s="116"/>
      <c r="C213" s="116"/>
      <c r="D213" s="117"/>
      <c r="E213" s="120"/>
      <c r="F213" s="117"/>
      <c r="G213" s="120"/>
      <c r="H213" s="117"/>
      <c r="I213" s="120"/>
      <c r="J213" s="117"/>
      <c r="K213" s="120"/>
      <c r="L213" s="117"/>
      <c r="M213" s="120"/>
      <c r="N213" s="117"/>
      <c r="O213" s="120"/>
      <c r="P213" s="117"/>
      <c r="Q213" s="120"/>
      <c r="R213" s="117"/>
      <c r="S213" s="120"/>
      <c r="T213" s="117"/>
      <c r="U213" s="119"/>
    </row>
    <row r="214" spans="1:21" x14ac:dyDescent="0.25">
      <c r="A214" s="111"/>
      <c r="B214" s="112"/>
      <c r="C214" s="112"/>
      <c r="D214" s="113"/>
      <c r="E214" s="114"/>
      <c r="F214" s="113"/>
      <c r="G214" s="114"/>
      <c r="H214" s="113"/>
      <c r="I214" s="114"/>
      <c r="J214" s="113"/>
      <c r="K214" s="114"/>
      <c r="L214" s="113"/>
      <c r="M214" s="114"/>
      <c r="N214" s="113"/>
      <c r="O214" s="114"/>
      <c r="P214" s="113"/>
      <c r="Q214" s="114"/>
      <c r="R214" s="113"/>
      <c r="S214" s="114"/>
      <c r="T214" s="113"/>
      <c r="U214" s="115"/>
    </row>
    <row r="215" spans="1:21" x14ac:dyDescent="0.25">
      <c r="A215" s="14"/>
      <c r="B215" s="116"/>
      <c r="C215" s="116"/>
      <c r="D215" s="117"/>
      <c r="E215" s="120"/>
      <c r="F215" s="117"/>
      <c r="G215" s="120"/>
      <c r="H215" s="117"/>
      <c r="I215" s="120"/>
      <c r="J215" s="117"/>
      <c r="K215" s="120"/>
      <c r="L215" s="117"/>
      <c r="M215" s="120"/>
      <c r="N215" s="117"/>
      <c r="O215" s="120"/>
      <c r="P215" s="117"/>
      <c r="Q215" s="120"/>
      <c r="R215" s="117"/>
      <c r="S215" s="120"/>
      <c r="T215" s="117"/>
      <c r="U215" s="119"/>
    </row>
    <row r="216" spans="1:21" x14ac:dyDescent="0.25">
      <c r="A216" s="111"/>
      <c r="B216" s="112"/>
      <c r="C216" s="112"/>
      <c r="D216" s="113"/>
      <c r="E216" s="114"/>
      <c r="F216" s="113"/>
      <c r="G216" s="114"/>
      <c r="H216" s="113"/>
      <c r="I216" s="114"/>
      <c r="J216" s="113"/>
      <c r="K216" s="114"/>
      <c r="L216" s="113"/>
      <c r="M216" s="114"/>
      <c r="N216" s="113"/>
      <c r="O216" s="114"/>
      <c r="P216" s="113"/>
      <c r="Q216" s="114"/>
      <c r="R216" s="113"/>
      <c r="S216" s="114"/>
      <c r="T216" s="113"/>
      <c r="U216" s="115"/>
    </row>
    <row r="217" spans="1:21" x14ac:dyDescent="0.25">
      <c r="A217" s="14"/>
      <c r="B217" s="116"/>
      <c r="C217" s="116"/>
      <c r="D217" s="117"/>
      <c r="E217" s="120"/>
      <c r="F217" s="117"/>
      <c r="G217" s="120"/>
      <c r="H217" s="117"/>
      <c r="I217" s="120"/>
      <c r="J217" s="117"/>
      <c r="K217" s="120"/>
      <c r="L217" s="117"/>
      <c r="M217" s="120"/>
      <c r="N217" s="117"/>
      <c r="O217" s="120"/>
      <c r="P217" s="117"/>
      <c r="Q217" s="120"/>
      <c r="R217" s="117"/>
      <c r="S217" s="120"/>
      <c r="T217" s="117"/>
      <c r="U217" s="119"/>
    </row>
    <row r="218" spans="1:21" x14ac:dyDescent="0.25">
      <c r="A218" s="111"/>
      <c r="B218" s="112"/>
      <c r="C218" s="112"/>
      <c r="D218" s="113"/>
      <c r="E218" s="114"/>
      <c r="F218" s="113"/>
      <c r="G218" s="114"/>
      <c r="H218" s="113"/>
      <c r="I218" s="114"/>
      <c r="J218" s="113"/>
      <c r="K218" s="114"/>
      <c r="L218" s="113"/>
      <c r="M218" s="114"/>
      <c r="N218" s="113"/>
      <c r="O218" s="114"/>
      <c r="P218" s="113"/>
      <c r="Q218" s="114"/>
      <c r="R218" s="113"/>
      <c r="S218" s="114"/>
      <c r="T218" s="113"/>
      <c r="U218" s="115"/>
    </row>
    <row r="219" spans="1:21" x14ac:dyDescent="0.25">
      <c r="A219" s="14"/>
      <c r="B219" s="116"/>
      <c r="C219" s="116"/>
      <c r="D219" s="117"/>
      <c r="E219" s="120"/>
      <c r="F219" s="117"/>
      <c r="G219" s="120"/>
      <c r="H219" s="117"/>
      <c r="I219" s="120"/>
      <c r="J219" s="117"/>
      <c r="K219" s="120"/>
      <c r="L219" s="117"/>
      <c r="M219" s="120"/>
      <c r="N219" s="117"/>
      <c r="O219" s="120"/>
      <c r="P219" s="117"/>
      <c r="Q219" s="120"/>
      <c r="R219" s="117"/>
      <c r="S219" s="120"/>
      <c r="T219" s="117"/>
      <c r="U219" s="119"/>
    </row>
    <row r="220" spans="1:21" s="288" customFormat="1" ht="18.75" x14ac:dyDescent="0.3">
      <c r="D220" s="288">
        <f>SUBTOTAL(9,D4:D219)</f>
        <v>356727.6</v>
      </c>
      <c r="E220" s="288">
        <f t="shared" ref="E220:U220" si="0">SUBTOTAL(9,E4:E219)</f>
        <v>0</v>
      </c>
      <c r="F220" s="288">
        <f t="shared" si="0"/>
        <v>75227</v>
      </c>
      <c r="G220" s="288">
        <f t="shared" si="0"/>
        <v>56122</v>
      </c>
      <c r="H220" s="288">
        <f t="shared" si="0"/>
        <v>13666</v>
      </c>
      <c r="I220" s="287">
        <f t="shared" si="0"/>
        <v>10801.140584349632</v>
      </c>
      <c r="J220" s="288">
        <f t="shared" si="0"/>
        <v>0</v>
      </c>
      <c r="K220" s="288">
        <f t="shared" si="0"/>
        <v>10801.140584349632</v>
      </c>
      <c r="L220" s="287">
        <f t="shared" si="0"/>
        <v>25044.698169338866</v>
      </c>
      <c r="M220" s="288">
        <f t="shared" si="0"/>
        <v>35845.838753688498</v>
      </c>
      <c r="N220" s="288">
        <f t="shared" si="0"/>
        <v>89792</v>
      </c>
      <c r="O220" s="288">
        <f t="shared" si="0"/>
        <v>81660</v>
      </c>
      <c r="P220" s="288">
        <f t="shared" si="0"/>
        <v>54136</v>
      </c>
      <c r="Q220" s="288">
        <f t="shared" si="0"/>
        <v>47400</v>
      </c>
      <c r="R220" s="288">
        <f t="shared" si="0"/>
        <v>0</v>
      </c>
      <c r="S220" s="288">
        <f t="shared" si="0"/>
        <v>0</v>
      </c>
      <c r="T220" s="288">
        <f t="shared" si="0"/>
        <v>0</v>
      </c>
      <c r="U220" s="288">
        <f t="shared" si="0"/>
        <v>0</v>
      </c>
    </row>
  </sheetData>
  <autoFilter ref="A2:V206"/>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9"/>
  <sheetViews>
    <sheetView showGridLines="0" zoomScale="84" zoomScaleNormal="84" workbookViewId="0">
      <pane ySplit="3" topLeftCell="A100" activePane="bottomLeft" state="frozen"/>
      <selection pane="bottomLeft" activeCell="I229" sqref="I229"/>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468" t="s">
        <v>1348</v>
      </c>
      <c r="B2" s="468" t="s">
        <v>1349</v>
      </c>
      <c r="C2" s="468" t="s">
        <v>1350</v>
      </c>
      <c r="D2" s="470" t="s">
        <v>1351</v>
      </c>
      <c r="E2" s="297" t="s">
        <v>1352</v>
      </c>
      <c r="F2" s="122"/>
      <c r="G2" s="123"/>
      <c r="H2" s="122"/>
      <c r="I2" s="124" t="s">
        <v>1353</v>
      </c>
      <c r="J2" s="125"/>
      <c r="K2" s="124"/>
      <c r="L2" s="124"/>
      <c r="M2" s="126"/>
      <c r="N2" s="127"/>
      <c r="O2" s="124"/>
      <c r="P2" s="124" t="s">
        <v>1354</v>
      </c>
      <c r="Q2" s="124"/>
      <c r="R2" s="124"/>
      <c r="S2" s="124"/>
      <c r="T2" s="124"/>
      <c r="U2" s="128"/>
    </row>
    <row r="3" spans="1:22"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2"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c r="V4" t="e">
        <f>VLOOKUP(A4,Projetos_Ciclo!$H$3:$H$315,1,FALSE)</f>
        <v>#N/A</v>
      </c>
    </row>
    <row r="5" spans="1:22"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c r="V5" t="e">
        <f>VLOOKUP(A5,Projetos_Ciclo!$H$3:$H$315,1,FALSE)</f>
        <v>#N/A</v>
      </c>
    </row>
    <row r="6" spans="1:22" x14ac:dyDescent="0.25">
      <c r="A6" s="111" t="s">
        <v>1383</v>
      </c>
      <c r="B6" s="112" t="s">
        <v>1384</v>
      </c>
      <c r="C6" s="112" t="s">
        <v>1385</v>
      </c>
      <c r="D6" s="113">
        <v>450</v>
      </c>
      <c r="E6" s="114">
        <v>0</v>
      </c>
      <c r="F6" s="113">
        <v>450</v>
      </c>
      <c r="G6" s="114">
        <v>0</v>
      </c>
      <c r="H6" s="113">
        <v>2</v>
      </c>
      <c r="I6" s="114">
        <v>0</v>
      </c>
      <c r="J6" s="113">
        <v>0</v>
      </c>
      <c r="K6" s="114">
        <v>0</v>
      </c>
      <c r="L6" s="113">
        <v>0</v>
      </c>
      <c r="M6" s="114">
        <v>0</v>
      </c>
      <c r="N6" s="113">
        <v>0</v>
      </c>
      <c r="O6" s="114">
        <v>0</v>
      </c>
      <c r="P6" s="113">
        <v>0</v>
      </c>
      <c r="Q6" s="114">
        <v>0</v>
      </c>
      <c r="R6" s="113">
        <v>0</v>
      </c>
      <c r="S6" s="114">
        <v>0</v>
      </c>
      <c r="T6" s="113">
        <v>0</v>
      </c>
      <c r="U6" s="115">
        <v>0</v>
      </c>
      <c r="V6" t="e">
        <f>VLOOKUP(A6,Projetos_Ciclo!$H$3:$H$315,1,FALSE)</f>
        <v>#N/A</v>
      </c>
    </row>
    <row r="7" spans="1:22" x14ac:dyDescent="0.25">
      <c r="A7" s="14" t="s">
        <v>1562</v>
      </c>
      <c r="B7" s="116" t="s">
        <v>1589</v>
      </c>
      <c r="C7" s="116" t="s">
        <v>1563</v>
      </c>
      <c r="D7" s="117">
        <v>0</v>
      </c>
      <c r="E7" s="120">
        <v>0</v>
      </c>
      <c r="F7" s="117">
        <v>0</v>
      </c>
      <c r="G7" s="120">
        <v>51</v>
      </c>
      <c r="H7" s="117">
        <v>0</v>
      </c>
      <c r="I7" s="120">
        <v>0</v>
      </c>
      <c r="J7" s="117">
        <v>0</v>
      </c>
      <c r="K7" s="120">
        <v>0</v>
      </c>
      <c r="L7" s="117">
        <v>34.688299179077148</v>
      </c>
      <c r="M7" s="120">
        <v>34.688299179077148</v>
      </c>
      <c r="N7" s="117">
        <v>0</v>
      </c>
      <c r="O7" s="120">
        <v>0</v>
      </c>
      <c r="P7" s="117">
        <v>0</v>
      </c>
      <c r="Q7" s="120">
        <v>0</v>
      </c>
      <c r="R7" s="117">
        <v>0</v>
      </c>
      <c r="S7" s="120">
        <v>0</v>
      </c>
      <c r="T7" s="117">
        <v>0</v>
      </c>
      <c r="U7" s="119">
        <v>0</v>
      </c>
      <c r="V7" t="str">
        <f>VLOOKUP(A7,Projetos_Ciclo!$H$3:$H$315,1,FALSE)</f>
        <v>MG00818</v>
      </c>
    </row>
    <row r="8" spans="1:22" x14ac:dyDescent="0.25">
      <c r="A8" s="111" t="s">
        <v>520</v>
      </c>
      <c r="B8" s="112" t="s">
        <v>1137</v>
      </c>
      <c r="C8" s="112" t="s">
        <v>57</v>
      </c>
      <c r="D8" s="113">
        <v>1854</v>
      </c>
      <c r="E8" s="114">
        <v>0</v>
      </c>
      <c r="F8" s="113">
        <v>0</v>
      </c>
      <c r="G8" s="114">
        <v>0</v>
      </c>
      <c r="H8" s="113">
        <v>0</v>
      </c>
      <c r="I8" s="114">
        <v>0</v>
      </c>
      <c r="J8" s="113">
        <v>0</v>
      </c>
      <c r="K8" s="114">
        <v>0</v>
      </c>
      <c r="L8" s="113">
        <v>0</v>
      </c>
      <c r="M8" s="114">
        <v>0</v>
      </c>
      <c r="N8" s="113">
        <v>634</v>
      </c>
      <c r="O8" s="114">
        <v>435</v>
      </c>
      <c r="P8" s="113">
        <v>360</v>
      </c>
      <c r="Q8" s="114">
        <v>425</v>
      </c>
      <c r="R8" s="113">
        <v>0</v>
      </c>
      <c r="S8" s="114">
        <v>0</v>
      </c>
      <c r="T8" s="113">
        <v>0</v>
      </c>
      <c r="U8" s="115">
        <v>0</v>
      </c>
      <c r="V8" t="str">
        <f>VLOOKUP(A8,Projetos_Ciclo!$H$3:$H$315,1,FALSE)</f>
        <v>NA</v>
      </c>
    </row>
    <row r="9" spans="1:22" x14ac:dyDescent="0.25">
      <c r="A9" s="14" t="s">
        <v>1469</v>
      </c>
      <c r="B9" s="116" t="s">
        <v>1517</v>
      </c>
      <c r="C9" s="116" t="s">
        <v>1470</v>
      </c>
      <c r="D9" s="117">
        <v>0</v>
      </c>
      <c r="E9" s="120">
        <v>0</v>
      </c>
      <c r="F9" s="117">
        <v>0</v>
      </c>
      <c r="G9" s="120">
        <v>132</v>
      </c>
      <c r="H9" s="117">
        <v>0</v>
      </c>
      <c r="I9" s="120">
        <v>1.6000000238418579</v>
      </c>
      <c r="J9" s="117">
        <v>0</v>
      </c>
      <c r="K9" s="120">
        <v>1.6000000238418579</v>
      </c>
      <c r="L9" s="117">
        <v>117.912353515625</v>
      </c>
      <c r="M9" s="120">
        <v>119.51235353946686</v>
      </c>
      <c r="N9" s="117">
        <v>0</v>
      </c>
      <c r="O9" s="120">
        <v>0</v>
      </c>
      <c r="P9" s="117">
        <v>0</v>
      </c>
      <c r="Q9" s="120">
        <v>0</v>
      </c>
      <c r="R9" s="117">
        <v>0</v>
      </c>
      <c r="S9" s="120">
        <v>0</v>
      </c>
      <c r="T9" s="117">
        <v>0</v>
      </c>
      <c r="U9" s="119">
        <v>0</v>
      </c>
      <c r="V9" t="str">
        <f>VLOOKUP(A9,Projetos_Ciclo!$H$3:$H$315,1,FALSE)</f>
        <v>SC00318</v>
      </c>
    </row>
    <row r="10" spans="1:22" x14ac:dyDescent="0.25">
      <c r="A10" s="111" t="s">
        <v>1846</v>
      </c>
      <c r="B10" s="112" t="s">
        <v>1866</v>
      </c>
      <c r="C10" s="112" t="s">
        <v>1867</v>
      </c>
      <c r="D10" s="113">
        <v>0</v>
      </c>
      <c r="E10" s="114">
        <v>0</v>
      </c>
      <c r="F10" s="113">
        <v>0</v>
      </c>
      <c r="G10" s="114">
        <v>60</v>
      </c>
      <c r="H10" s="113">
        <v>0</v>
      </c>
      <c r="I10" s="114">
        <v>0</v>
      </c>
      <c r="J10" s="113">
        <v>0</v>
      </c>
      <c r="K10" s="114">
        <v>0</v>
      </c>
      <c r="L10" s="113">
        <v>0</v>
      </c>
      <c r="M10" s="114">
        <v>0</v>
      </c>
      <c r="N10" s="113">
        <v>0</v>
      </c>
      <c r="O10" s="114">
        <v>0</v>
      </c>
      <c r="P10" s="113">
        <v>0</v>
      </c>
      <c r="Q10" s="114">
        <v>0</v>
      </c>
      <c r="R10" s="113">
        <v>0</v>
      </c>
      <c r="S10" s="114">
        <v>0</v>
      </c>
      <c r="T10" s="113">
        <v>0</v>
      </c>
      <c r="U10" s="115">
        <v>0</v>
      </c>
      <c r="V10" t="str">
        <f>VLOOKUP(A10,Projetos_Ciclo!$H$3:$H$315,1,FALSE)</f>
        <v>SC01018</v>
      </c>
    </row>
    <row r="11" spans="1:22" x14ac:dyDescent="0.25">
      <c r="A11" s="14" t="s">
        <v>1138</v>
      </c>
      <c r="B11" s="116" t="s">
        <v>1139</v>
      </c>
      <c r="C11" s="116" t="s">
        <v>57</v>
      </c>
      <c r="D11" s="117">
        <v>332</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c r="V11" t="e">
        <f>VLOOKUP(A11,Projetos_Ciclo!$H$3:$H$315,1,FALSE)</f>
        <v>#N/A</v>
      </c>
    </row>
    <row r="12" spans="1:22" x14ac:dyDescent="0.25">
      <c r="A12" s="111" t="s">
        <v>1133</v>
      </c>
      <c r="B12" s="112" t="s">
        <v>1140</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c r="V12" t="e">
        <f>VLOOKUP(A12,Projetos_Ciclo!$H$3:$H$315,1,FALSE)</f>
        <v>#N/A</v>
      </c>
    </row>
    <row r="13" spans="1:22" x14ac:dyDescent="0.25">
      <c r="A13" s="14" t="s">
        <v>1135</v>
      </c>
      <c r="B13" s="116" t="s">
        <v>1136</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c r="V13" t="e">
        <f>VLOOKUP(A13,Projetos_Ciclo!$H$3:$H$315,1,FALSE)</f>
        <v>#N/A</v>
      </c>
    </row>
    <row r="14" spans="1:22" x14ac:dyDescent="0.25">
      <c r="A14" s="111" t="s">
        <v>520</v>
      </c>
      <c r="B14" s="112" t="s">
        <v>1137</v>
      </c>
      <c r="C14" s="112" t="s">
        <v>57</v>
      </c>
      <c r="D14" s="113">
        <v>139</v>
      </c>
      <c r="E14" s="114">
        <v>0</v>
      </c>
      <c r="F14" s="113">
        <v>0</v>
      </c>
      <c r="G14" s="114">
        <v>0</v>
      </c>
      <c r="H14" s="113">
        <v>0</v>
      </c>
      <c r="I14" s="114">
        <v>0</v>
      </c>
      <c r="J14" s="113">
        <v>0</v>
      </c>
      <c r="K14" s="114">
        <v>0</v>
      </c>
      <c r="L14" s="113">
        <v>0</v>
      </c>
      <c r="M14" s="114">
        <v>0</v>
      </c>
      <c r="N14" s="113">
        <v>16</v>
      </c>
      <c r="O14" s="114">
        <v>30</v>
      </c>
      <c r="P14" s="113">
        <v>50</v>
      </c>
      <c r="Q14" s="114">
        <v>43</v>
      </c>
      <c r="R14" s="113">
        <v>0</v>
      </c>
      <c r="S14" s="114">
        <v>0</v>
      </c>
      <c r="T14" s="113">
        <v>0</v>
      </c>
      <c r="U14" s="115">
        <v>0</v>
      </c>
      <c r="V14" t="str">
        <f>VLOOKUP(A14,Projetos_Ciclo!$H$3:$H$315,1,FALSE)</f>
        <v>NA</v>
      </c>
    </row>
    <row r="15" spans="1:22" x14ac:dyDescent="0.25">
      <c r="A15" s="14" t="s">
        <v>1138</v>
      </c>
      <c r="B15" s="116" t="s">
        <v>1139</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c r="V15" t="e">
        <f>VLOOKUP(A15,Projetos_Ciclo!$H$3:$H$315,1,FALSE)</f>
        <v>#N/A</v>
      </c>
    </row>
    <row r="16" spans="1:22" x14ac:dyDescent="0.25">
      <c r="A16" s="111" t="s">
        <v>1141</v>
      </c>
      <c r="B16" s="112" t="s">
        <v>1142</v>
      </c>
      <c r="C16" s="112" t="s">
        <v>1143</v>
      </c>
      <c r="D16" s="113">
        <v>29</v>
      </c>
      <c r="E16" s="114">
        <v>0</v>
      </c>
      <c r="F16" s="113">
        <v>29</v>
      </c>
      <c r="G16" s="114">
        <v>0</v>
      </c>
      <c r="H16" s="113">
        <v>0</v>
      </c>
      <c r="I16" s="114">
        <v>0</v>
      </c>
      <c r="J16" s="113">
        <v>0</v>
      </c>
      <c r="K16" s="114">
        <v>0</v>
      </c>
      <c r="L16" s="113">
        <v>0</v>
      </c>
      <c r="M16" s="114">
        <v>0</v>
      </c>
      <c r="N16" s="113">
        <v>0</v>
      </c>
      <c r="O16" s="114">
        <v>0</v>
      </c>
      <c r="P16" s="113">
        <v>0</v>
      </c>
      <c r="Q16" s="114">
        <v>0</v>
      </c>
      <c r="R16" s="113">
        <v>0</v>
      </c>
      <c r="S16" s="114">
        <v>0</v>
      </c>
      <c r="T16" s="113">
        <v>0</v>
      </c>
      <c r="U16" s="115">
        <v>0</v>
      </c>
      <c r="V16" t="e">
        <f>VLOOKUP(A16,Projetos_Ciclo!$H$3:$H$315,1,FALSE)</f>
        <v>#N/A</v>
      </c>
    </row>
    <row r="17" spans="1:22" x14ac:dyDescent="0.25">
      <c r="A17" s="14" t="s">
        <v>1835</v>
      </c>
      <c r="B17" s="116" t="s">
        <v>1836</v>
      </c>
      <c r="C17" s="116" t="s">
        <v>1837</v>
      </c>
      <c r="D17" s="117">
        <v>0</v>
      </c>
      <c r="E17" s="120">
        <v>0</v>
      </c>
      <c r="F17" s="117">
        <v>0</v>
      </c>
      <c r="G17" s="120">
        <v>10</v>
      </c>
      <c r="H17" s="117">
        <v>0</v>
      </c>
      <c r="I17" s="120">
        <v>0</v>
      </c>
      <c r="J17" s="117">
        <v>0</v>
      </c>
      <c r="K17" s="120">
        <v>0</v>
      </c>
      <c r="L17" s="117">
        <v>0</v>
      </c>
      <c r="M17" s="120">
        <v>0</v>
      </c>
      <c r="N17" s="117">
        <v>0</v>
      </c>
      <c r="O17" s="120">
        <v>0</v>
      </c>
      <c r="P17" s="117">
        <v>0</v>
      </c>
      <c r="Q17" s="120">
        <v>0</v>
      </c>
      <c r="R17" s="117">
        <v>0</v>
      </c>
      <c r="S17" s="120">
        <v>0</v>
      </c>
      <c r="T17" s="117">
        <v>0</v>
      </c>
      <c r="U17" s="119">
        <v>0</v>
      </c>
      <c r="V17" t="str">
        <f>VLOOKUP(A17,Projetos_Ciclo!$H$3:$H$315,1,FALSE)</f>
        <v>TI08018</v>
      </c>
    </row>
    <row r="18" spans="1:22" x14ac:dyDescent="0.25">
      <c r="A18" s="111" t="s">
        <v>1133</v>
      </c>
      <c r="B18" s="112" t="s">
        <v>1144</v>
      </c>
      <c r="C18" s="112" t="s">
        <v>57</v>
      </c>
      <c r="D18" s="113">
        <v>0</v>
      </c>
      <c r="E18" s="114">
        <v>0</v>
      </c>
      <c r="F18" s="113">
        <v>0</v>
      </c>
      <c r="G18" s="114">
        <v>0</v>
      </c>
      <c r="H18" s="113">
        <v>0</v>
      </c>
      <c r="I18" s="114">
        <v>0</v>
      </c>
      <c r="J18" s="113">
        <v>0</v>
      </c>
      <c r="K18" s="114">
        <v>0</v>
      </c>
      <c r="L18" s="113">
        <v>0</v>
      </c>
      <c r="M18" s="114">
        <v>0</v>
      </c>
      <c r="N18" s="113">
        <v>0</v>
      </c>
      <c r="O18" s="114">
        <v>0</v>
      </c>
      <c r="P18" s="113">
        <v>0</v>
      </c>
      <c r="Q18" s="114">
        <v>0</v>
      </c>
      <c r="R18" s="113">
        <v>0</v>
      </c>
      <c r="S18" s="114">
        <v>0</v>
      </c>
      <c r="T18" s="113">
        <v>0</v>
      </c>
      <c r="U18" s="115">
        <v>0</v>
      </c>
      <c r="V18" t="e">
        <f>VLOOKUP(A18,Projetos_Ciclo!$H$3:$H$315,1,FALSE)</f>
        <v>#N/A</v>
      </c>
    </row>
    <row r="19" spans="1:22" x14ac:dyDescent="0.25">
      <c r="A19" s="14" t="s">
        <v>1135</v>
      </c>
      <c r="B19" s="116" t="s">
        <v>1136</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c r="V19" t="e">
        <f>VLOOKUP(A19,Projetos_Ciclo!$H$3:$H$315,1,FALSE)</f>
        <v>#N/A</v>
      </c>
    </row>
    <row r="20" spans="1:22" x14ac:dyDescent="0.25">
      <c r="A20" s="111" t="s">
        <v>520</v>
      </c>
      <c r="B20" s="112" t="s">
        <v>1137</v>
      </c>
      <c r="C20" s="112" t="s">
        <v>57</v>
      </c>
      <c r="D20" s="113">
        <v>896</v>
      </c>
      <c r="E20" s="114">
        <v>0</v>
      </c>
      <c r="F20" s="113">
        <v>0</v>
      </c>
      <c r="G20" s="114">
        <v>0</v>
      </c>
      <c r="H20" s="113">
        <v>0</v>
      </c>
      <c r="I20" s="114">
        <v>0</v>
      </c>
      <c r="J20" s="113">
        <v>0</v>
      </c>
      <c r="K20" s="114">
        <v>0</v>
      </c>
      <c r="L20" s="113">
        <v>0</v>
      </c>
      <c r="M20" s="114">
        <v>0</v>
      </c>
      <c r="N20" s="113">
        <v>351.5</v>
      </c>
      <c r="O20" s="114">
        <v>214.5</v>
      </c>
      <c r="P20" s="113">
        <v>51.5</v>
      </c>
      <c r="Q20" s="114">
        <v>278.5</v>
      </c>
      <c r="R20" s="113">
        <v>0</v>
      </c>
      <c r="S20" s="114">
        <v>0</v>
      </c>
      <c r="T20" s="113">
        <v>0</v>
      </c>
      <c r="U20" s="115">
        <v>0</v>
      </c>
      <c r="V20" t="str">
        <f>VLOOKUP(A20,Projetos_Ciclo!$H$3:$H$315,1,FALSE)</f>
        <v>NA</v>
      </c>
    </row>
    <row r="21" spans="1:22" x14ac:dyDescent="0.25">
      <c r="A21" s="14" t="s">
        <v>1138</v>
      </c>
      <c r="B21" s="116" t="s">
        <v>1139</v>
      </c>
      <c r="C21" s="116" t="s">
        <v>57</v>
      </c>
      <c r="D21" s="117">
        <v>0</v>
      </c>
      <c r="E21" s="120">
        <v>0</v>
      </c>
      <c r="F21" s="117">
        <v>0</v>
      </c>
      <c r="G21" s="120">
        <v>0</v>
      </c>
      <c r="H21" s="117">
        <v>0</v>
      </c>
      <c r="I21" s="120">
        <v>0</v>
      </c>
      <c r="J21" s="117">
        <v>0</v>
      </c>
      <c r="K21" s="120">
        <v>0</v>
      </c>
      <c r="L21" s="117">
        <v>0</v>
      </c>
      <c r="M21" s="120">
        <v>0</v>
      </c>
      <c r="N21" s="117">
        <v>0</v>
      </c>
      <c r="O21" s="120">
        <v>0</v>
      </c>
      <c r="P21" s="117">
        <v>0</v>
      </c>
      <c r="Q21" s="120">
        <v>0</v>
      </c>
      <c r="R21" s="117">
        <v>0</v>
      </c>
      <c r="S21" s="120">
        <v>0</v>
      </c>
      <c r="T21" s="117">
        <v>0</v>
      </c>
      <c r="U21" s="119">
        <v>0</v>
      </c>
      <c r="V21" t="e">
        <f>VLOOKUP(A21,Projetos_Ciclo!$H$3:$H$315,1,FALSE)</f>
        <v>#N/A</v>
      </c>
    </row>
    <row r="22" spans="1:22" x14ac:dyDescent="0.25">
      <c r="A22" s="111" t="s">
        <v>1407</v>
      </c>
      <c r="B22" s="112" t="s">
        <v>1408</v>
      </c>
      <c r="C22" s="112" t="s">
        <v>1409</v>
      </c>
      <c r="D22" s="113">
        <v>0</v>
      </c>
      <c r="E22" s="114">
        <v>0</v>
      </c>
      <c r="F22" s="113">
        <v>0</v>
      </c>
      <c r="G22" s="114">
        <v>59</v>
      </c>
      <c r="H22" s="113">
        <v>0</v>
      </c>
      <c r="I22" s="114">
        <v>0</v>
      </c>
      <c r="J22" s="113">
        <v>0</v>
      </c>
      <c r="K22" s="114">
        <v>0</v>
      </c>
      <c r="L22" s="113">
        <v>52.5</v>
      </c>
      <c r="M22" s="114">
        <v>52.5</v>
      </c>
      <c r="N22" s="113">
        <v>0</v>
      </c>
      <c r="O22" s="114">
        <v>0</v>
      </c>
      <c r="P22" s="113">
        <v>0</v>
      </c>
      <c r="Q22" s="114">
        <v>0</v>
      </c>
      <c r="R22" s="113">
        <v>0</v>
      </c>
      <c r="S22" s="114">
        <v>0</v>
      </c>
      <c r="T22" s="113">
        <v>0</v>
      </c>
      <c r="U22" s="115">
        <v>0</v>
      </c>
      <c r="V22" t="str">
        <f>VLOOKUP(A22,Projetos_Ciclo!$H$3:$H$315,1,FALSE)</f>
        <v>TI03218</v>
      </c>
    </row>
    <row r="23" spans="1:22" x14ac:dyDescent="0.25">
      <c r="A23" s="14" t="s">
        <v>1145</v>
      </c>
      <c r="B23" s="116" t="s">
        <v>1146</v>
      </c>
      <c r="C23" s="116" t="s">
        <v>1147</v>
      </c>
      <c r="D23" s="117">
        <v>59</v>
      </c>
      <c r="E23" s="120">
        <v>0</v>
      </c>
      <c r="F23" s="117">
        <v>59</v>
      </c>
      <c r="G23" s="120">
        <v>0</v>
      </c>
      <c r="H23" s="117">
        <v>0</v>
      </c>
      <c r="I23" s="120">
        <v>0</v>
      </c>
      <c r="J23" s="117">
        <v>0</v>
      </c>
      <c r="K23" s="120">
        <v>0</v>
      </c>
      <c r="L23" s="117">
        <v>0</v>
      </c>
      <c r="M23" s="120">
        <v>0</v>
      </c>
      <c r="N23" s="117">
        <v>0</v>
      </c>
      <c r="O23" s="120">
        <v>0</v>
      </c>
      <c r="P23" s="117">
        <v>0</v>
      </c>
      <c r="Q23" s="120">
        <v>0</v>
      </c>
      <c r="R23" s="117">
        <v>0</v>
      </c>
      <c r="S23" s="120">
        <v>0</v>
      </c>
      <c r="T23" s="117">
        <v>0</v>
      </c>
      <c r="U23" s="119">
        <v>0</v>
      </c>
      <c r="V23" t="e">
        <f>VLOOKUP(A23,Projetos_Ciclo!$H$3:$H$315,1,FALSE)</f>
        <v>#N/A</v>
      </c>
    </row>
    <row r="24" spans="1:22" x14ac:dyDescent="0.25">
      <c r="A24" s="111" t="s">
        <v>1133</v>
      </c>
      <c r="B24" s="112" t="s">
        <v>1148</v>
      </c>
      <c r="C24" s="112" t="s">
        <v>57</v>
      </c>
      <c r="D24" s="113">
        <v>0</v>
      </c>
      <c r="E24" s="114">
        <v>0</v>
      </c>
      <c r="F24" s="113">
        <v>0</v>
      </c>
      <c r="G24" s="114">
        <v>0</v>
      </c>
      <c r="H24" s="113">
        <v>0</v>
      </c>
      <c r="I24" s="114">
        <v>0</v>
      </c>
      <c r="J24" s="113">
        <v>0</v>
      </c>
      <c r="K24" s="114">
        <v>0</v>
      </c>
      <c r="L24" s="113">
        <v>0</v>
      </c>
      <c r="M24" s="114">
        <v>0</v>
      </c>
      <c r="N24" s="113">
        <v>0</v>
      </c>
      <c r="O24" s="114">
        <v>0</v>
      </c>
      <c r="P24" s="113">
        <v>0</v>
      </c>
      <c r="Q24" s="114">
        <v>0</v>
      </c>
      <c r="R24" s="113">
        <v>0</v>
      </c>
      <c r="S24" s="114">
        <v>0</v>
      </c>
      <c r="T24" s="113">
        <v>0</v>
      </c>
      <c r="U24" s="115">
        <v>0</v>
      </c>
      <c r="V24" t="e">
        <f>VLOOKUP(A24,Projetos_Ciclo!$H$3:$H$315,1,FALSE)</f>
        <v>#N/A</v>
      </c>
    </row>
    <row r="25" spans="1:22" x14ac:dyDescent="0.25">
      <c r="A25" s="14" t="s">
        <v>1135</v>
      </c>
      <c r="B25" s="116" t="s">
        <v>1136</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c r="V25" t="e">
        <f>VLOOKUP(A25,Projetos_Ciclo!$H$3:$H$315,1,FALSE)</f>
        <v>#N/A</v>
      </c>
    </row>
    <row r="26" spans="1:22" x14ac:dyDescent="0.25">
      <c r="A26" s="111" t="s">
        <v>520</v>
      </c>
      <c r="B26" s="112" t="s">
        <v>1137</v>
      </c>
      <c r="C26" s="112" t="s">
        <v>57</v>
      </c>
      <c r="D26" s="113">
        <v>4002</v>
      </c>
      <c r="E26" s="114">
        <v>0</v>
      </c>
      <c r="F26" s="113">
        <v>0</v>
      </c>
      <c r="G26" s="114">
        <v>0</v>
      </c>
      <c r="H26" s="113">
        <v>0</v>
      </c>
      <c r="I26" s="114">
        <v>0</v>
      </c>
      <c r="J26" s="113">
        <v>0</v>
      </c>
      <c r="K26" s="114">
        <v>0</v>
      </c>
      <c r="L26" s="113">
        <v>0</v>
      </c>
      <c r="M26" s="114">
        <v>0</v>
      </c>
      <c r="N26" s="113">
        <v>928</v>
      </c>
      <c r="O26" s="114">
        <v>1188</v>
      </c>
      <c r="P26" s="113">
        <v>1123</v>
      </c>
      <c r="Q26" s="114">
        <v>763</v>
      </c>
      <c r="R26" s="113">
        <v>0</v>
      </c>
      <c r="S26" s="114">
        <v>0</v>
      </c>
      <c r="T26" s="113">
        <v>0</v>
      </c>
      <c r="U26" s="115">
        <v>0</v>
      </c>
      <c r="V26" t="str">
        <f>VLOOKUP(A26,Projetos_Ciclo!$H$3:$H$315,1,FALSE)</f>
        <v>NA</v>
      </c>
    </row>
    <row r="27" spans="1:22" x14ac:dyDescent="0.25">
      <c r="A27" s="14" t="s">
        <v>1138</v>
      </c>
      <c r="B27" s="116" t="s">
        <v>1139</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c r="V27" t="e">
        <f>VLOOKUP(A27,Projetos_Ciclo!$H$3:$H$315,1,FALSE)</f>
        <v>#N/A</v>
      </c>
    </row>
    <row r="28" spans="1:22" x14ac:dyDescent="0.25">
      <c r="A28" s="111" t="s">
        <v>1058</v>
      </c>
      <c r="B28" s="112" t="s">
        <v>1149</v>
      </c>
      <c r="C28" s="112" t="s">
        <v>1150</v>
      </c>
      <c r="D28" s="113">
        <v>0</v>
      </c>
      <c r="E28" s="114">
        <v>0</v>
      </c>
      <c r="F28" s="113">
        <v>0</v>
      </c>
      <c r="G28" s="114">
        <v>119</v>
      </c>
      <c r="H28" s="113">
        <v>0</v>
      </c>
      <c r="I28" s="114">
        <v>119.11103057861328</v>
      </c>
      <c r="J28" s="113">
        <v>0</v>
      </c>
      <c r="K28" s="114">
        <v>119.11103057861328</v>
      </c>
      <c r="L28" s="113">
        <v>0</v>
      </c>
      <c r="M28" s="114">
        <v>119.11103057861328</v>
      </c>
      <c r="N28" s="113">
        <v>0</v>
      </c>
      <c r="O28" s="114">
        <v>0</v>
      </c>
      <c r="P28" s="113">
        <v>0</v>
      </c>
      <c r="Q28" s="114">
        <v>0</v>
      </c>
      <c r="R28" s="113">
        <v>0</v>
      </c>
      <c r="S28" s="114">
        <v>0</v>
      </c>
      <c r="T28" s="113">
        <v>0</v>
      </c>
      <c r="U28" s="115">
        <v>0</v>
      </c>
      <c r="V28" t="str">
        <f>VLOOKUP(A28,Projetos_Ciclo!$H$3:$H$315,1,FALSE)</f>
        <v>TI00218</v>
      </c>
    </row>
    <row r="29" spans="1:22" x14ac:dyDescent="0.25">
      <c r="A29" s="14" t="s">
        <v>744</v>
      </c>
      <c r="B29" s="116" t="s">
        <v>378</v>
      </c>
      <c r="C29" s="116" t="s">
        <v>1151</v>
      </c>
      <c r="D29" s="117">
        <v>0</v>
      </c>
      <c r="E29" s="120">
        <v>0</v>
      </c>
      <c r="F29" s="117">
        <v>0</v>
      </c>
      <c r="G29" s="120">
        <v>490</v>
      </c>
      <c r="H29" s="117">
        <v>0</v>
      </c>
      <c r="I29" s="120">
        <v>199.49535179138184</v>
      </c>
      <c r="J29" s="117">
        <v>0</v>
      </c>
      <c r="K29" s="120">
        <v>199.49535179138184</v>
      </c>
      <c r="L29" s="117">
        <v>284.27999877929687</v>
      </c>
      <c r="M29" s="120">
        <v>483.77535057067871</v>
      </c>
      <c r="N29" s="117">
        <v>0</v>
      </c>
      <c r="O29" s="120">
        <v>0</v>
      </c>
      <c r="P29" s="117">
        <v>0</v>
      </c>
      <c r="Q29" s="120">
        <v>0</v>
      </c>
      <c r="R29" s="117">
        <v>0</v>
      </c>
      <c r="S29" s="120">
        <v>0</v>
      </c>
      <c r="T29" s="117">
        <v>0</v>
      </c>
      <c r="U29" s="119">
        <v>0</v>
      </c>
      <c r="V29" t="str">
        <f>VLOOKUP(A29,Projetos_Ciclo!$H$3:$H$315,1,FALSE)</f>
        <v>TI02216</v>
      </c>
    </row>
    <row r="30" spans="1:22" x14ac:dyDescent="0.25">
      <c r="A30" s="111" t="s">
        <v>1152</v>
      </c>
      <c r="B30" s="112" t="s">
        <v>1149</v>
      </c>
      <c r="C30" s="112" t="s">
        <v>1153</v>
      </c>
      <c r="D30" s="113">
        <v>0</v>
      </c>
      <c r="E30" s="114">
        <v>0</v>
      </c>
      <c r="F30" s="113">
        <v>0</v>
      </c>
      <c r="G30" s="114">
        <v>115</v>
      </c>
      <c r="H30" s="113">
        <v>0</v>
      </c>
      <c r="I30" s="114">
        <v>0</v>
      </c>
      <c r="J30" s="113">
        <v>0</v>
      </c>
      <c r="K30" s="114">
        <v>0</v>
      </c>
      <c r="L30" s="113">
        <v>115.19999694824219</v>
      </c>
      <c r="M30" s="114">
        <v>115.19999694824219</v>
      </c>
      <c r="N30" s="113">
        <v>0</v>
      </c>
      <c r="O30" s="114">
        <v>0</v>
      </c>
      <c r="P30" s="113">
        <v>0</v>
      </c>
      <c r="Q30" s="114">
        <v>0</v>
      </c>
      <c r="R30" s="113">
        <v>0</v>
      </c>
      <c r="S30" s="114">
        <v>0</v>
      </c>
      <c r="T30" s="113">
        <v>0</v>
      </c>
      <c r="U30" s="115">
        <v>0</v>
      </c>
      <c r="V30" t="str">
        <f>VLOOKUP(A30,Projetos_Ciclo!$H$3:$H$315,1,FALSE)</f>
        <v>TI03018</v>
      </c>
    </row>
    <row r="31" spans="1:22" x14ac:dyDescent="0.25">
      <c r="A31" s="14" t="s">
        <v>1154</v>
      </c>
      <c r="B31" s="116" t="s">
        <v>1155</v>
      </c>
      <c r="C31" s="116" t="s">
        <v>1156</v>
      </c>
      <c r="D31" s="117">
        <v>2118</v>
      </c>
      <c r="E31" s="120">
        <v>0</v>
      </c>
      <c r="F31" s="117">
        <v>1886</v>
      </c>
      <c r="G31" s="120">
        <v>0</v>
      </c>
      <c r="H31" s="117">
        <v>318</v>
      </c>
      <c r="I31" s="120">
        <v>0</v>
      </c>
      <c r="J31" s="117">
        <v>0</v>
      </c>
      <c r="K31" s="120">
        <v>0</v>
      </c>
      <c r="L31" s="117">
        <v>0</v>
      </c>
      <c r="M31" s="120">
        <v>0</v>
      </c>
      <c r="N31" s="117">
        <v>210</v>
      </c>
      <c r="O31" s="120">
        <v>22</v>
      </c>
      <c r="P31" s="117">
        <v>0</v>
      </c>
      <c r="Q31" s="120">
        <v>0</v>
      </c>
      <c r="R31" s="117">
        <v>0</v>
      </c>
      <c r="S31" s="120">
        <v>0</v>
      </c>
      <c r="T31" s="117">
        <v>0</v>
      </c>
      <c r="U31" s="119">
        <v>0</v>
      </c>
      <c r="V31" t="e">
        <f>VLOOKUP(A31,Projetos_Ciclo!$H$3:$H$315,1,FALSE)</f>
        <v>#N/A</v>
      </c>
    </row>
    <row r="32" spans="1:22" x14ac:dyDescent="0.25">
      <c r="A32" s="111" t="s">
        <v>1410</v>
      </c>
      <c r="B32" s="112" t="s">
        <v>1411</v>
      </c>
      <c r="C32" s="112" t="s">
        <v>1412</v>
      </c>
      <c r="D32" s="113">
        <v>0</v>
      </c>
      <c r="E32" s="114">
        <v>0</v>
      </c>
      <c r="F32" s="113">
        <v>0</v>
      </c>
      <c r="G32" s="114">
        <v>27</v>
      </c>
      <c r="H32" s="113">
        <v>0</v>
      </c>
      <c r="I32" s="114">
        <v>0</v>
      </c>
      <c r="J32" s="113">
        <v>0</v>
      </c>
      <c r="K32" s="114">
        <v>0</v>
      </c>
      <c r="L32" s="113">
        <v>21.477760314941406</v>
      </c>
      <c r="M32" s="114">
        <v>21.477760314941406</v>
      </c>
      <c r="N32" s="113">
        <v>0</v>
      </c>
      <c r="O32" s="114">
        <v>0</v>
      </c>
      <c r="P32" s="113">
        <v>0</v>
      </c>
      <c r="Q32" s="114">
        <v>0</v>
      </c>
      <c r="R32" s="113">
        <v>0</v>
      </c>
      <c r="S32" s="114">
        <v>0</v>
      </c>
      <c r="T32" s="113">
        <v>0</v>
      </c>
      <c r="U32" s="115">
        <v>0</v>
      </c>
      <c r="V32" t="str">
        <f>VLOOKUP(A32,Projetos_Ciclo!$H$3:$H$315,1,FALSE)</f>
        <v>TI04818</v>
      </c>
    </row>
    <row r="33" spans="1:22" x14ac:dyDescent="0.25">
      <c r="A33" s="14" t="s">
        <v>1413</v>
      </c>
      <c r="B33" s="116" t="s">
        <v>1414</v>
      </c>
      <c r="C33" s="116" t="s">
        <v>1415</v>
      </c>
      <c r="D33" s="117">
        <v>0</v>
      </c>
      <c r="E33" s="120">
        <v>0</v>
      </c>
      <c r="F33" s="117">
        <v>0</v>
      </c>
      <c r="G33" s="120">
        <v>32</v>
      </c>
      <c r="H33" s="117">
        <v>0</v>
      </c>
      <c r="I33" s="120">
        <v>0</v>
      </c>
      <c r="J33" s="117">
        <v>0</v>
      </c>
      <c r="K33" s="120">
        <v>0</v>
      </c>
      <c r="L33" s="117">
        <v>28.65779972076416</v>
      </c>
      <c r="M33" s="120">
        <v>28.65779972076416</v>
      </c>
      <c r="N33" s="117">
        <v>0</v>
      </c>
      <c r="O33" s="120">
        <v>0</v>
      </c>
      <c r="P33" s="117">
        <v>0</v>
      </c>
      <c r="Q33" s="120">
        <v>0</v>
      </c>
      <c r="R33" s="117">
        <v>0</v>
      </c>
      <c r="S33" s="120">
        <v>0</v>
      </c>
      <c r="T33" s="117">
        <v>0</v>
      </c>
      <c r="U33" s="119">
        <v>0</v>
      </c>
      <c r="V33" t="str">
        <f>VLOOKUP(A33,Projetos_Ciclo!$H$3:$H$315,1,FALSE)</f>
        <v>TI04918</v>
      </c>
    </row>
    <row r="34" spans="1:22" x14ac:dyDescent="0.25">
      <c r="A34" s="111" t="s">
        <v>1565</v>
      </c>
      <c r="B34" s="112" t="s">
        <v>972</v>
      </c>
      <c r="C34" s="112" t="s">
        <v>1566</v>
      </c>
      <c r="D34" s="113">
        <v>0</v>
      </c>
      <c r="E34" s="114">
        <v>0</v>
      </c>
      <c r="F34" s="113">
        <v>0</v>
      </c>
      <c r="G34" s="114">
        <v>318</v>
      </c>
      <c r="H34" s="113">
        <v>0</v>
      </c>
      <c r="I34" s="114">
        <v>0</v>
      </c>
      <c r="J34" s="113">
        <v>0</v>
      </c>
      <c r="K34" s="114">
        <v>0</v>
      </c>
      <c r="L34" s="113">
        <v>0</v>
      </c>
      <c r="M34" s="114">
        <v>0</v>
      </c>
      <c r="N34" s="113">
        <v>0</v>
      </c>
      <c r="O34" s="114">
        <v>0</v>
      </c>
      <c r="P34" s="113">
        <v>0</v>
      </c>
      <c r="Q34" s="114">
        <v>0</v>
      </c>
      <c r="R34" s="113">
        <v>0</v>
      </c>
      <c r="S34" s="114">
        <v>0</v>
      </c>
      <c r="T34" s="113">
        <v>0</v>
      </c>
      <c r="U34" s="115">
        <v>0</v>
      </c>
      <c r="V34" t="str">
        <f>VLOOKUP(A34,Projetos_Ciclo!$H$3:$H$315,1,FALSE)</f>
        <v>TI05818</v>
      </c>
    </row>
    <row r="35" spans="1:22" x14ac:dyDescent="0.25">
      <c r="A35" s="14" t="s">
        <v>1703</v>
      </c>
      <c r="B35" s="116" t="s">
        <v>789</v>
      </c>
      <c r="C35" s="116" t="s">
        <v>1704</v>
      </c>
      <c r="D35" s="117">
        <v>0</v>
      </c>
      <c r="E35" s="120">
        <v>0</v>
      </c>
      <c r="F35" s="117">
        <v>0</v>
      </c>
      <c r="G35" s="120">
        <v>420</v>
      </c>
      <c r="H35" s="117">
        <v>0</v>
      </c>
      <c r="I35" s="120">
        <v>0</v>
      </c>
      <c r="J35" s="117">
        <v>0</v>
      </c>
      <c r="K35" s="120">
        <v>0</v>
      </c>
      <c r="L35" s="117">
        <v>0</v>
      </c>
      <c r="M35" s="120">
        <v>0</v>
      </c>
      <c r="N35" s="117">
        <v>0</v>
      </c>
      <c r="O35" s="120">
        <v>0</v>
      </c>
      <c r="P35" s="117">
        <v>0</v>
      </c>
      <c r="Q35" s="120">
        <v>0</v>
      </c>
      <c r="R35" s="117">
        <v>0</v>
      </c>
      <c r="S35" s="120">
        <v>0</v>
      </c>
      <c r="T35" s="117">
        <v>0</v>
      </c>
      <c r="U35" s="119">
        <v>0</v>
      </c>
      <c r="V35" t="str">
        <f>VLOOKUP(A35,Projetos_Ciclo!$H$3:$H$315,1,FALSE)</f>
        <v>TI06818</v>
      </c>
    </row>
    <row r="36" spans="1:22" x14ac:dyDescent="0.25">
      <c r="A36" s="111" t="s">
        <v>1705</v>
      </c>
      <c r="B36" s="112" t="s">
        <v>1706</v>
      </c>
      <c r="C36" s="112" t="s">
        <v>1707</v>
      </c>
      <c r="D36" s="113">
        <v>0</v>
      </c>
      <c r="E36" s="114">
        <v>0</v>
      </c>
      <c r="F36" s="113">
        <v>0</v>
      </c>
      <c r="G36" s="114">
        <v>22</v>
      </c>
      <c r="H36" s="113">
        <v>0</v>
      </c>
      <c r="I36" s="114">
        <v>0</v>
      </c>
      <c r="J36" s="113">
        <v>0</v>
      </c>
      <c r="K36" s="114">
        <v>0</v>
      </c>
      <c r="L36" s="113">
        <v>21.861900329589844</v>
      </c>
      <c r="M36" s="114">
        <v>21.861900329589844</v>
      </c>
      <c r="N36" s="113">
        <v>0</v>
      </c>
      <c r="O36" s="114">
        <v>0</v>
      </c>
      <c r="P36" s="113">
        <v>0</v>
      </c>
      <c r="Q36" s="114">
        <v>0</v>
      </c>
      <c r="R36" s="113">
        <v>0</v>
      </c>
      <c r="S36" s="114">
        <v>0</v>
      </c>
      <c r="T36" s="113">
        <v>0</v>
      </c>
      <c r="U36" s="115">
        <v>0</v>
      </c>
      <c r="V36" t="str">
        <f>VLOOKUP(A36,Projetos_Ciclo!$H$3:$H$315,1,FALSE)</f>
        <v>TI07218</v>
      </c>
    </row>
    <row r="37" spans="1:22" x14ac:dyDescent="0.25">
      <c r="A37" s="14" t="s">
        <v>1133</v>
      </c>
      <c r="B37" s="116" t="s">
        <v>1157</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c r="V37" t="e">
        <f>VLOOKUP(A37,Projetos_Ciclo!$H$3:$H$315,1,FALSE)</f>
        <v>#N/A</v>
      </c>
    </row>
    <row r="38" spans="1:22" x14ac:dyDescent="0.25">
      <c r="A38" s="111" t="s">
        <v>1135</v>
      </c>
      <c r="B38" s="112" t="s">
        <v>1136</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c r="V38" t="e">
        <f>VLOOKUP(A38,Projetos_Ciclo!$H$3:$H$315,1,FALSE)</f>
        <v>#N/A</v>
      </c>
    </row>
    <row r="39" spans="1:22" x14ac:dyDescent="0.25">
      <c r="A39" s="14" t="s">
        <v>1386</v>
      </c>
      <c r="B39" s="116" t="s">
        <v>1387</v>
      </c>
      <c r="C39" s="116" t="s">
        <v>1388</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c r="V39" t="e">
        <f>VLOOKUP(A39,Projetos_Ciclo!$H$3:$H$315,1,FALSE)</f>
        <v>#N/A</v>
      </c>
    </row>
    <row r="40" spans="1:22" x14ac:dyDescent="0.25">
      <c r="A40" s="111" t="s">
        <v>520</v>
      </c>
      <c r="B40" s="112" t="s">
        <v>1137</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c r="V40" t="str">
        <f>VLOOKUP(A40,Projetos_Ciclo!$H$3:$H$315,1,FALSE)</f>
        <v>NA</v>
      </c>
    </row>
    <row r="41" spans="1:22" x14ac:dyDescent="0.25">
      <c r="A41" s="14" t="s">
        <v>1138</v>
      </c>
      <c r="B41" s="116" t="s">
        <v>1139</v>
      </c>
      <c r="C41" s="116" t="s">
        <v>57</v>
      </c>
      <c r="D41" s="117">
        <v>103</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c r="V41" t="e">
        <f>VLOOKUP(A41,Projetos_Ciclo!$H$3:$H$315,1,FALSE)</f>
        <v>#N/A</v>
      </c>
    </row>
    <row r="42" spans="1:22" x14ac:dyDescent="0.25">
      <c r="A42" s="111" t="s">
        <v>1133</v>
      </c>
      <c r="B42" s="112" t="s">
        <v>1158</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c r="V42" t="e">
        <f>VLOOKUP(A42,Projetos_Ciclo!$H$3:$H$315,1,FALSE)</f>
        <v>#N/A</v>
      </c>
    </row>
    <row r="43" spans="1:22" x14ac:dyDescent="0.25">
      <c r="A43" s="14" t="s">
        <v>1135</v>
      </c>
      <c r="B43" s="116" t="s">
        <v>1136</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c r="V43" t="e">
        <f>VLOOKUP(A43,Projetos_Ciclo!$H$3:$H$315,1,FALSE)</f>
        <v>#N/A</v>
      </c>
    </row>
    <row r="44" spans="1:22" x14ac:dyDescent="0.25">
      <c r="A44" s="111" t="s">
        <v>1389</v>
      </c>
      <c r="B44" s="112" t="s">
        <v>1390</v>
      </c>
      <c r="C44" s="112" t="s">
        <v>1391</v>
      </c>
      <c r="D44" s="113">
        <v>608</v>
      </c>
      <c r="E44" s="114">
        <v>0</v>
      </c>
      <c r="F44" s="113">
        <v>518</v>
      </c>
      <c r="G44" s="114">
        <v>0</v>
      </c>
      <c r="H44" s="113">
        <v>21</v>
      </c>
      <c r="I44" s="114">
        <v>0</v>
      </c>
      <c r="J44" s="113">
        <v>0</v>
      </c>
      <c r="K44" s="114">
        <v>0</v>
      </c>
      <c r="L44" s="113">
        <v>0</v>
      </c>
      <c r="M44" s="114">
        <v>0</v>
      </c>
      <c r="N44" s="113">
        <v>90</v>
      </c>
      <c r="O44" s="114">
        <v>0</v>
      </c>
      <c r="P44" s="113">
        <v>0</v>
      </c>
      <c r="Q44" s="114">
        <v>0</v>
      </c>
      <c r="R44" s="113">
        <v>0</v>
      </c>
      <c r="S44" s="114">
        <v>0</v>
      </c>
      <c r="T44" s="113">
        <v>0</v>
      </c>
      <c r="U44" s="115">
        <v>0</v>
      </c>
      <c r="V44" t="e">
        <f>VLOOKUP(A44,Projetos_Ciclo!$H$3:$H$315,1,FALSE)</f>
        <v>#N/A</v>
      </c>
    </row>
    <row r="45" spans="1:22" x14ac:dyDescent="0.25">
      <c r="A45" s="14" t="s">
        <v>1162</v>
      </c>
      <c r="B45" s="116" t="s">
        <v>1163</v>
      </c>
      <c r="C45" s="116" t="s">
        <v>1164</v>
      </c>
      <c r="D45" s="117">
        <v>0</v>
      </c>
      <c r="E45" s="120">
        <v>0</v>
      </c>
      <c r="F45" s="117">
        <v>0</v>
      </c>
      <c r="G45" s="120">
        <v>82</v>
      </c>
      <c r="H45" s="117">
        <v>0</v>
      </c>
      <c r="I45" s="120">
        <v>10.290000200271606</v>
      </c>
      <c r="J45" s="117">
        <v>0</v>
      </c>
      <c r="K45" s="120">
        <v>10.290000200271606</v>
      </c>
      <c r="L45" s="117">
        <v>67</v>
      </c>
      <c r="M45" s="120">
        <v>77.290000200271606</v>
      </c>
      <c r="N45" s="117">
        <v>0</v>
      </c>
      <c r="O45" s="120">
        <v>0</v>
      </c>
      <c r="P45" s="117">
        <v>0</v>
      </c>
      <c r="Q45" s="120">
        <v>0</v>
      </c>
      <c r="R45" s="117">
        <v>0</v>
      </c>
      <c r="S45" s="120">
        <v>0</v>
      </c>
      <c r="T45" s="117">
        <v>0</v>
      </c>
      <c r="U45" s="119">
        <v>0</v>
      </c>
      <c r="V45" t="str">
        <f>VLOOKUP(A45,Projetos_Ciclo!$H$3:$H$315,1,FALSE)</f>
        <v>MG00318</v>
      </c>
    </row>
    <row r="46" spans="1:22" x14ac:dyDescent="0.25">
      <c r="A46" s="111" t="s">
        <v>520</v>
      </c>
      <c r="B46" s="112" t="s">
        <v>1168</v>
      </c>
      <c r="C46" s="112" t="s">
        <v>57</v>
      </c>
      <c r="D46" s="113">
        <v>1693</v>
      </c>
      <c r="E46" s="114">
        <v>0</v>
      </c>
      <c r="F46" s="113">
        <v>0</v>
      </c>
      <c r="G46" s="114">
        <v>0</v>
      </c>
      <c r="H46" s="113">
        <v>0</v>
      </c>
      <c r="I46" s="114">
        <v>0</v>
      </c>
      <c r="J46" s="113">
        <v>0</v>
      </c>
      <c r="K46" s="114">
        <v>0</v>
      </c>
      <c r="L46" s="113">
        <v>0</v>
      </c>
      <c r="M46" s="114">
        <v>0</v>
      </c>
      <c r="N46" s="113">
        <v>396</v>
      </c>
      <c r="O46" s="114">
        <v>602</v>
      </c>
      <c r="P46" s="113">
        <v>498</v>
      </c>
      <c r="Q46" s="114">
        <v>197</v>
      </c>
      <c r="R46" s="113">
        <v>0</v>
      </c>
      <c r="S46" s="114">
        <v>0</v>
      </c>
      <c r="T46" s="113">
        <v>0</v>
      </c>
      <c r="U46" s="115">
        <v>0</v>
      </c>
      <c r="V46" t="str">
        <f>VLOOKUP(A46,Projetos_Ciclo!$H$3:$H$315,1,FALSE)</f>
        <v>NA</v>
      </c>
    </row>
    <row r="47" spans="1:22" x14ac:dyDescent="0.25">
      <c r="A47" s="14" t="s">
        <v>1169</v>
      </c>
      <c r="B47" s="116" t="s">
        <v>1170</v>
      </c>
      <c r="C47" s="116" t="s">
        <v>1171</v>
      </c>
      <c r="D47" s="117">
        <v>0</v>
      </c>
      <c r="E47" s="120">
        <v>0</v>
      </c>
      <c r="F47" s="117">
        <v>0</v>
      </c>
      <c r="G47" s="120">
        <v>74</v>
      </c>
      <c r="H47" s="117">
        <v>0</v>
      </c>
      <c r="I47" s="120">
        <v>0</v>
      </c>
      <c r="J47" s="117">
        <v>0</v>
      </c>
      <c r="K47" s="120">
        <v>0</v>
      </c>
      <c r="L47" s="117">
        <v>30.149999618530273</v>
      </c>
      <c r="M47" s="120">
        <v>30.149999618530273</v>
      </c>
      <c r="N47" s="117">
        <v>0</v>
      </c>
      <c r="O47" s="120">
        <v>0</v>
      </c>
      <c r="P47" s="117">
        <v>0</v>
      </c>
      <c r="Q47" s="120">
        <v>0</v>
      </c>
      <c r="R47" s="117">
        <v>0</v>
      </c>
      <c r="S47" s="120">
        <v>0</v>
      </c>
      <c r="T47" s="117">
        <v>0</v>
      </c>
      <c r="U47" s="119">
        <v>0</v>
      </c>
      <c r="V47" t="str">
        <f>VLOOKUP(A47,Projetos_Ciclo!$H$3:$H$315,1,FALSE)</f>
        <v>PO00117</v>
      </c>
    </row>
    <row r="48" spans="1:22" x14ac:dyDescent="0.25">
      <c r="A48" s="111" t="s">
        <v>1172</v>
      </c>
      <c r="B48" s="112" t="s">
        <v>1173</v>
      </c>
      <c r="C48" s="112" t="s">
        <v>1174</v>
      </c>
      <c r="D48" s="113">
        <v>0</v>
      </c>
      <c r="E48" s="114">
        <v>0</v>
      </c>
      <c r="F48" s="113">
        <v>0</v>
      </c>
      <c r="G48" s="114">
        <v>270</v>
      </c>
      <c r="H48" s="113">
        <v>0</v>
      </c>
      <c r="I48" s="114">
        <v>9.8500003814697266</v>
      </c>
      <c r="J48" s="113">
        <v>0</v>
      </c>
      <c r="K48" s="114">
        <v>9.8500003814697266</v>
      </c>
      <c r="L48" s="113">
        <v>156.27191162109375</v>
      </c>
      <c r="M48" s="114">
        <v>166.12191200256348</v>
      </c>
      <c r="N48" s="113">
        <v>0</v>
      </c>
      <c r="O48" s="114">
        <v>0</v>
      </c>
      <c r="P48" s="113">
        <v>0</v>
      </c>
      <c r="Q48" s="114">
        <v>0</v>
      </c>
      <c r="R48" s="113">
        <v>0</v>
      </c>
      <c r="S48" s="114">
        <v>0</v>
      </c>
      <c r="T48" s="113">
        <v>0</v>
      </c>
      <c r="U48" s="115">
        <v>0</v>
      </c>
      <c r="V48" t="str">
        <f>VLOOKUP(A48,Projetos_Ciclo!$H$3:$H$315,1,FALSE)</f>
        <v>PO00118</v>
      </c>
    </row>
    <row r="49" spans="1:22" x14ac:dyDescent="0.25">
      <c r="A49" s="14" t="s">
        <v>1138</v>
      </c>
      <c r="B49" s="116" t="s">
        <v>1139</v>
      </c>
      <c r="C49" s="116" t="s">
        <v>57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c r="V49" t="e">
        <f>VLOOKUP(A49,Projetos_Ciclo!$H$3:$H$315,1,FALSE)</f>
        <v>#N/A</v>
      </c>
    </row>
    <row r="50" spans="1:22" x14ac:dyDescent="0.25">
      <c r="A50" s="111" t="s">
        <v>1133</v>
      </c>
      <c r="B50" s="112" t="s">
        <v>1134</v>
      </c>
      <c r="C50" s="112" t="s">
        <v>57</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c r="V50" t="e">
        <f>VLOOKUP(A50,Projetos_Ciclo!$H$3:$H$315,1,FALSE)</f>
        <v>#N/A</v>
      </c>
    </row>
    <row r="51" spans="1:22" x14ac:dyDescent="0.25">
      <c r="A51" s="14" t="s">
        <v>1135</v>
      </c>
      <c r="B51" s="116" t="s">
        <v>1136</v>
      </c>
      <c r="C51" s="116" t="s">
        <v>57</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c r="V51" t="e">
        <f>VLOOKUP(A51,Projetos_Ciclo!$H$3:$H$315,1,FALSE)</f>
        <v>#N/A</v>
      </c>
    </row>
    <row r="52" spans="1:22" x14ac:dyDescent="0.25">
      <c r="A52" s="111" t="s">
        <v>1392</v>
      </c>
      <c r="B52" s="112" t="s">
        <v>1393</v>
      </c>
      <c r="C52" s="112" t="s">
        <v>1394</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c r="V52" t="e">
        <f>VLOOKUP(A52,Projetos_Ciclo!$H$3:$H$315,1,FALSE)</f>
        <v>#N/A</v>
      </c>
    </row>
    <row r="53" spans="1:22" x14ac:dyDescent="0.25">
      <c r="A53" s="14" t="s">
        <v>520</v>
      </c>
      <c r="B53" s="116" t="s">
        <v>1137</v>
      </c>
      <c r="C53" s="116" t="s">
        <v>57</v>
      </c>
      <c r="D53" s="117">
        <v>1911</v>
      </c>
      <c r="E53" s="120">
        <v>0</v>
      </c>
      <c r="F53" s="117">
        <v>0</v>
      </c>
      <c r="G53" s="120">
        <v>0</v>
      </c>
      <c r="H53" s="117">
        <v>0</v>
      </c>
      <c r="I53" s="120">
        <v>0</v>
      </c>
      <c r="J53" s="117">
        <v>0</v>
      </c>
      <c r="K53" s="120">
        <v>0</v>
      </c>
      <c r="L53" s="117">
        <v>0</v>
      </c>
      <c r="M53" s="120">
        <v>0</v>
      </c>
      <c r="N53" s="117">
        <v>430</v>
      </c>
      <c r="O53" s="120">
        <v>204</v>
      </c>
      <c r="P53" s="117">
        <v>1251</v>
      </c>
      <c r="Q53" s="120">
        <v>26</v>
      </c>
      <c r="R53" s="117">
        <v>0</v>
      </c>
      <c r="S53" s="120">
        <v>0</v>
      </c>
      <c r="T53" s="117">
        <v>0</v>
      </c>
      <c r="U53" s="119">
        <v>0</v>
      </c>
      <c r="V53" t="str">
        <f>VLOOKUP(A53,Projetos_Ciclo!$H$3:$H$315,1,FALSE)</f>
        <v>NA</v>
      </c>
    </row>
    <row r="54" spans="1:22" x14ac:dyDescent="0.25">
      <c r="A54" s="111" t="s">
        <v>1138</v>
      </c>
      <c r="B54" s="112" t="s">
        <v>1139</v>
      </c>
      <c r="C54" s="112" t="s">
        <v>57</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c r="V54" t="e">
        <f>VLOOKUP(A54,Projetos_Ciclo!$H$3:$H$315,1,FALSE)</f>
        <v>#N/A</v>
      </c>
    </row>
    <row r="55" spans="1:22" x14ac:dyDescent="0.25">
      <c r="A55" s="14" t="s">
        <v>1133</v>
      </c>
      <c r="B55" s="116" t="s">
        <v>1140</v>
      </c>
      <c r="C55" s="116" t="s">
        <v>57</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c r="V55" t="e">
        <f>VLOOKUP(A55,Projetos_Ciclo!$H$3:$H$315,1,FALSE)</f>
        <v>#N/A</v>
      </c>
    </row>
    <row r="56" spans="1:22" x14ac:dyDescent="0.25">
      <c r="A56" s="111" t="s">
        <v>1135</v>
      </c>
      <c r="B56" s="112" t="s">
        <v>1136</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c r="V56" t="e">
        <f>VLOOKUP(A56,Projetos_Ciclo!$H$3:$H$315,1,FALSE)</f>
        <v>#N/A</v>
      </c>
    </row>
    <row r="57" spans="1:22" x14ac:dyDescent="0.25">
      <c r="A57" s="14" t="s">
        <v>520</v>
      </c>
      <c r="B57" s="116" t="s">
        <v>1137</v>
      </c>
      <c r="C57" s="116" t="s">
        <v>57</v>
      </c>
      <c r="D57" s="117">
        <v>257</v>
      </c>
      <c r="E57" s="120">
        <v>0</v>
      </c>
      <c r="F57" s="117">
        <v>0</v>
      </c>
      <c r="G57" s="120">
        <v>0</v>
      </c>
      <c r="H57" s="117">
        <v>0</v>
      </c>
      <c r="I57" s="120">
        <v>0</v>
      </c>
      <c r="J57" s="117">
        <v>0</v>
      </c>
      <c r="K57" s="120">
        <v>0</v>
      </c>
      <c r="L57" s="117">
        <v>0</v>
      </c>
      <c r="M57" s="120">
        <v>0</v>
      </c>
      <c r="N57" s="117">
        <v>6</v>
      </c>
      <c r="O57" s="120">
        <v>83</v>
      </c>
      <c r="P57" s="117">
        <v>90</v>
      </c>
      <c r="Q57" s="120">
        <v>78</v>
      </c>
      <c r="R57" s="117">
        <v>0</v>
      </c>
      <c r="S57" s="120">
        <v>0</v>
      </c>
      <c r="T57" s="117">
        <v>0</v>
      </c>
      <c r="U57" s="119">
        <v>0</v>
      </c>
      <c r="V57" t="str">
        <f>VLOOKUP(A57,Projetos_Ciclo!$H$3:$H$315,1,FALSE)</f>
        <v>NA</v>
      </c>
    </row>
    <row r="58" spans="1:22" x14ac:dyDescent="0.25">
      <c r="A58" s="111" t="s">
        <v>1138</v>
      </c>
      <c r="B58" s="112" t="s">
        <v>1139</v>
      </c>
      <c r="C58" s="112" t="s">
        <v>57</v>
      </c>
      <c r="D58" s="113">
        <v>0</v>
      </c>
      <c r="E58" s="114">
        <v>0</v>
      </c>
      <c r="F58" s="113">
        <v>0</v>
      </c>
      <c r="G58" s="114">
        <v>0</v>
      </c>
      <c r="H58" s="113">
        <v>0</v>
      </c>
      <c r="I58" s="114">
        <v>0</v>
      </c>
      <c r="J58" s="113">
        <v>0</v>
      </c>
      <c r="K58" s="114">
        <v>0</v>
      </c>
      <c r="L58" s="113">
        <v>0</v>
      </c>
      <c r="M58" s="114">
        <v>0</v>
      </c>
      <c r="N58" s="113">
        <v>0</v>
      </c>
      <c r="O58" s="114">
        <v>0</v>
      </c>
      <c r="P58" s="113">
        <v>0</v>
      </c>
      <c r="Q58" s="114">
        <v>0</v>
      </c>
      <c r="R58" s="113">
        <v>0</v>
      </c>
      <c r="S58" s="114">
        <v>0</v>
      </c>
      <c r="T58" s="113">
        <v>0</v>
      </c>
      <c r="U58" s="115">
        <v>0</v>
      </c>
      <c r="V58" t="e">
        <f>VLOOKUP(A58,Projetos_Ciclo!$H$3:$H$315,1,FALSE)</f>
        <v>#N/A</v>
      </c>
    </row>
    <row r="59" spans="1:22" x14ac:dyDescent="0.25">
      <c r="A59" s="14" t="s">
        <v>1181</v>
      </c>
      <c r="B59" s="116" t="s">
        <v>1182</v>
      </c>
      <c r="C59" s="116" t="s">
        <v>1183</v>
      </c>
      <c r="D59" s="117">
        <v>182</v>
      </c>
      <c r="E59" s="120">
        <v>0</v>
      </c>
      <c r="F59" s="117">
        <v>142</v>
      </c>
      <c r="G59" s="120">
        <v>0</v>
      </c>
      <c r="H59" s="117">
        <v>0</v>
      </c>
      <c r="I59" s="120">
        <v>0</v>
      </c>
      <c r="J59" s="117">
        <v>0</v>
      </c>
      <c r="K59" s="120">
        <v>0</v>
      </c>
      <c r="L59" s="117">
        <v>0</v>
      </c>
      <c r="M59" s="120">
        <v>0</v>
      </c>
      <c r="N59" s="117">
        <v>40</v>
      </c>
      <c r="O59" s="120">
        <v>0</v>
      </c>
      <c r="P59" s="117">
        <v>0</v>
      </c>
      <c r="Q59" s="120">
        <v>0</v>
      </c>
      <c r="R59" s="117">
        <v>0</v>
      </c>
      <c r="S59" s="120">
        <v>0</v>
      </c>
      <c r="T59" s="117">
        <v>0</v>
      </c>
      <c r="U59" s="119">
        <v>0</v>
      </c>
      <c r="V59" t="e">
        <f>VLOOKUP(A59,Projetos_Ciclo!$H$3:$H$315,1,FALSE)</f>
        <v>#N/A</v>
      </c>
    </row>
    <row r="60" spans="1:22" x14ac:dyDescent="0.25">
      <c r="A60" s="111" t="s">
        <v>1659</v>
      </c>
      <c r="B60" s="112" t="s">
        <v>1660</v>
      </c>
      <c r="C60" s="112" t="s">
        <v>1661</v>
      </c>
      <c r="D60" s="113">
        <v>0</v>
      </c>
      <c r="E60" s="114">
        <v>0</v>
      </c>
      <c r="F60" s="113">
        <v>0</v>
      </c>
      <c r="G60" s="114">
        <v>142</v>
      </c>
      <c r="H60" s="113">
        <v>0</v>
      </c>
      <c r="I60" s="114">
        <v>0</v>
      </c>
      <c r="J60" s="113">
        <v>0</v>
      </c>
      <c r="K60" s="114">
        <v>0</v>
      </c>
      <c r="L60" s="113">
        <v>142.21935653686523</v>
      </c>
      <c r="M60" s="114">
        <v>142.21935653686523</v>
      </c>
      <c r="N60" s="113">
        <v>0</v>
      </c>
      <c r="O60" s="114">
        <v>0</v>
      </c>
      <c r="P60" s="113">
        <v>0</v>
      </c>
      <c r="Q60" s="114">
        <v>0</v>
      </c>
      <c r="R60" s="113">
        <v>0</v>
      </c>
      <c r="S60" s="114">
        <v>0</v>
      </c>
      <c r="T60" s="113">
        <v>0</v>
      </c>
      <c r="U60" s="115">
        <v>0</v>
      </c>
      <c r="V60" t="str">
        <f>VLOOKUP(A60,Projetos_Ciclo!$H$3:$H$315,1,FALSE)</f>
        <v>TI06618</v>
      </c>
    </row>
    <row r="61" spans="1:22" x14ac:dyDescent="0.25">
      <c r="A61" s="14" t="s">
        <v>1868</v>
      </c>
      <c r="B61" s="116" t="s">
        <v>1869</v>
      </c>
      <c r="C61" s="116" t="s">
        <v>1870</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c r="V61" t="str">
        <f>VLOOKUP(A61,Projetos_Ciclo!$H$3:$H$315,1,FALSE)</f>
        <v>TI07818</v>
      </c>
    </row>
    <row r="62" spans="1:22" x14ac:dyDescent="0.25">
      <c r="A62" s="111" t="s">
        <v>1133</v>
      </c>
      <c r="B62" s="112" t="s">
        <v>1184</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c r="V62" t="e">
        <f>VLOOKUP(A62,Projetos_Ciclo!$H$3:$H$315,1,FALSE)</f>
        <v>#N/A</v>
      </c>
    </row>
    <row r="63" spans="1:22" x14ac:dyDescent="0.25">
      <c r="A63" s="14" t="s">
        <v>1135</v>
      </c>
      <c r="B63" s="116" t="s">
        <v>1136</v>
      </c>
      <c r="C63" s="116" t="s">
        <v>57</v>
      </c>
      <c r="D63" s="117">
        <v>0</v>
      </c>
      <c r="E63" s="120">
        <v>0</v>
      </c>
      <c r="F63" s="117">
        <v>0</v>
      </c>
      <c r="G63" s="120">
        <v>0</v>
      </c>
      <c r="H63" s="117">
        <v>0</v>
      </c>
      <c r="I63" s="120">
        <v>0</v>
      </c>
      <c r="J63" s="117">
        <v>0</v>
      </c>
      <c r="K63" s="120">
        <v>0</v>
      </c>
      <c r="L63" s="117">
        <v>0</v>
      </c>
      <c r="M63" s="120">
        <v>0</v>
      </c>
      <c r="N63" s="117">
        <v>0</v>
      </c>
      <c r="O63" s="120">
        <v>0</v>
      </c>
      <c r="P63" s="117">
        <v>0</v>
      </c>
      <c r="Q63" s="120">
        <v>0</v>
      </c>
      <c r="R63" s="117">
        <v>0</v>
      </c>
      <c r="S63" s="120">
        <v>0</v>
      </c>
      <c r="T63" s="117">
        <v>0</v>
      </c>
      <c r="U63" s="119">
        <v>0</v>
      </c>
      <c r="V63" t="e">
        <f>VLOOKUP(A63,Projetos_Ciclo!$H$3:$H$315,1,FALSE)</f>
        <v>#N/A</v>
      </c>
    </row>
    <row r="64" spans="1:22" x14ac:dyDescent="0.25">
      <c r="A64" s="111" t="s">
        <v>520</v>
      </c>
      <c r="B64" s="112" t="s">
        <v>1137</v>
      </c>
      <c r="C64" s="112" t="s">
        <v>57</v>
      </c>
      <c r="D64" s="113">
        <v>529</v>
      </c>
      <c r="E64" s="114">
        <v>0</v>
      </c>
      <c r="F64" s="113">
        <v>0</v>
      </c>
      <c r="G64" s="114">
        <v>0</v>
      </c>
      <c r="H64" s="113">
        <v>0</v>
      </c>
      <c r="I64" s="114">
        <v>0</v>
      </c>
      <c r="J64" s="113">
        <v>0</v>
      </c>
      <c r="K64" s="114">
        <v>0</v>
      </c>
      <c r="L64" s="113">
        <v>0</v>
      </c>
      <c r="M64" s="114">
        <v>0</v>
      </c>
      <c r="N64" s="113">
        <v>55</v>
      </c>
      <c r="O64" s="114">
        <v>209</v>
      </c>
      <c r="P64" s="113">
        <v>55</v>
      </c>
      <c r="Q64" s="114">
        <v>210</v>
      </c>
      <c r="R64" s="113">
        <v>0</v>
      </c>
      <c r="S64" s="114">
        <v>0</v>
      </c>
      <c r="T64" s="113">
        <v>0</v>
      </c>
      <c r="U64" s="115">
        <v>0</v>
      </c>
      <c r="V64" t="str">
        <f>VLOOKUP(A64,Projetos_Ciclo!$H$3:$H$315,1,FALSE)</f>
        <v>NA</v>
      </c>
    </row>
    <row r="65" spans="1:22" x14ac:dyDescent="0.25">
      <c r="A65" s="14" t="s">
        <v>1138</v>
      </c>
      <c r="B65" s="116" t="s">
        <v>1139</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c r="V65" t="e">
        <f>VLOOKUP(A65,Projetos_Ciclo!$H$3:$H$315,1,FALSE)</f>
        <v>#N/A</v>
      </c>
    </row>
    <row r="66" spans="1:22" x14ac:dyDescent="0.25">
      <c r="A66" s="111" t="s">
        <v>1185</v>
      </c>
      <c r="B66" s="112" t="s">
        <v>1186</v>
      </c>
      <c r="C66" s="112" t="s">
        <v>1187</v>
      </c>
      <c r="D66" s="113">
        <v>415</v>
      </c>
      <c r="E66" s="114">
        <v>0</v>
      </c>
      <c r="F66" s="113">
        <v>415</v>
      </c>
      <c r="G66" s="114">
        <v>0</v>
      </c>
      <c r="H66" s="113">
        <v>0</v>
      </c>
      <c r="I66" s="114">
        <v>0</v>
      </c>
      <c r="J66" s="113">
        <v>0</v>
      </c>
      <c r="K66" s="114">
        <v>0</v>
      </c>
      <c r="L66" s="113">
        <v>0</v>
      </c>
      <c r="M66" s="114">
        <v>0</v>
      </c>
      <c r="N66" s="113">
        <v>0</v>
      </c>
      <c r="O66" s="114">
        <v>0</v>
      </c>
      <c r="P66" s="113">
        <v>0</v>
      </c>
      <c r="Q66" s="114">
        <v>0</v>
      </c>
      <c r="R66" s="113">
        <v>0</v>
      </c>
      <c r="S66" s="114">
        <v>0</v>
      </c>
      <c r="T66" s="113">
        <v>0</v>
      </c>
      <c r="U66" s="115">
        <v>0</v>
      </c>
      <c r="V66" t="e">
        <f>VLOOKUP(A66,Projetos_Ciclo!$H$3:$H$315,1,FALSE)</f>
        <v>#N/A</v>
      </c>
    </row>
    <row r="67" spans="1:22" x14ac:dyDescent="0.25">
      <c r="A67" s="14" t="s">
        <v>1416</v>
      </c>
      <c r="B67" s="116" t="s">
        <v>1402</v>
      </c>
      <c r="C67" s="116" t="s">
        <v>1417</v>
      </c>
      <c r="D67" s="117">
        <v>0</v>
      </c>
      <c r="E67" s="120">
        <v>0</v>
      </c>
      <c r="F67" s="117">
        <v>0</v>
      </c>
      <c r="G67" s="120">
        <v>415</v>
      </c>
      <c r="H67" s="117">
        <v>0</v>
      </c>
      <c r="I67" s="120">
        <v>0</v>
      </c>
      <c r="J67" s="117">
        <v>0</v>
      </c>
      <c r="K67" s="120">
        <v>0</v>
      </c>
      <c r="L67" s="117">
        <v>341.23980712890625</v>
      </c>
      <c r="M67" s="120">
        <v>341.23980712890625</v>
      </c>
      <c r="N67" s="117">
        <v>0</v>
      </c>
      <c r="O67" s="120">
        <v>0</v>
      </c>
      <c r="P67" s="117">
        <v>0</v>
      </c>
      <c r="Q67" s="120">
        <v>0</v>
      </c>
      <c r="R67" s="117">
        <v>0</v>
      </c>
      <c r="S67" s="120">
        <v>0</v>
      </c>
      <c r="T67" s="117">
        <v>0</v>
      </c>
      <c r="U67" s="119">
        <v>0</v>
      </c>
      <c r="V67" t="str">
        <f>VLOOKUP(A67,Projetos_Ciclo!$H$3:$H$315,1,FALSE)</f>
        <v>TI04418</v>
      </c>
    </row>
    <row r="68" spans="1:22" x14ac:dyDescent="0.25">
      <c r="A68" s="111" t="s">
        <v>1133</v>
      </c>
      <c r="B68" s="112" t="s">
        <v>1148</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c r="V68" t="e">
        <f>VLOOKUP(A68,Projetos_Ciclo!$H$3:$H$315,1,FALSE)</f>
        <v>#N/A</v>
      </c>
    </row>
    <row r="69" spans="1:22" x14ac:dyDescent="0.25">
      <c r="A69" s="14" t="s">
        <v>1135</v>
      </c>
      <c r="B69" s="116" t="s">
        <v>1136</v>
      </c>
      <c r="C69" s="116" t="s">
        <v>57</v>
      </c>
      <c r="D69" s="117">
        <v>0</v>
      </c>
      <c r="E69" s="120">
        <v>0</v>
      </c>
      <c r="F69" s="117">
        <v>0</v>
      </c>
      <c r="G69" s="120">
        <v>0</v>
      </c>
      <c r="H69" s="117">
        <v>0</v>
      </c>
      <c r="I69" s="120">
        <v>0</v>
      </c>
      <c r="J69" s="117">
        <v>0</v>
      </c>
      <c r="K69" s="120">
        <v>0</v>
      </c>
      <c r="L69" s="117">
        <v>0</v>
      </c>
      <c r="M69" s="120">
        <v>0</v>
      </c>
      <c r="N69" s="117">
        <v>0</v>
      </c>
      <c r="O69" s="120">
        <v>0</v>
      </c>
      <c r="P69" s="117">
        <v>0</v>
      </c>
      <c r="Q69" s="120">
        <v>0</v>
      </c>
      <c r="R69" s="117">
        <v>0</v>
      </c>
      <c r="S69" s="120">
        <v>0</v>
      </c>
      <c r="T69" s="117">
        <v>0</v>
      </c>
      <c r="U69" s="119">
        <v>0</v>
      </c>
      <c r="V69" t="e">
        <f>VLOOKUP(A69,Projetos_Ciclo!$H$3:$H$315,1,FALSE)</f>
        <v>#N/A</v>
      </c>
    </row>
    <row r="70" spans="1:22" x14ac:dyDescent="0.25">
      <c r="A70" s="111" t="s">
        <v>520</v>
      </c>
      <c r="B70" s="112" t="s">
        <v>1137</v>
      </c>
      <c r="C70" s="112" t="s">
        <v>57</v>
      </c>
      <c r="D70" s="113">
        <v>514</v>
      </c>
      <c r="E70" s="114">
        <v>0</v>
      </c>
      <c r="F70" s="113">
        <v>0</v>
      </c>
      <c r="G70" s="114">
        <v>0</v>
      </c>
      <c r="H70" s="113">
        <v>0</v>
      </c>
      <c r="I70" s="114">
        <v>0</v>
      </c>
      <c r="J70" s="113">
        <v>0</v>
      </c>
      <c r="K70" s="114">
        <v>0</v>
      </c>
      <c r="L70" s="113">
        <v>0</v>
      </c>
      <c r="M70" s="114">
        <v>0</v>
      </c>
      <c r="N70" s="113">
        <v>128.5</v>
      </c>
      <c r="O70" s="114">
        <v>128.5</v>
      </c>
      <c r="P70" s="113">
        <v>128.5</v>
      </c>
      <c r="Q70" s="114">
        <v>128.5</v>
      </c>
      <c r="R70" s="113">
        <v>0</v>
      </c>
      <c r="S70" s="114">
        <v>0</v>
      </c>
      <c r="T70" s="113">
        <v>0</v>
      </c>
      <c r="U70" s="115">
        <v>0</v>
      </c>
      <c r="V70" t="str">
        <f>VLOOKUP(A70,Projetos_Ciclo!$H$3:$H$315,1,FALSE)</f>
        <v>NA</v>
      </c>
    </row>
    <row r="71" spans="1:22" x14ac:dyDescent="0.25">
      <c r="A71" s="14" t="s">
        <v>1138</v>
      </c>
      <c r="B71" s="116" t="s">
        <v>1139</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c r="V71" t="e">
        <f>VLOOKUP(A71,Projetos_Ciclo!$H$3:$H$315,1,FALSE)</f>
        <v>#N/A</v>
      </c>
    </row>
    <row r="72" spans="1:22" x14ac:dyDescent="0.25">
      <c r="A72" s="111" t="s">
        <v>1188</v>
      </c>
      <c r="B72" s="112" t="s">
        <v>1189</v>
      </c>
      <c r="C72" s="112" t="s">
        <v>1190</v>
      </c>
      <c r="D72" s="113">
        <v>129</v>
      </c>
      <c r="E72" s="114">
        <v>0</v>
      </c>
      <c r="F72" s="113">
        <v>129</v>
      </c>
      <c r="G72" s="114">
        <v>0</v>
      </c>
      <c r="H72" s="113">
        <v>98</v>
      </c>
      <c r="I72" s="114">
        <v>0</v>
      </c>
      <c r="J72" s="113">
        <v>0</v>
      </c>
      <c r="K72" s="114">
        <v>0</v>
      </c>
      <c r="L72" s="113">
        <v>0</v>
      </c>
      <c r="M72" s="114">
        <v>0</v>
      </c>
      <c r="N72" s="113">
        <v>0</v>
      </c>
      <c r="O72" s="114">
        <v>0</v>
      </c>
      <c r="P72" s="113">
        <v>0</v>
      </c>
      <c r="Q72" s="114">
        <v>0</v>
      </c>
      <c r="R72" s="113">
        <v>0</v>
      </c>
      <c r="S72" s="114">
        <v>0</v>
      </c>
      <c r="T72" s="113">
        <v>0</v>
      </c>
      <c r="U72" s="115">
        <v>0</v>
      </c>
      <c r="V72" t="e">
        <f>VLOOKUP(A72,Projetos_Ciclo!$H$3:$H$315,1,FALSE)</f>
        <v>#N/A</v>
      </c>
    </row>
    <row r="73" spans="1:22" x14ac:dyDescent="0.25">
      <c r="A73" s="14" t="s">
        <v>1590</v>
      </c>
      <c r="B73" s="116" t="s">
        <v>1591</v>
      </c>
      <c r="C73" s="116" t="s">
        <v>1592</v>
      </c>
      <c r="D73" s="117">
        <v>0</v>
      </c>
      <c r="E73" s="120">
        <v>0</v>
      </c>
      <c r="F73" s="117">
        <v>0</v>
      </c>
      <c r="G73" s="120">
        <v>98</v>
      </c>
      <c r="H73" s="117">
        <v>0</v>
      </c>
      <c r="I73" s="120">
        <v>97.797317504882813</v>
      </c>
      <c r="J73" s="117">
        <v>0</v>
      </c>
      <c r="K73" s="120">
        <v>97.797317504882813</v>
      </c>
      <c r="L73" s="117">
        <v>0</v>
      </c>
      <c r="M73" s="120">
        <v>97.797317504882813</v>
      </c>
      <c r="N73" s="117">
        <v>0</v>
      </c>
      <c r="O73" s="120">
        <v>0</v>
      </c>
      <c r="P73" s="117">
        <v>0</v>
      </c>
      <c r="Q73" s="120">
        <v>0</v>
      </c>
      <c r="R73" s="117">
        <v>0</v>
      </c>
      <c r="S73" s="120">
        <v>0</v>
      </c>
      <c r="T73" s="117">
        <v>0</v>
      </c>
      <c r="U73" s="119">
        <v>0</v>
      </c>
      <c r="V73" t="str">
        <f>VLOOKUP(A73,Projetos_Ciclo!$H$3:$H$315,1,FALSE)</f>
        <v>TI06118</v>
      </c>
    </row>
    <row r="74" spans="1:22" x14ac:dyDescent="0.25">
      <c r="A74" s="111" t="s">
        <v>1133</v>
      </c>
      <c r="B74" s="112" t="s">
        <v>1157</v>
      </c>
      <c r="C74" s="112" t="s">
        <v>57</v>
      </c>
      <c r="D74" s="113">
        <v>0</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c r="V74" t="e">
        <f>VLOOKUP(A74,Projetos_Ciclo!$H$3:$H$315,1,FALSE)</f>
        <v>#N/A</v>
      </c>
    </row>
    <row r="75" spans="1:22" x14ac:dyDescent="0.25">
      <c r="A75" s="14" t="s">
        <v>1135</v>
      </c>
      <c r="B75" s="116" t="s">
        <v>1136</v>
      </c>
      <c r="C75" s="116" t="s">
        <v>57</v>
      </c>
      <c r="D75" s="117">
        <v>0</v>
      </c>
      <c r="E75" s="120">
        <v>0</v>
      </c>
      <c r="F75" s="117">
        <v>0</v>
      </c>
      <c r="G75" s="120">
        <v>0</v>
      </c>
      <c r="H75" s="117">
        <v>0</v>
      </c>
      <c r="I75" s="120">
        <v>0</v>
      </c>
      <c r="J75" s="117">
        <v>0</v>
      </c>
      <c r="K75" s="120">
        <v>0</v>
      </c>
      <c r="L75" s="117">
        <v>0</v>
      </c>
      <c r="M75" s="120">
        <v>0</v>
      </c>
      <c r="N75" s="117">
        <v>0</v>
      </c>
      <c r="O75" s="120">
        <v>0</v>
      </c>
      <c r="P75" s="117">
        <v>0</v>
      </c>
      <c r="Q75" s="120">
        <v>0</v>
      </c>
      <c r="R75" s="117">
        <v>0</v>
      </c>
      <c r="S75" s="120">
        <v>0</v>
      </c>
      <c r="T75" s="117">
        <v>0</v>
      </c>
      <c r="U75" s="119">
        <v>0</v>
      </c>
      <c r="V75" t="e">
        <f>VLOOKUP(A75,Projetos_Ciclo!$H$3:$H$315,1,FALSE)</f>
        <v>#N/A</v>
      </c>
    </row>
    <row r="76" spans="1:22" x14ac:dyDescent="0.25">
      <c r="A76" s="111" t="s">
        <v>1395</v>
      </c>
      <c r="B76" s="112" t="s">
        <v>1396</v>
      </c>
      <c r="C76" s="112" t="s">
        <v>1397</v>
      </c>
      <c r="D76" s="113">
        <v>3046</v>
      </c>
      <c r="E76" s="114">
        <v>0</v>
      </c>
      <c r="F76" s="113">
        <v>988</v>
      </c>
      <c r="G76" s="114">
        <v>0</v>
      </c>
      <c r="H76" s="113">
        <v>0</v>
      </c>
      <c r="I76" s="114">
        <v>0</v>
      </c>
      <c r="J76" s="113">
        <v>0</v>
      </c>
      <c r="K76" s="114">
        <v>0</v>
      </c>
      <c r="L76" s="113">
        <v>0</v>
      </c>
      <c r="M76" s="114">
        <v>0</v>
      </c>
      <c r="N76" s="113">
        <v>0</v>
      </c>
      <c r="O76" s="114">
        <v>1050</v>
      </c>
      <c r="P76" s="113">
        <v>1008</v>
      </c>
      <c r="Q76" s="114">
        <v>0</v>
      </c>
      <c r="R76" s="113">
        <v>0</v>
      </c>
      <c r="S76" s="114">
        <v>0</v>
      </c>
      <c r="T76" s="113">
        <v>0</v>
      </c>
      <c r="U76" s="115">
        <v>0</v>
      </c>
      <c r="V76" t="e">
        <f>VLOOKUP(A76,Projetos_Ciclo!$H$3:$H$315,1,FALSE)</f>
        <v>#N/A</v>
      </c>
    </row>
    <row r="77" spans="1:22" x14ac:dyDescent="0.25">
      <c r="A77" s="14" t="s">
        <v>1453</v>
      </c>
      <c r="B77" s="116" t="s">
        <v>1454</v>
      </c>
      <c r="C77" s="116" t="s">
        <v>1455</v>
      </c>
      <c r="D77" s="117">
        <v>0</v>
      </c>
      <c r="E77" s="120">
        <v>0</v>
      </c>
      <c r="F77" s="117">
        <v>0</v>
      </c>
      <c r="G77" s="120">
        <v>988</v>
      </c>
      <c r="H77" s="117">
        <v>0</v>
      </c>
      <c r="I77" s="120">
        <v>0</v>
      </c>
      <c r="J77" s="117">
        <v>0</v>
      </c>
      <c r="K77" s="120">
        <v>0</v>
      </c>
      <c r="L77" s="117">
        <v>988</v>
      </c>
      <c r="M77" s="120">
        <v>988</v>
      </c>
      <c r="N77" s="117">
        <v>0</v>
      </c>
      <c r="O77" s="120">
        <v>0</v>
      </c>
      <c r="P77" s="117">
        <v>0</v>
      </c>
      <c r="Q77" s="120">
        <v>0</v>
      </c>
      <c r="R77" s="117">
        <v>0</v>
      </c>
      <c r="S77" s="120">
        <v>0</v>
      </c>
      <c r="T77" s="117">
        <v>0</v>
      </c>
      <c r="U77" s="119">
        <v>0</v>
      </c>
      <c r="V77" t="str">
        <f>VLOOKUP(A77,Projetos_Ciclo!$H$3:$H$315,1,FALSE)</f>
        <v>MT00218</v>
      </c>
    </row>
    <row r="78" spans="1:22" x14ac:dyDescent="0.25">
      <c r="A78" s="111" t="s">
        <v>520</v>
      </c>
      <c r="B78" s="112" t="s">
        <v>1137</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c r="V78" t="str">
        <f>VLOOKUP(A78,Projetos_Ciclo!$H$3:$H$315,1,FALSE)</f>
        <v>NA</v>
      </c>
    </row>
    <row r="79" spans="1:22" x14ac:dyDescent="0.25">
      <c r="A79" s="14" t="s">
        <v>1138</v>
      </c>
      <c r="B79" s="116" t="s">
        <v>1139</v>
      </c>
      <c r="C79" s="116" t="s">
        <v>57</v>
      </c>
      <c r="D79" s="117">
        <v>630.09999999999991</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c r="V79" t="e">
        <f>VLOOKUP(A79,Projetos_Ciclo!$H$3:$H$315,1,FALSE)</f>
        <v>#N/A</v>
      </c>
    </row>
    <row r="80" spans="1:22" x14ac:dyDescent="0.25">
      <c r="A80" s="111" t="s">
        <v>1133</v>
      </c>
      <c r="B80" s="112" t="s">
        <v>1191</v>
      </c>
      <c r="C80" s="112" t="s">
        <v>57</v>
      </c>
      <c r="D80" s="113">
        <v>0</v>
      </c>
      <c r="E80" s="114">
        <v>0</v>
      </c>
      <c r="F80" s="113">
        <v>0</v>
      </c>
      <c r="G80" s="114">
        <v>0</v>
      </c>
      <c r="H80" s="113">
        <v>0</v>
      </c>
      <c r="I80" s="114">
        <v>0</v>
      </c>
      <c r="J80" s="113">
        <v>0</v>
      </c>
      <c r="K80" s="114">
        <v>0</v>
      </c>
      <c r="L80" s="113">
        <v>0</v>
      </c>
      <c r="M80" s="114">
        <v>0</v>
      </c>
      <c r="N80" s="113">
        <v>0</v>
      </c>
      <c r="O80" s="114">
        <v>0</v>
      </c>
      <c r="P80" s="113">
        <v>0</v>
      </c>
      <c r="Q80" s="114">
        <v>0</v>
      </c>
      <c r="R80" s="113">
        <v>0</v>
      </c>
      <c r="S80" s="114">
        <v>0</v>
      </c>
      <c r="T80" s="113">
        <v>0</v>
      </c>
      <c r="U80" s="115">
        <v>0</v>
      </c>
      <c r="V80" t="e">
        <f>VLOOKUP(A80,Projetos_Ciclo!$H$3:$H$315,1,FALSE)</f>
        <v>#N/A</v>
      </c>
    </row>
    <row r="81" spans="1:22" x14ac:dyDescent="0.25">
      <c r="A81" s="14" t="s">
        <v>1135</v>
      </c>
      <c r="B81" s="116" t="s">
        <v>1136</v>
      </c>
      <c r="C81" s="116" t="s">
        <v>57</v>
      </c>
      <c r="D81" s="117">
        <v>0</v>
      </c>
      <c r="E81" s="120">
        <v>0</v>
      </c>
      <c r="F81" s="117">
        <v>0</v>
      </c>
      <c r="G81" s="120">
        <v>0</v>
      </c>
      <c r="H81" s="117">
        <v>0</v>
      </c>
      <c r="I81" s="120">
        <v>0</v>
      </c>
      <c r="J81" s="117">
        <v>0</v>
      </c>
      <c r="K81" s="120">
        <v>0</v>
      </c>
      <c r="L81" s="117">
        <v>0</v>
      </c>
      <c r="M81" s="120">
        <v>0</v>
      </c>
      <c r="N81" s="117">
        <v>0</v>
      </c>
      <c r="O81" s="120">
        <v>0</v>
      </c>
      <c r="P81" s="117">
        <v>0</v>
      </c>
      <c r="Q81" s="120">
        <v>0</v>
      </c>
      <c r="R81" s="117">
        <v>0</v>
      </c>
      <c r="S81" s="120">
        <v>0</v>
      </c>
      <c r="T81" s="117">
        <v>0</v>
      </c>
      <c r="U81" s="119">
        <v>0</v>
      </c>
      <c r="V81" t="e">
        <f>VLOOKUP(A81,Projetos_Ciclo!$H$3:$H$315,1,FALSE)</f>
        <v>#N/A</v>
      </c>
    </row>
    <row r="82" spans="1:22" x14ac:dyDescent="0.25">
      <c r="A82" s="111" t="s">
        <v>1398</v>
      </c>
      <c r="B82" s="112" t="s">
        <v>1399</v>
      </c>
      <c r="C82" s="112" t="s">
        <v>1400</v>
      </c>
      <c r="D82" s="113">
        <v>2141</v>
      </c>
      <c r="E82" s="114">
        <v>0</v>
      </c>
      <c r="F82" s="113">
        <v>1815</v>
      </c>
      <c r="G82" s="114">
        <v>0</v>
      </c>
      <c r="H82" s="113">
        <v>115</v>
      </c>
      <c r="I82" s="114">
        <v>0</v>
      </c>
      <c r="J82" s="113">
        <v>0</v>
      </c>
      <c r="K82" s="114">
        <v>0</v>
      </c>
      <c r="L82" s="113">
        <v>0</v>
      </c>
      <c r="M82" s="114">
        <v>0</v>
      </c>
      <c r="N82" s="113">
        <v>326</v>
      </c>
      <c r="O82" s="114">
        <v>0</v>
      </c>
      <c r="P82" s="113">
        <v>0</v>
      </c>
      <c r="Q82" s="114">
        <v>0</v>
      </c>
      <c r="R82" s="113">
        <v>0</v>
      </c>
      <c r="S82" s="114">
        <v>0</v>
      </c>
      <c r="T82" s="113">
        <v>0</v>
      </c>
      <c r="U82" s="115">
        <v>0</v>
      </c>
      <c r="V82" t="e">
        <f>VLOOKUP(A82,Projetos_Ciclo!$H$3:$H$315,1,FALSE)</f>
        <v>#N/A</v>
      </c>
    </row>
    <row r="83" spans="1:22" x14ac:dyDescent="0.25">
      <c r="A83" s="14" t="s">
        <v>1192</v>
      </c>
      <c r="B83" s="116" t="s">
        <v>1193</v>
      </c>
      <c r="C83" s="116" t="s">
        <v>1194</v>
      </c>
      <c r="D83" s="117">
        <v>0</v>
      </c>
      <c r="E83" s="120">
        <v>0</v>
      </c>
      <c r="F83" s="117">
        <v>0</v>
      </c>
      <c r="G83" s="120">
        <v>5</v>
      </c>
      <c r="H83" s="117">
        <v>0</v>
      </c>
      <c r="I83" s="120">
        <v>4.3380299806594849</v>
      </c>
      <c r="J83" s="117">
        <v>0</v>
      </c>
      <c r="K83" s="120">
        <v>4.3380299806594849</v>
      </c>
      <c r="L83" s="117">
        <v>5.7958297729492188</v>
      </c>
      <c r="M83" s="120">
        <v>10.133859753608704</v>
      </c>
      <c r="N83" s="117">
        <v>0</v>
      </c>
      <c r="O83" s="120">
        <v>0</v>
      </c>
      <c r="P83" s="117">
        <v>0</v>
      </c>
      <c r="Q83" s="120">
        <v>0</v>
      </c>
      <c r="R83" s="117">
        <v>0</v>
      </c>
      <c r="S83" s="120">
        <v>0</v>
      </c>
      <c r="T83" s="117">
        <v>0</v>
      </c>
      <c r="U83" s="119">
        <v>0</v>
      </c>
      <c r="V83" t="str">
        <f>VLOOKUP(A83,Projetos_Ciclo!$H$3:$H$315,1,FALSE)</f>
        <v>MT00516</v>
      </c>
    </row>
    <row r="84" spans="1:22" x14ac:dyDescent="0.25">
      <c r="A84" s="111" t="s">
        <v>1195</v>
      </c>
      <c r="B84" s="112" t="s">
        <v>1196</v>
      </c>
      <c r="C84" s="112" t="s">
        <v>1197</v>
      </c>
      <c r="D84" s="113">
        <v>0</v>
      </c>
      <c r="E84" s="114">
        <v>0</v>
      </c>
      <c r="F84" s="113">
        <v>0</v>
      </c>
      <c r="G84" s="114">
        <v>1088</v>
      </c>
      <c r="H84" s="113">
        <v>0</v>
      </c>
      <c r="I84" s="114">
        <v>18.819390416145325</v>
      </c>
      <c r="J84" s="113">
        <v>0</v>
      </c>
      <c r="K84" s="114">
        <v>18.819390416145325</v>
      </c>
      <c r="L84" s="113">
        <v>987.09095692634583</v>
      </c>
      <c r="M84" s="114">
        <v>1005.9103473424911</v>
      </c>
      <c r="N84" s="113">
        <v>0</v>
      </c>
      <c r="O84" s="114">
        <v>0</v>
      </c>
      <c r="P84" s="113">
        <v>0</v>
      </c>
      <c r="Q84" s="114">
        <v>0</v>
      </c>
      <c r="R84" s="113">
        <v>0</v>
      </c>
      <c r="S84" s="114">
        <v>0</v>
      </c>
      <c r="T84" s="113">
        <v>0</v>
      </c>
      <c r="U84" s="115">
        <v>0</v>
      </c>
      <c r="V84" t="str">
        <f>VLOOKUP(A84,Projetos_Ciclo!$H$3:$H$315,1,FALSE)</f>
        <v>MT01017</v>
      </c>
    </row>
    <row r="85" spans="1:22" x14ac:dyDescent="0.25">
      <c r="A85" s="14" t="s">
        <v>1871</v>
      </c>
      <c r="B85" s="116" t="s">
        <v>1872</v>
      </c>
      <c r="C85" s="116" t="s">
        <v>1873</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c r="V85" t="str">
        <f>VLOOKUP(A85,Projetos_Ciclo!$H$3:$H$315,1,FALSE)</f>
        <v>MT50118</v>
      </c>
    </row>
    <row r="86" spans="1:22" x14ac:dyDescent="0.25">
      <c r="A86" s="111" t="s">
        <v>520</v>
      </c>
      <c r="B86" s="112" t="s">
        <v>1198</v>
      </c>
      <c r="C86" s="112" t="s">
        <v>57</v>
      </c>
      <c r="D86" s="113">
        <v>4497</v>
      </c>
      <c r="E86" s="114">
        <v>0</v>
      </c>
      <c r="F86" s="113">
        <v>0</v>
      </c>
      <c r="G86" s="114">
        <v>0</v>
      </c>
      <c r="H86" s="113">
        <v>0</v>
      </c>
      <c r="I86" s="114">
        <v>0</v>
      </c>
      <c r="J86" s="113">
        <v>0</v>
      </c>
      <c r="K86" s="114">
        <v>0</v>
      </c>
      <c r="L86" s="113">
        <v>0</v>
      </c>
      <c r="M86" s="114">
        <v>0</v>
      </c>
      <c r="N86" s="113">
        <v>1170</v>
      </c>
      <c r="O86" s="114">
        <v>777</v>
      </c>
      <c r="P86" s="113">
        <v>2550</v>
      </c>
      <c r="Q86" s="114">
        <v>0</v>
      </c>
      <c r="R86" s="113">
        <v>0</v>
      </c>
      <c r="S86" s="114">
        <v>0</v>
      </c>
      <c r="T86" s="113">
        <v>0</v>
      </c>
      <c r="U86" s="115">
        <v>0</v>
      </c>
      <c r="V86" t="str">
        <f>VLOOKUP(A86,Projetos_Ciclo!$H$3:$H$315,1,FALSE)</f>
        <v>NA</v>
      </c>
    </row>
    <row r="87" spans="1:22" x14ac:dyDescent="0.25">
      <c r="A87" s="14" t="s">
        <v>1199</v>
      </c>
      <c r="B87" s="116" t="s">
        <v>1200</v>
      </c>
      <c r="C87" s="116" t="s">
        <v>1201</v>
      </c>
      <c r="D87" s="117">
        <v>0</v>
      </c>
      <c r="E87" s="120">
        <v>0</v>
      </c>
      <c r="F87" s="117">
        <v>0</v>
      </c>
      <c r="G87" s="120">
        <v>715</v>
      </c>
      <c r="H87" s="117">
        <v>0</v>
      </c>
      <c r="I87" s="120">
        <v>87.740310668945313</v>
      </c>
      <c r="J87" s="117">
        <v>0</v>
      </c>
      <c r="K87" s="120">
        <v>87.740310668945313</v>
      </c>
      <c r="L87" s="117">
        <v>566.56800007820129</v>
      </c>
      <c r="M87" s="120">
        <v>654.30831074714661</v>
      </c>
      <c r="N87" s="117">
        <v>0</v>
      </c>
      <c r="O87" s="120">
        <v>0</v>
      </c>
      <c r="P87" s="117">
        <v>0</v>
      </c>
      <c r="Q87" s="120">
        <v>0</v>
      </c>
      <c r="R87" s="117">
        <v>0</v>
      </c>
      <c r="S87" s="120">
        <v>0</v>
      </c>
      <c r="T87" s="117">
        <v>0</v>
      </c>
      <c r="U87" s="119">
        <v>0</v>
      </c>
      <c r="V87" t="str">
        <f>VLOOKUP(A87,Projetos_Ciclo!$H$3:$H$315,1,FALSE)</f>
        <v>PO00417</v>
      </c>
    </row>
    <row r="88" spans="1:22" x14ac:dyDescent="0.25">
      <c r="A88" s="111" t="s">
        <v>1138</v>
      </c>
      <c r="B88" s="112" t="s">
        <v>1139</v>
      </c>
      <c r="C88" s="112" t="s">
        <v>57</v>
      </c>
      <c r="D88" s="113">
        <v>9.9920072216264089E-16</v>
      </c>
      <c r="E88" s="114">
        <v>0</v>
      </c>
      <c r="F88" s="113">
        <v>0</v>
      </c>
      <c r="G88" s="114">
        <v>0</v>
      </c>
      <c r="H88" s="113">
        <v>0</v>
      </c>
      <c r="I88" s="114">
        <v>0</v>
      </c>
      <c r="J88" s="113">
        <v>0</v>
      </c>
      <c r="K88" s="114">
        <v>0</v>
      </c>
      <c r="L88" s="113">
        <v>0</v>
      </c>
      <c r="M88" s="114">
        <v>0</v>
      </c>
      <c r="N88" s="113">
        <v>0</v>
      </c>
      <c r="O88" s="114">
        <v>0</v>
      </c>
      <c r="P88" s="113">
        <v>0</v>
      </c>
      <c r="Q88" s="114">
        <v>0</v>
      </c>
      <c r="R88" s="113">
        <v>0</v>
      </c>
      <c r="S88" s="114">
        <v>0</v>
      </c>
      <c r="T88" s="113">
        <v>0</v>
      </c>
      <c r="U88" s="115">
        <v>0</v>
      </c>
      <c r="V88" t="e">
        <f>VLOOKUP(A88,Projetos_Ciclo!$H$3:$H$315,1,FALSE)</f>
        <v>#N/A</v>
      </c>
    </row>
    <row r="89" spans="1:22" x14ac:dyDescent="0.25">
      <c r="A89" s="14" t="s">
        <v>1811</v>
      </c>
      <c r="B89" s="116" t="s">
        <v>1812</v>
      </c>
      <c r="C89" s="116" t="s">
        <v>1810</v>
      </c>
      <c r="D89" s="117">
        <v>0</v>
      </c>
      <c r="E89" s="120">
        <v>0</v>
      </c>
      <c r="F89" s="117">
        <v>0</v>
      </c>
      <c r="G89" s="120">
        <v>173</v>
      </c>
      <c r="H89" s="117">
        <v>0</v>
      </c>
      <c r="I89" s="120">
        <v>0</v>
      </c>
      <c r="J89" s="117">
        <v>0</v>
      </c>
      <c r="K89" s="120">
        <v>0</v>
      </c>
      <c r="L89" s="117">
        <v>156.5</v>
      </c>
      <c r="M89" s="120">
        <v>156.5</v>
      </c>
      <c r="N89" s="117">
        <v>0</v>
      </c>
      <c r="O89" s="120">
        <v>0</v>
      </c>
      <c r="P89" s="117">
        <v>0</v>
      </c>
      <c r="Q89" s="120">
        <v>0</v>
      </c>
      <c r="R89" s="117">
        <v>0</v>
      </c>
      <c r="S89" s="120">
        <v>0</v>
      </c>
      <c r="T89" s="117">
        <v>0</v>
      </c>
      <c r="U89" s="119">
        <v>0</v>
      </c>
      <c r="V89" t="str">
        <f>VLOOKUP(A89,Projetos_Ciclo!$H$3:$H$315,1,FALSE)</f>
        <v>AD00118</v>
      </c>
    </row>
    <row r="90" spans="1:22" x14ac:dyDescent="0.25">
      <c r="A90" s="111" t="s">
        <v>1133</v>
      </c>
      <c r="B90" s="112" t="s">
        <v>1226</v>
      </c>
      <c r="C90" s="112" t="s">
        <v>57</v>
      </c>
      <c r="D90" s="113">
        <v>0</v>
      </c>
      <c r="E90" s="114">
        <v>0</v>
      </c>
      <c r="F90" s="113">
        <v>0</v>
      </c>
      <c r="G90" s="114">
        <v>0</v>
      </c>
      <c r="H90" s="113">
        <v>0</v>
      </c>
      <c r="I90" s="114">
        <v>0</v>
      </c>
      <c r="J90" s="113">
        <v>0</v>
      </c>
      <c r="K90" s="114">
        <v>0</v>
      </c>
      <c r="L90" s="113">
        <v>0</v>
      </c>
      <c r="M90" s="114">
        <v>0</v>
      </c>
      <c r="N90" s="113">
        <v>0</v>
      </c>
      <c r="O90" s="114">
        <v>0</v>
      </c>
      <c r="P90" s="113">
        <v>0</v>
      </c>
      <c r="Q90" s="114">
        <v>0</v>
      </c>
      <c r="R90" s="113">
        <v>0</v>
      </c>
      <c r="S90" s="114">
        <v>0</v>
      </c>
      <c r="T90" s="113">
        <v>0</v>
      </c>
      <c r="U90" s="115">
        <v>0</v>
      </c>
      <c r="V90" t="e">
        <f>VLOOKUP(A90,Projetos_Ciclo!$H$3:$H$315,1,FALSE)</f>
        <v>#N/A</v>
      </c>
    </row>
    <row r="91" spans="1:22" x14ac:dyDescent="0.25">
      <c r="A91" s="14" t="s">
        <v>1230</v>
      </c>
      <c r="B91" s="116" t="s">
        <v>1231</v>
      </c>
      <c r="C91" s="116" t="s">
        <v>1232</v>
      </c>
      <c r="D91" s="117">
        <v>0</v>
      </c>
      <c r="E91" s="120">
        <v>0</v>
      </c>
      <c r="F91" s="117">
        <v>0</v>
      </c>
      <c r="G91" s="120">
        <v>13</v>
      </c>
      <c r="H91" s="117">
        <v>0</v>
      </c>
      <c r="I91" s="120">
        <v>11.104649901390076</v>
      </c>
      <c r="J91" s="117">
        <v>0</v>
      </c>
      <c r="K91" s="120">
        <v>11.104649901390076</v>
      </c>
      <c r="L91" s="117">
        <v>0</v>
      </c>
      <c r="M91" s="120">
        <v>11.104649901390076</v>
      </c>
      <c r="N91" s="117">
        <v>0</v>
      </c>
      <c r="O91" s="120">
        <v>0</v>
      </c>
      <c r="P91" s="117">
        <v>0</v>
      </c>
      <c r="Q91" s="120">
        <v>0</v>
      </c>
      <c r="R91" s="117">
        <v>0</v>
      </c>
      <c r="S91" s="120">
        <v>0</v>
      </c>
      <c r="T91" s="117">
        <v>0</v>
      </c>
      <c r="U91" s="119">
        <v>0</v>
      </c>
      <c r="V91" t="str">
        <f>VLOOKUP(A91,Projetos_Ciclo!$H$3:$H$315,1,FALSE)</f>
        <v>CD00315</v>
      </c>
    </row>
    <row r="92" spans="1:22" x14ac:dyDescent="0.25">
      <c r="A92" s="111" t="s">
        <v>1135</v>
      </c>
      <c r="B92" s="112" t="s">
        <v>1136</v>
      </c>
      <c r="C92" s="112" t="s">
        <v>57</v>
      </c>
      <c r="D92" s="113">
        <v>0</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c r="V92" t="e">
        <f>VLOOKUP(A92,Projetos_Ciclo!$H$3:$H$315,1,FALSE)</f>
        <v>#N/A</v>
      </c>
    </row>
    <row r="93" spans="1:22" x14ac:dyDescent="0.25">
      <c r="A93" s="14" t="s">
        <v>1804</v>
      </c>
      <c r="B93" s="116" t="s">
        <v>1813</v>
      </c>
      <c r="C93" s="116" t="s">
        <v>1803</v>
      </c>
      <c r="D93" s="117">
        <v>0</v>
      </c>
      <c r="E93" s="120">
        <v>0</v>
      </c>
      <c r="F93" s="117">
        <v>0</v>
      </c>
      <c r="G93" s="120">
        <v>94</v>
      </c>
      <c r="H93" s="117">
        <v>0</v>
      </c>
      <c r="I93" s="120">
        <v>0</v>
      </c>
      <c r="J93" s="117">
        <v>0</v>
      </c>
      <c r="K93" s="120">
        <v>0</v>
      </c>
      <c r="L93" s="117">
        <v>70</v>
      </c>
      <c r="M93" s="120">
        <v>70</v>
      </c>
      <c r="N93" s="117">
        <v>0</v>
      </c>
      <c r="O93" s="120">
        <v>0</v>
      </c>
      <c r="P93" s="117">
        <v>0</v>
      </c>
      <c r="Q93" s="120">
        <v>0</v>
      </c>
      <c r="R93" s="117">
        <v>0</v>
      </c>
      <c r="S93" s="120">
        <v>0</v>
      </c>
      <c r="T93" s="117">
        <v>0</v>
      </c>
      <c r="U93" s="119">
        <v>0</v>
      </c>
      <c r="V93" t="str">
        <f>VLOOKUP(A93,Projetos_Ciclo!$H$3:$H$315,1,FALSE)</f>
        <v>EA00118</v>
      </c>
    </row>
    <row r="94" spans="1:22" x14ac:dyDescent="0.25">
      <c r="A94" s="111" t="s">
        <v>1675</v>
      </c>
      <c r="B94" s="112" t="s">
        <v>1814</v>
      </c>
      <c r="C94" s="112" t="s">
        <v>1677</v>
      </c>
      <c r="D94" s="113">
        <v>0</v>
      </c>
      <c r="E94" s="114">
        <v>0</v>
      </c>
      <c r="F94" s="113">
        <v>0</v>
      </c>
      <c r="G94" s="114">
        <v>250</v>
      </c>
      <c r="H94" s="113">
        <v>0</v>
      </c>
      <c r="I94" s="114">
        <v>0</v>
      </c>
      <c r="J94" s="113">
        <v>0</v>
      </c>
      <c r="K94" s="114">
        <v>0</v>
      </c>
      <c r="L94" s="113">
        <v>181.79999732971191</v>
      </c>
      <c r="M94" s="114">
        <v>181.79999732971191</v>
      </c>
      <c r="N94" s="113">
        <v>0</v>
      </c>
      <c r="O94" s="114">
        <v>0</v>
      </c>
      <c r="P94" s="113">
        <v>0</v>
      </c>
      <c r="Q94" s="114">
        <v>0</v>
      </c>
      <c r="R94" s="113">
        <v>0</v>
      </c>
      <c r="S94" s="114">
        <v>0</v>
      </c>
      <c r="T94" s="113">
        <v>0</v>
      </c>
      <c r="U94" s="115">
        <v>0</v>
      </c>
      <c r="V94" t="str">
        <f>VLOOKUP(A94,Projetos_Ciclo!$H$3:$H$315,1,FALSE)</f>
        <v>EM00118</v>
      </c>
    </row>
    <row r="95" spans="1:22" x14ac:dyDescent="0.25">
      <c r="A95" s="14" t="s">
        <v>1233</v>
      </c>
      <c r="B95" s="116" t="s">
        <v>1234</v>
      </c>
      <c r="C95" s="116" t="s">
        <v>1235</v>
      </c>
      <c r="D95" s="117">
        <v>2350</v>
      </c>
      <c r="E95" s="120">
        <v>0</v>
      </c>
      <c r="F95" s="117">
        <v>2350</v>
      </c>
      <c r="G95" s="120">
        <v>0</v>
      </c>
      <c r="H95" s="117">
        <v>18</v>
      </c>
      <c r="I95" s="120">
        <v>0</v>
      </c>
      <c r="J95" s="117">
        <v>0</v>
      </c>
      <c r="K95" s="120">
        <v>0</v>
      </c>
      <c r="L95" s="117">
        <v>0</v>
      </c>
      <c r="M95" s="120">
        <v>0</v>
      </c>
      <c r="N95" s="117">
        <v>0</v>
      </c>
      <c r="O95" s="120">
        <v>0</v>
      </c>
      <c r="P95" s="117">
        <v>0</v>
      </c>
      <c r="Q95" s="120">
        <v>0</v>
      </c>
      <c r="R95" s="117">
        <v>0</v>
      </c>
      <c r="S95" s="120">
        <v>0</v>
      </c>
      <c r="T95" s="117">
        <v>0</v>
      </c>
      <c r="U95" s="119">
        <v>0</v>
      </c>
      <c r="V95" t="e">
        <f>VLOOKUP(A95,Projetos_Ciclo!$H$3:$H$315,1,FALSE)</f>
        <v>#N/A</v>
      </c>
    </row>
    <row r="96" spans="1:22" x14ac:dyDescent="0.25">
      <c r="A96" s="111" t="s">
        <v>1567</v>
      </c>
      <c r="B96" s="112" t="s">
        <v>1568</v>
      </c>
      <c r="C96" s="112" t="s">
        <v>1569</v>
      </c>
      <c r="D96" s="113">
        <v>0</v>
      </c>
      <c r="E96" s="114">
        <v>0</v>
      </c>
      <c r="F96" s="113">
        <v>0</v>
      </c>
      <c r="G96" s="114">
        <v>350</v>
      </c>
      <c r="H96" s="113">
        <v>0</v>
      </c>
      <c r="I96" s="114">
        <v>0</v>
      </c>
      <c r="J96" s="113">
        <v>0</v>
      </c>
      <c r="K96" s="114">
        <v>0</v>
      </c>
      <c r="L96" s="113">
        <v>0</v>
      </c>
      <c r="M96" s="114">
        <v>0</v>
      </c>
      <c r="N96" s="113">
        <v>0</v>
      </c>
      <c r="O96" s="114">
        <v>0</v>
      </c>
      <c r="P96" s="113">
        <v>0</v>
      </c>
      <c r="Q96" s="114">
        <v>0</v>
      </c>
      <c r="R96" s="113">
        <v>0</v>
      </c>
      <c r="S96" s="114">
        <v>0</v>
      </c>
      <c r="T96" s="113">
        <v>0</v>
      </c>
      <c r="U96" s="115">
        <v>0</v>
      </c>
      <c r="V96" t="str">
        <f>VLOOKUP(A96,Projetos_Ciclo!$H$3:$H$315,1,FALSE)</f>
        <v>GR00118</v>
      </c>
    </row>
    <row r="97" spans="1:22" x14ac:dyDescent="0.25">
      <c r="A97" s="14" t="s">
        <v>1364</v>
      </c>
      <c r="B97" s="116" t="s">
        <v>1016</v>
      </c>
      <c r="C97" s="116" t="s">
        <v>1510</v>
      </c>
      <c r="D97" s="117">
        <v>0</v>
      </c>
      <c r="E97" s="120">
        <v>0</v>
      </c>
      <c r="F97" s="117">
        <v>0</v>
      </c>
      <c r="G97" s="120">
        <v>940</v>
      </c>
      <c r="H97" s="117">
        <v>0</v>
      </c>
      <c r="I97" s="120">
        <v>7.9200000762939453</v>
      </c>
      <c r="J97" s="117">
        <v>0</v>
      </c>
      <c r="K97" s="120">
        <v>7.9200000762939453</v>
      </c>
      <c r="L97" s="117">
        <v>433.77050304412842</v>
      </c>
      <c r="M97" s="120">
        <v>441.69050312042236</v>
      </c>
      <c r="N97" s="117">
        <v>0</v>
      </c>
      <c r="O97" s="120">
        <v>0</v>
      </c>
      <c r="P97" s="117">
        <v>0</v>
      </c>
      <c r="Q97" s="120">
        <v>0</v>
      </c>
      <c r="R97" s="117">
        <v>0</v>
      </c>
      <c r="S97" s="120">
        <v>0</v>
      </c>
      <c r="T97" s="117">
        <v>0</v>
      </c>
      <c r="U97" s="119">
        <v>0</v>
      </c>
      <c r="V97" t="str">
        <f>VLOOKUP(A97,Projetos_Ciclo!$H$3:$H$315,1,FALSE)</f>
        <v>MD00118</v>
      </c>
    </row>
    <row r="98" spans="1:22" x14ac:dyDescent="0.25">
      <c r="A98" s="111" t="s">
        <v>520</v>
      </c>
      <c r="B98" s="112" t="s">
        <v>1137</v>
      </c>
      <c r="C98" s="112" t="s">
        <v>57</v>
      </c>
      <c r="D98" s="113">
        <v>11667</v>
      </c>
      <c r="E98" s="114">
        <v>0</v>
      </c>
      <c r="F98" s="113">
        <v>0</v>
      </c>
      <c r="G98" s="114">
        <v>0</v>
      </c>
      <c r="H98" s="113">
        <v>0</v>
      </c>
      <c r="I98" s="114">
        <v>0</v>
      </c>
      <c r="J98" s="113">
        <v>0</v>
      </c>
      <c r="K98" s="114">
        <v>0</v>
      </c>
      <c r="L98" s="113">
        <v>0</v>
      </c>
      <c r="M98" s="114">
        <v>0</v>
      </c>
      <c r="N98" s="113">
        <v>2235</v>
      </c>
      <c r="O98" s="114">
        <v>3005</v>
      </c>
      <c r="P98" s="113">
        <v>3898</v>
      </c>
      <c r="Q98" s="114">
        <v>2529</v>
      </c>
      <c r="R98" s="113">
        <v>0</v>
      </c>
      <c r="S98" s="114">
        <v>0</v>
      </c>
      <c r="T98" s="113">
        <v>0</v>
      </c>
      <c r="U98" s="115">
        <v>0</v>
      </c>
      <c r="V98" t="str">
        <f>VLOOKUP(A98,Projetos_Ciclo!$H$3:$H$315,1,FALSE)</f>
        <v>NA</v>
      </c>
    </row>
    <row r="99" spans="1:22" x14ac:dyDescent="0.25">
      <c r="A99" s="14" t="s">
        <v>1507</v>
      </c>
      <c r="B99" s="116" t="s">
        <v>1527</v>
      </c>
      <c r="C99" s="116" t="s">
        <v>1528</v>
      </c>
      <c r="D99" s="117">
        <v>0</v>
      </c>
      <c r="E99" s="120">
        <v>0</v>
      </c>
      <c r="F99" s="117">
        <v>0</v>
      </c>
      <c r="G99" s="120">
        <v>254</v>
      </c>
      <c r="H99" s="117">
        <v>0</v>
      </c>
      <c r="I99" s="120">
        <v>0</v>
      </c>
      <c r="J99" s="117">
        <v>0</v>
      </c>
      <c r="K99" s="120">
        <v>0</v>
      </c>
      <c r="L99" s="117">
        <v>253.73644495010376</v>
      </c>
      <c r="M99" s="120">
        <v>253.73644495010376</v>
      </c>
      <c r="N99" s="117">
        <v>0</v>
      </c>
      <c r="O99" s="120">
        <v>0</v>
      </c>
      <c r="P99" s="117">
        <v>0</v>
      </c>
      <c r="Q99" s="120">
        <v>0</v>
      </c>
      <c r="R99" s="117">
        <v>0</v>
      </c>
      <c r="S99" s="120">
        <v>0</v>
      </c>
      <c r="T99" s="117">
        <v>0</v>
      </c>
      <c r="U99" s="119">
        <v>0</v>
      </c>
      <c r="V99" t="str">
        <f>VLOOKUP(A99,Projetos_Ciclo!$H$3:$H$315,1,FALSE)</f>
        <v>RH00218</v>
      </c>
    </row>
    <row r="100" spans="1:22" x14ac:dyDescent="0.25">
      <c r="A100" s="111" t="s">
        <v>1138</v>
      </c>
      <c r="B100" s="112" t="s">
        <v>1139</v>
      </c>
      <c r="C100" s="112" t="s">
        <v>57</v>
      </c>
      <c r="D100" s="113">
        <v>67</v>
      </c>
      <c r="E100" s="114">
        <v>0</v>
      </c>
      <c r="F100" s="113">
        <v>0</v>
      </c>
      <c r="G100" s="114">
        <v>0</v>
      </c>
      <c r="H100" s="113">
        <v>0</v>
      </c>
      <c r="I100" s="114">
        <v>0</v>
      </c>
      <c r="J100" s="113">
        <v>0</v>
      </c>
      <c r="K100" s="114">
        <v>0</v>
      </c>
      <c r="L100" s="113">
        <v>0</v>
      </c>
      <c r="M100" s="114">
        <v>0</v>
      </c>
      <c r="N100" s="113">
        <v>0</v>
      </c>
      <c r="O100" s="114">
        <v>0</v>
      </c>
      <c r="P100" s="113">
        <v>0</v>
      </c>
      <c r="Q100" s="114">
        <v>0</v>
      </c>
      <c r="R100" s="113">
        <v>0</v>
      </c>
      <c r="S100" s="114">
        <v>0</v>
      </c>
      <c r="T100" s="113">
        <v>0</v>
      </c>
      <c r="U100" s="115">
        <v>0</v>
      </c>
      <c r="V100" t="e">
        <f>VLOOKUP(A100,Projetos_Ciclo!$H$3:$H$315,1,FALSE)</f>
        <v>#N/A</v>
      </c>
    </row>
    <row r="101" spans="1:22" x14ac:dyDescent="0.25">
      <c r="A101" s="14" t="s">
        <v>1133</v>
      </c>
      <c r="B101" s="116" t="s">
        <v>1134</v>
      </c>
      <c r="C101" s="116" t="s">
        <v>57</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c r="V101" t="e">
        <f>VLOOKUP(A101,Projetos_Ciclo!$H$3:$H$315,1,FALSE)</f>
        <v>#N/A</v>
      </c>
    </row>
    <row r="102" spans="1:22" x14ac:dyDescent="0.25">
      <c r="A102" s="111" t="s">
        <v>1096</v>
      </c>
      <c r="B102" s="112" t="s">
        <v>1239</v>
      </c>
      <c r="C102" s="112" t="s">
        <v>1097</v>
      </c>
      <c r="D102" s="113">
        <v>0</v>
      </c>
      <c r="E102" s="114">
        <v>0</v>
      </c>
      <c r="F102" s="113">
        <v>0</v>
      </c>
      <c r="G102" s="114">
        <v>56</v>
      </c>
      <c r="H102" s="113">
        <v>0</v>
      </c>
      <c r="I102" s="114">
        <v>54.296999216079712</v>
      </c>
      <c r="J102" s="113">
        <v>0</v>
      </c>
      <c r="K102" s="114">
        <v>54.296999216079712</v>
      </c>
      <c r="L102" s="113">
        <v>0</v>
      </c>
      <c r="M102" s="114">
        <v>54.296999216079712</v>
      </c>
      <c r="N102" s="113">
        <v>0</v>
      </c>
      <c r="O102" s="114">
        <v>0</v>
      </c>
      <c r="P102" s="113">
        <v>0</v>
      </c>
      <c r="Q102" s="114">
        <v>0</v>
      </c>
      <c r="R102" s="113">
        <v>0</v>
      </c>
      <c r="S102" s="114">
        <v>0</v>
      </c>
      <c r="T102" s="113">
        <v>0</v>
      </c>
      <c r="U102" s="115">
        <v>0</v>
      </c>
      <c r="V102" t="str">
        <f>VLOOKUP(A102,Projetos_Ciclo!$H$3:$H$315,1,FALSE)</f>
        <v>CD00215</v>
      </c>
    </row>
    <row r="103" spans="1:22" x14ac:dyDescent="0.25">
      <c r="A103" s="14" t="s">
        <v>1587</v>
      </c>
      <c r="B103" s="116" t="s">
        <v>1662</v>
      </c>
      <c r="C103" s="116" t="s">
        <v>1588</v>
      </c>
      <c r="D103" s="117">
        <v>0</v>
      </c>
      <c r="E103" s="120">
        <v>0</v>
      </c>
      <c r="F103" s="117">
        <v>0</v>
      </c>
      <c r="G103" s="120">
        <v>92</v>
      </c>
      <c r="H103" s="117">
        <v>0</v>
      </c>
      <c r="I103" s="120">
        <v>0</v>
      </c>
      <c r="J103" s="117">
        <v>0</v>
      </c>
      <c r="K103" s="120">
        <v>0</v>
      </c>
      <c r="L103" s="117">
        <v>89.942001342773438</v>
      </c>
      <c r="M103" s="120">
        <v>89.942001342773438</v>
      </c>
      <c r="N103" s="117">
        <v>0</v>
      </c>
      <c r="O103" s="120">
        <v>0</v>
      </c>
      <c r="P103" s="117">
        <v>0</v>
      </c>
      <c r="Q103" s="120">
        <v>0</v>
      </c>
      <c r="R103" s="117">
        <v>0</v>
      </c>
      <c r="S103" s="120">
        <v>0</v>
      </c>
      <c r="T103" s="117">
        <v>0</v>
      </c>
      <c r="U103" s="119">
        <v>0</v>
      </c>
      <c r="V103" t="str">
        <f>VLOOKUP(A103,Projetos_Ciclo!$H$3:$H$315,1,FALSE)</f>
        <v>CE00118</v>
      </c>
    </row>
    <row r="104" spans="1:22" x14ac:dyDescent="0.25">
      <c r="A104" s="111" t="s">
        <v>1135</v>
      </c>
      <c r="B104" s="112" t="s">
        <v>1136</v>
      </c>
      <c r="C104" s="112" t="s">
        <v>57</v>
      </c>
      <c r="D104" s="113">
        <v>0</v>
      </c>
      <c r="E104" s="114">
        <v>0</v>
      </c>
      <c r="F104" s="113">
        <v>0</v>
      </c>
      <c r="G104" s="114">
        <v>0</v>
      </c>
      <c r="H104" s="113">
        <v>0</v>
      </c>
      <c r="I104" s="114">
        <v>0</v>
      </c>
      <c r="J104" s="113">
        <v>0</v>
      </c>
      <c r="K104" s="114">
        <v>0</v>
      </c>
      <c r="L104" s="113">
        <v>0</v>
      </c>
      <c r="M104" s="114">
        <v>0</v>
      </c>
      <c r="N104" s="113">
        <v>0</v>
      </c>
      <c r="O104" s="114">
        <v>0</v>
      </c>
      <c r="P104" s="113">
        <v>0</v>
      </c>
      <c r="Q104" s="114">
        <v>0</v>
      </c>
      <c r="R104" s="113">
        <v>0</v>
      </c>
      <c r="S104" s="114">
        <v>0</v>
      </c>
      <c r="T104" s="113">
        <v>0</v>
      </c>
      <c r="U104" s="115">
        <v>0</v>
      </c>
      <c r="V104" t="e">
        <f>VLOOKUP(A104,Projetos_Ciclo!$H$3:$H$315,1,FALSE)</f>
        <v>#N/A</v>
      </c>
    </row>
    <row r="105" spans="1:22" x14ac:dyDescent="0.25">
      <c r="A105" s="14" t="s">
        <v>1676</v>
      </c>
      <c r="B105" s="116" t="s">
        <v>1798</v>
      </c>
      <c r="C105" s="116" t="s">
        <v>1678</v>
      </c>
      <c r="D105" s="117">
        <v>0</v>
      </c>
      <c r="E105" s="120">
        <v>0</v>
      </c>
      <c r="F105" s="117">
        <v>0</v>
      </c>
      <c r="G105" s="120">
        <v>125</v>
      </c>
      <c r="H105" s="117">
        <v>0</v>
      </c>
      <c r="I105" s="120">
        <v>0</v>
      </c>
      <c r="J105" s="117">
        <v>0</v>
      </c>
      <c r="K105" s="120">
        <v>0</v>
      </c>
      <c r="L105" s="117">
        <v>115.20000123977661</v>
      </c>
      <c r="M105" s="120">
        <v>115.20000123977661</v>
      </c>
      <c r="N105" s="117">
        <v>0</v>
      </c>
      <c r="O105" s="120">
        <v>0</v>
      </c>
      <c r="P105" s="117">
        <v>0</v>
      </c>
      <c r="Q105" s="120">
        <v>0</v>
      </c>
      <c r="R105" s="117">
        <v>0</v>
      </c>
      <c r="S105" s="120">
        <v>0</v>
      </c>
      <c r="T105" s="117">
        <v>0</v>
      </c>
      <c r="U105" s="119">
        <v>0</v>
      </c>
      <c r="V105" t="str">
        <f>VLOOKUP(A105,Projetos_Ciclo!$H$3:$H$315,1,FALSE)</f>
        <v>EM00218</v>
      </c>
    </row>
    <row r="106" spans="1:22" x14ac:dyDescent="0.25">
      <c r="A106" s="111" t="s">
        <v>1100</v>
      </c>
      <c r="B106" s="112" t="s">
        <v>1240</v>
      </c>
      <c r="C106" s="112" t="s">
        <v>1241</v>
      </c>
      <c r="D106" s="113">
        <v>0</v>
      </c>
      <c r="E106" s="114">
        <v>0</v>
      </c>
      <c r="F106" s="113">
        <v>0</v>
      </c>
      <c r="G106" s="114">
        <v>0</v>
      </c>
      <c r="H106" s="113">
        <v>0</v>
      </c>
      <c r="I106" s="114">
        <v>-6.9145699739456177</v>
      </c>
      <c r="J106" s="113">
        <v>0</v>
      </c>
      <c r="K106" s="114">
        <v>-6.9145699739456177</v>
      </c>
      <c r="L106" s="113">
        <v>0</v>
      </c>
      <c r="M106" s="114">
        <v>-6.9145699739456177</v>
      </c>
      <c r="N106" s="113">
        <v>0</v>
      </c>
      <c r="O106" s="114">
        <v>0</v>
      </c>
      <c r="P106" s="113">
        <v>0</v>
      </c>
      <c r="Q106" s="114">
        <v>0</v>
      </c>
      <c r="R106" s="113">
        <v>0</v>
      </c>
      <c r="S106" s="114">
        <v>0</v>
      </c>
      <c r="T106" s="113">
        <v>0</v>
      </c>
      <c r="U106" s="115">
        <v>0</v>
      </c>
      <c r="V106" t="str">
        <f>VLOOKUP(A106,Projetos_Ciclo!$H$3:$H$315,1,FALSE)</f>
        <v>GE00214</v>
      </c>
    </row>
    <row r="107" spans="1:22" x14ac:dyDescent="0.25">
      <c r="A107" s="14" t="s">
        <v>1242</v>
      </c>
      <c r="B107" s="116" t="s">
        <v>1243</v>
      </c>
      <c r="C107" s="116" t="s">
        <v>1456</v>
      </c>
      <c r="D107" s="117">
        <v>6570</v>
      </c>
      <c r="E107" s="120">
        <v>0</v>
      </c>
      <c r="F107" s="117">
        <v>2891</v>
      </c>
      <c r="G107" s="120">
        <v>0</v>
      </c>
      <c r="H107" s="117">
        <v>306</v>
      </c>
      <c r="I107" s="120">
        <v>0</v>
      </c>
      <c r="J107" s="117">
        <v>0</v>
      </c>
      <c r="K107" s="120">
        <v>0</v>
      </c>
      <c r="L107" s="117">
        <v>0</v>
      </c>
      <c r="M107" s="120">
        <v>0</v>
      </c>
      <c r="N107" s="117">
        <v>1905</v>
      </c>
      <c r="O107" s="120">
        <v>1774</v>
      </c>
      <c r="P107" s="117">
        <v>0</v>
      </c>
      <c r="Q107" s="120">
        <v>0</v>
      </c>
      <c r="R107" s="117">
        <v>0</v>
      </c>
      <c r="S107" s="120">
        <v>0</v>
      </c>
      <c r="T107" s="117">
        <v>0</v>
      </c>
      <c r="U107" s="119">
        <v>0</v>
      </c>
      <c r="V107" t="e">
        <f>VLOOKUP(A107,Projetos_Ciclo!$H$3:$H$315,1,FALSE)</f>
        <v>#N/A</v>
      </c>
    </row>
    <row r="108" spans="1:22" x14ac:dyDescent="0.25">
      <c r="A108" s="111" t="s">
        <v>1545</v>
      </c>
      <c r="B108" s="112" t="s">
        <v>58</v>
      </c>
      <c r="C108" s="112" t="s">
        <v>1546</v>
      </c>
      <c r="D108" s="113">
        <v>0</v>
      </c>
      <c r="E108" s="114">
        <v>0</v>
      </c>
      <c r="F108" s="113">
        <v>0</v>
      </c>
      <c r="G108" s="114">
        <v>110</v>
      </c>
      <c r="H108" s="113">
        <v>0</v>
      </c>
      <c r="I108" s="114">
        <v>0</v>
      </c>
      <c r="J108" s="113">
        <v>0</v>
      </c>
      <c r="K108" s="114">
        <v>0</v>
      </c>
      <c r="L108" s="113">
        <v>97.669660568237305</v>
      </c>
      <c r="M108" s="114">
        <v>97.669660568237305</v>
      </c>
      <c r="N108" s="113">
        <v>0</v>
      </c>
      <c r="O108" s="114">
        <v>0</v>
      </c>
      <c r="P108" s="113">
        <v>0</v>
      </c>
      <c r="Q108" s="114">
        <v>0</v>
      </c>
      <c r="R108" s="113">
        <v>0</v>
      </c>
      <c r="S108" s="114">
        <v>0</v>
      </c>
      <c r="T108" s="113">
        <v>0</v>
      </c>
      <c r="U108" s="115">
        <v>0</v>
      </c>
      <c r="V108" t="str">
        <f>VLOOKUP(A108,Projetos_Ciclo!$H$3:$H$315,1,FALSE)</f>
        <v>GE01018</v>
      </c>
    </row>
    <row r="109" spans="1:22" x14ac:dyDescent="0.25">
      <c r="A109" s="14" t="s">
        <v>1596</v>
      </c>
      <c r="B109" s="116" t="s">
        <v>1732</v>
      </c>
      <c r="C109" s="116" t="s">
        <v>1733</v>
      </c>
      <c r="D109" s="117">
        <v>0</v>
      </c>
      <c r="E109" s="120">
        <v>0</v>
      </c>
      <c r="F109" s="117">
        <v>0</v>
      </c>
      <c r="G109" s="120">
        <v>81</v>
      </c>
      <c r="H109" s="117">
        <v>0</v>
      </c>
      <c r="I109" s="120">
        <v>0</v>
      </c>
      <c r="J109" s="117">
        <v>0</v>
      </c>
      <c r="K109" s="120">
        <v>0</v>
      </c>
      <c r="L109" s="117">
        <v>63.748771667480469</v>
      </c>
      <c r="M109" s="120">
        <v>63.748771667480469</v>
      </c>
      <c r="N109" s="117">
        <v>0</v>
      </c>
      <c r="O109" s="120">
        <v>0</v>
      </c>
      <c r="P109" s="117">
        <v>0</v>
      </c>
      <c r="Q109" s="120">
        <v>0</v>
      </c>
      <c r="R109" s="117">
        <v>0</v>
      </c>
      <c r="S109" s="120">
        <v>0</v>
      </c>
      <c r="T109" s="117">
        <v>0</v>
      </c>
      <c r="U109" s="119">
        <v>0</v>
      </c>
      <c r="V109" t="str">
        <f>VLOOKUP(A109,Projetos_Ciclo!$H$3:$H$315,1,FALSE)</f>
        <v>GE01118</v>
      </c>
    </row>
    <row r="110" spans="1:22" x14ac:dyDescent="0.25">
      <c r="A110" s="111" t="s">
        <v>1844</v>
      </c>
      <c r="B110" s="112" t="s">
        <v>1874</v>
      </c>
      <c r="C110" s="112" t="s">
        <v>1845</v>
      </c>
      <c r="D110" s="113">
        <v>0</v>
      </c>
      <c r="E110" s="114">
        <v>0</v>
      </c>
      <c r="F110" s="113">
        <v>0</v>
      </c>
      <c r="G110" s="114">
        <v>114</v>
      </c>
      <c r="H110" s="113">
        <v>0</v>
      </c>
      <c r="I110" s="114">
        <v>0</v>
      </c>
      <c r="J110" s="113">
        <v>0</v>
      </c>
      <c r="K110" s="114">
        <v>0</v>
      </c>
      <c r="L110" s="113">
        <v>0</v>
      </c>
      <c r="M110" s="114">
        <v>0</v>
      </c>
      <c r="N110" s="113">
        <v>0</v>
      </c>
      <c r="O110" s="114">
        <v>0</v>
      </c>
      <c r="P110" s="113">
        <v>0</v>
      </c>
      <c r="Q110" s="114">
        <v>0</v>
      </c>
      <c r="R110" s="113">
        <v>0</v>
      </c>
      <c r="S110" s="114">
        <v>0</v>
      </c>
      <c r="T110" s="113">
        <v>0</v>
      </c>
      <c r="U110" s="115">
        <v>0</v>
      </c>
      <c r="V110" t="str">
        <f>VLOOKUP(A110,Projetos_Ciclo!$H$3:$H$315,1,FALSE)</f>
        <v>MS00118</v>
      </c>
    </row>
    <row r="111" spans="1:22" x14ac:dyDescent="0.25">
      <c r="A111" s="14" t="s">
        <v>520</v>
      </c>
      <c r="B111" s="116" t="s">
        <v>1137</v>
      </c>
      <c r="C111" s="116" t="s">
        <v>57</v>
      </c>
      <c r="D111" s="117">
        <v>30513</v>
      </c>
      <c r="E111" s="120">
        <v>0</v>
      </c>
      <c r="F111" s="117">
        <v>0</v>
      </c>
      <c r="G111" s="120">
        <v>0</v>
      </c>
      <c r="H111" s="117">
        <v>0</v>
      </c>
      <c r="I111" s="120">
        <v>0</v>
      </c>
      <c r="J111" s="117">
        <v>0</v>
      </c>
      <c r="K111" s="120">
        <v>0</v>
      </c>
      <c r="L111" s="117">
        <v>0</v>
      </c>
      <c r="M111" s="120">
        <v>0</v>
      </c>
      <c r="N111" s="117">
        <v>6798</v>
      </c>
      <c r="O111" s="120">
        <v>8062</v>
      </c>
      <c r="P111" s="117">
        <v>9596</v>
      </c>
      <c r="Q111" s="120">
        <v>6057</v>
      </c>
      <c r="R111" s="117">
        <v>0</v>
      </c>
      <c r="S111" s="120">
        <v>0</v>
      </c>
      <c r="T111" s="117">
        <v>0</v>
      </c>
      <c r="U111" s="119">
        <v>0</v>
      </c>
      <c r="V111" t="str">
        <f>VLOOKUP(A111,Projetos_Ciclo!$H$3:$H$315,1,FALSE)</f>
        <v>NA</v>
      </c>
    </row>
    <row r="112" spans="1:22" x14ac:dyDescent="0.25">
      <c r="A112" s="111" t="s">
        <v>1457</v>
      </c>
      <c r="B112" s="112" t="s">
        <v>1458</v>
      </c>
      <c r="C112" s="112" t="s">
        <v>1459</v>
      </c>
      <c r="D112" s="113">
        <v>0</v>
      </c>
      <c r="E112" s="114">
        <v>0</v>
      </c>
      <c r="F112" s="113">
        <v>0</v>
      </c>
      <c r="G112" s="114">
        <v>124</v>
      </c>
      <c r="H112" s="113">
        <v>0</v>
      </c>
      <c r="I112" s="114">
        <v>0</v>
      </c>
      <c r="J112" s="113">
        <v>0</v>
      </c>
      <c r="K112" s="114">
        <v>0</v>
      </c>
      <c r="L112" s="113">
        <v>124.04500293731689</v>
      </c>
      <c r="M112" s="114">
        <v>124.04500293731689</v>
      </c>
      <c r="N112" s="113">
        <v>0</v>
      </c>
      <c r="O112" s="114">
        <v>0</v>
      </c>
      <c r="P112" s="113">
        <v>0</v>
      </c>
      <c r="Q112" s="114">
        <v>0</v>
      </c>
      <c r="R112" s="113">
        <v>0</v>
      </c>
      <c r="S112" s="114">
        <v>0</v>
      </c>
      <c r="T112" s="113">
        <v>0</v>
      </c>
      <c r="U112" s="115">
        <v>0</v>
      </c>
      <c r="V112" t="str">
        <f>VLOOKUP(A112,Projetos_Ciclo!$H$3:$H$315,1,FALSE)</f>
        <v>RH00118</v>
      </c>
    </row>
    <row r="113" spans="1:22" x14ac:dyDescent="0.25">
      <c r="A113" s="14" t="s">
        <v>1093</v>
      </c>
      <c r="B113" s="116" t="s">
        <v>443</v>
      </c>
      <c r="C113" s="116" t="s">
        <v>1245</v>
      </c>
      <c r="D113" s="117">
        <v>0</v>
      </c>
      <c r="E113" s="120">
        <v>0</v>
      </c>
      <c r="F113" s="117">
        <v>0</v>
      </c>
      <c r="G113" s="120">
        <v>52</v>
      </c>
      <c r="H113" s="117">
        <v>0</v>
      </c>
      <c r="I113" s="120">
        <v>0</v>
      </c>
      <c r="J113" s="117">
        <v>0</v>
      </c>
      <c r="K113" s="120">
        <v>0</v>
      </c>
      <c r="L113" s="117">
        <v>51</v>
      </c>
      <c r="M113" s="120">
        <v>51</v>
      </c>
      <c r="N113" s="117">
        <v>0</v>
      </c>
      <c r="O113" s="120">
        <v>0</v>
      </c>
      <c r="P113" s="117">
        <v>0</v>
      </c>
      <c r="Q113" s="120">
        <v>0</v>
      </c>
      <c r="R113" s="117">
        <v>0</v>
      </c>
      <c r="S113" s="120">
        <v>0</v>
      </c>
      <c r="T113" s="117">
        <v>0</v>
      </c>
      <c r="U113" s="119">
        <v>0</v>
      </c>
      <c r="V113" t="str">
        <f>VLOOKUP(A113,Projetos_Ciclo!$H$3:$H$315,1,FALSE)</f>
        <v>SC00117</v>
      </c>
    </row>
    <row r="114" spans="1:22" x14ac:dyDescent="0.25">
      <c r="A114" s="111" t="s">
        <v>1092</v>
      </c>
      <c r="B114" s="112" t="s">
        <v>1522</v>
      </c>
      <c r="C114" s="112" t="s">
        <v>1425</v>
      </c>
      <c r="D114" s="113">
        <v>0</v>
      </c>
      <c r="E114" s="114">
        <v>0</v>
      </c>
      <c r="F114" s="113">
        <v>0</v>
      </c>
      <c r="G114" s="114">
        <v>30</v>
      </c>
      <c r="H114" s="113">
        <v>0</v>
      </c>
      <c r="I114" s="114">
        <v>0</v>
      </c>
      <c r="J114" s="113">
        <v>0</v>
      </c>
      <c r="K114" s="114">
        <v>0</v>
      </c>
      <c r="L114" s="113">
        <v>0</v>
      </c>
      <c r="M114" s="114">
        <v>0</v>
      </c>
      <c r="N114" s="113">
        <v>0</v>
      </c>
      <c r="O114" s="114">
        <v>0</v>
      </c>
      <c r="P114" s="113">
        <v>0</v>
      </c>
      <c r="Q114" s="114">
        <v>0</v>
      </c>
      <c r="R114" s="113">
        <v>0</v>
      </c>
      <c r="S114" s="114">
        <v>0</v>
      </c>
      <c r="T114" s="113">
        <v>0</v>
      </c>
      <c r="U114" s="115">
        <v>0</v>
      </c>
      <c r="V114" t="str">
        <f>VLOOKUP(A114,Projetos_Ciclo!$H$3:$H$315,1,FALSE)</f>
        <v>SC00118</v>
      </c>
    </row>
    <row r="115" spans="1:22" x14ac:dyDescent="0.25">
      <c r="A115" s="14" t="s">
        <v>1472</v>
      </c>
      <c r="B115" s="116" t="s">
        <v>1523</v>
      </c>
      <c r="C115" s="116" t="s">
        <v>1473</v>
      </c>
      <c r="D115" s="117">
        <v>0</v>
      </c>
      <c r="E115" s="120">
        <v>0</v>
      </c>
      <c r="F115" s="117">
        <v>0</v>
      </c>
      <c r="G115" s="120">
        <v>153</v>
      </c>
      <c r="H115" s="117">
        <v>0</v>
      </c>
      <c r="I115" s="120">
        <v>25.312000274658203</v>
      </c>
      <c r="J115" s="117">
        <v>0</v>
      </c>
      <c r="K115" s="120">
        <v>25.312000274658203</v>
      </c>
      <c r="L115" s="117">
        <v>103.57765007019043</v>
      </c>
      <c r="M115" s="120">
        <v>128.88965034484863</v>
      </c>
      <c r="N115" s="117">
        <v>0</v>
      </c>
      <c r="O115" s="120">
        <v>0</v>
      </c>
      <c r="P115" s="117">
        <v>0</v>
      </c>
      <c r="Q115" s="120">
        <v>0</v>
      </c>
      <c r="R115" s="117">
        <v>0</v>
      </c>
      <c r="S115" s="120">
        <v>0</v>
      </c>
      <c r="T115" s="117">
        <v>0</v>
      </c>
      <c r="U115" s="119">
        <v>0</v>
      </c>
      <c r="V115" t="str">
        <f>VLOOKUP(A115,Projetos_Ciclo!$H$3:$H$315,1,FALSE)</f>
        <v>SC00418</v>
      </c>
    </row>
    <row r="116" spans="1:22" x14ac:dyDescent="0.25">
      <c r="A116" s="111" t="s">
        <v>1551</v>
      </c>
      <c r="B116" s="112" t="s">
        <v>1570</v>
      </c>
      <c r="C116" s="112" t="s">
        <v>1552</v>
      </c>
      <c r="D116" s="113">
        <v>0</v>
      </c>
      <c r="E116" s="114">
        <v>0</v>
      </c>
      <c r="F116" s="113">
        <v>0</v>
      </c>
      <c r="G116" s="114">
        <v>23</v>
      </c>
      <c r="H116" s="113">
        <v>0</v>
      </c>
      <c r="I116" s="114">
        <v>0</v>
      </c>
      <c r="J116" s="113">
        <v>0</v>
      </c>
      <c r="K116" s="114">
        <v>0</v>
      </c>
      <c r="L116" s="113">
        <v>23.331000566482544</v>
      </c>
      <c r="M116" s="114">
        <v>23.331000566482544</v>
      </c>
      <c r="N116" s="113">
        <v>0</v>
      </c>
      <c r="O116" s="114">
        <v>0</v>
      </c>
      <c r="P116" s="113">
        <v>0</v>
      </c>
      <c r="Q116" s="114">
        <v>0</v>
      </c>
      <c r="R116" s="113">
        <v>0</v>
      </c>
      <c r="S116" s="114">
        <v>0</v>
      </c>
      <c r="T116" s="113">
        <v>0</v>
      </c>
      <c r="U116" s="115">
        <v>0</v>
      </c>
      <c r="V116" t="str">
        <f>VLOOKUP(A116,Projetos_Ciclo!$H$3:$H$315,1,FALSE)</f>
        <v>SC00518</v>
      </c>
    </row>
    <row r="117" spans="1:22" x14ac:dyDescent="0.25">
      <c r="A117" s="14" t="s">
        <v>1580</v>
      </c>
      <c r="B117" s="116" t="s">
        <v>1734</v>
      </c>
      <c r="C117" s="116" t="s">
        <v>1581</v>
      </c>
      <c r="D117" s="117">
        <v>0</v>
      </c>
      <c r="E117" s="120">
        <v>0</v>
      </c>
      <c r="F117" s="117">
        <v>0</v>
      </c>
      <c r="G117" s="120">
        <v>1209</v>
      </c>
      <c r="H117" s="117">
        <v>0</v>
      </c>
      <c r="I117" s="120">
        <v>0</v>
      </c>
      <c r="J117" s="117">
        <v>0</v>
      </c>
      <c r="K117" s="120">
        <v>0</v>
      </c>
      <c r="L117" s="117">
        <v>1206</v>
      </c>
      <c r="M117" s="120">
        <v>1206</v>
      </c>
      <c r="N117" s="117">
        <v>0</v>
      </c>
      <c r="O117" s="120">
        <v>0</v>
      </c>
      <c r="P117" s="117">
        <v>0</v>
      </c>
      <c r="Q117" s="120">
        <v>0</v>
      </c>
      <c r="R117" s="117">
        <v>0</v>
      </c>
      <c r="S117" s="120">
        <v>0</v>
      </c>
      <c r="T117" s="117">
        <v>0</v>
      </c>
      <c r="U117" s="119">
        <v>0</v>
      </c>
      <c r="V117" t="str">
        <f>VLOOKUP(A117,Projetos_Ciclo!$H$3:$H$315,1,FALSE)</f>
        <v>SC00618</v>
      </c>
    </row>
    <row r="118" spans="1:22" x14ac:dyDescent="0.25">
      <c r="A118" s="111" t="s">
        <v>1582</v>
      </c>
      <c r="B118" s="112" t="s">
        <v>1584</v>
      </c>
      <c r="C118" s="112" t="s">
        <v>1583</v>
      </c>
      <c r="D118" s="113">
        <v>0</v>
      </c>
      <c r="E118" s="114">
        <v>0</v>
      </c>
      <c r="F118" s="113">
        <v>0</v>
      </c>
      <c r="G118" s="114">
        <v>16</v>
      </c>
      <c r="H118" s="113">
        <v>0</v>
      </c>
      <c r="I118" s="114">
        <v>0</v>
      </c>
      <c r="J118" s="113">
        <v>0</v>
      </c>
      <c r="K118" s="114">
        <v>0</v>
      </c>
      <c r="L118" s="113">
        <v>0</v>
      </c>
      <c r="M118" s="114">
        <v>0</v>
      </c>
      <c r="N118" s="113">
        <v>0</v>
      </c>
      <c r="O118" s="114">
        <v>0</v>
      </c>
      <c r="P118" s="113">
        <v>0</v>
      </c>
      <c r="Q118" s="114">
        <v>0</v>
      </c>
      <c r="R118" s="113">
        <v>0</v>
      </c>
      <c r="S118" s="114">
        <v>0</v>
      </c>
      <c r="T118" s="113">
        <v>0</v>
      </c>
      <c r="U118" s="115">
        <v>0</v>
      </c>
      <c r="V118" t="str">
        <f>VLOOKUP(A118,Projetos_Ciclo!$H$3:$H$315,1,FALSE)</f>
        <v>SC00718</v>
      </c>
    </row>
    <row r="119" spans="1:22" x14ac:dyDescent="0.25">
      <c r="A119" s="14" t="s">
        <v>1830</v>
      </c>
      <c r="B119" s="116" t="s">
        <v>1847</v>
      </c>
      <c r="C119" s="116" t="s">
        <v>1831</v>
      </c>
      <c r="D119" s="117">
        <v>0</v>
      </c>
      <c r="E119" s="120">
        <v>0</v>
      </c>
      <c r="F119" s="117">
        <v>0</v>
      </c>
      <c r="G119" s="120">
        <v>7</v>
      </c>
      <c r="H119" s="117">
        <v>0</v>
      </c>
      <c r="I119" s="120">
        <v>0</v>
      </c>
      <c r="J119" s="117">
        <v>0</v>
      </c>
      <c r="K119" s="120">
        <v>0</v>
      </c>
      <c r="L119" s="117">
        <v>0</v>
      </c>
      <c r="M119" s="120">
        <v>0</v>
      </c>
      <c r="N119" s="117">
        <v>0</v>
      </c>
      <c r="O119" s="120">
        <v>0</v>
      </c>
      <c r="P119" s="117">
        <v>0</v>
      </c>
      <c r="Q119" s="120">
        <v>0</v>
      </c>
      <c r="R119" s="117">
        <v>0</v>
      </c>
      <c r="S119" s="120">
        <v>0</v>
      </c>
      <c r="T119" s="117">
        <v>0</v>
      </c>
      <c r="U119" s="119">
        <v>0</v>
      </c>
      <c r="V119" t="str">
        <f>VLOOKUP(A119,Projetos_Ciclo!$H$3:$H$315,1,FALSE)</f>
        <v>SC00818</v>
      </c>
    </row>
    <row r="120" spans="1:22" x14ac:dyDescent="0.25">
      <c r="A120" s="111" t="s">
        <v>1828</v>
      </c>
      <c r="B120" s="112" t="s">
        <v>1848</v>
      </c>
      <c r="C120" s="112" t="s">
        <v>1829</v>
      </c>
      <c r="D120" s="113">
        <v>0</v>
      </c>
      <c r="E120" s="114">
        <v>0</v>
      </c>
      <c r="F120" s="113">
        <v>0</v>
      </c>
      <c r="G120" s="114">
        <v>0</v>
      </c>
      <c r="H120" s="113">
        <v>0</v>
      </c>
      <c r="I120" s="114">
        <v>0</v>
      </c>
      <c r="J120" s="113">
        <v>0</v>
      </c>
      <c r="K120" s="114">
        <v>0</v>
      </c>
      <c r="L120" s="113">
        <v>0</v>
      </c>
      <c r="M120" s="114">
        <v>0</v>
      </c>
      <c r="N120" s="113">
        <v>0</v>
      </c>
      <c r="O120" s="114">
        <v>0</v>
      </c>
      <c r="P120" s="113">
        <v>0</v>
      </c>
      <c r="Q120" s="114">
        <v>0</v>
      </c>
      <c r="R120" s="113">
        <v>0</v>
      </c>
      <c r="S120" s="114">
        <v>0</v>
      </c>
      <c r="T120" s="113">
        <v>0</v>
      </c>
      <c r="U120" s="115">
        <v>0</v>
      </c>
      <c r="V120" t="str">
        <f>VLOOKUP(A120,Projetos_Ciclo!$H$3:$H$315,1,FALSE)</f>
        <v>SC00918</v>
      </c>
    </row>
    <row r="121" spans="1:22" x14ac:dyDescent="0.25">
      <c r="A121" s="14" t="s">
        <v>1138</v>
      </c>
      <c r="B121" s="116" t="s">
        <v>1139</v>
      </c>
      <c r="C121" s="116" t="s">
        <v>57</v>
      </c>
      <c r="D121" s="117">
        <v>3368.5</v>
      </c>
      <c r="E121" s="120">
        <v>0</v>
      </c>
      <c r="F121" s="117">
        <v>0</v>
      </c>
      <c r="G121" s="120">
        <v>0</v>
      </c>
      <c r="H121" s="117">
        <v>0</v>
      </c>
      <c r="I121" s="120">
        <v>0</v>
      </c>
      <c r="J121" s="117">
        <v>0</v>
      </c>
      <c r="K121" s="120">
        <v>0</v>
      </c>
      <c r="L121" s="117">
        <v>0</v>
      </c>
      <c r="M121" s="120">
        <v>0</v>
      </c>
      <c r="N121" s="117">
        <v>0</v>
      </c>
      <c r="O121" s="120">
        <v>0</v>
      </c>
      <c r="P121" s="117">
        <v>0</v>
      </c>
      <c r="Q121" s="120">
        <v>0</v>
      </c>
      <c r="R121" s="117">
        <v>0</v>
      </c>
      <c r="S121" s="120">
        <v>0</v>
      </c>
      <c r="T121" s="117">
        <v>0</v>
      </c>
      <c r="U121" s="119">
        <v>0</v>
      </c>
      <c r="V121" t="e">
        <f>VLOOKUP(A121,Projetos_Ciclo!$H$3:$H$315,1,FALSE)</f>
        <v>#N/A</v>
      </c>
    </row>
    <row r="122" spans="1:22" x14ac:dyDescent="0.25">
      <c r="A122" s="111" t="s">
        <v>1476</v>
      </c>
      <c r="B122" s="112" t="s">
        <v>1486</v>
      </c>
      <c r="C122" s="112" t="s">
        <v>1477</v>
      </c>
      <c r="D122" s="113">
        <v>0</v>
      </c>
      <c r="E122" s="114">
        <v>0</v>
      </c>
      <c r="F122" s="113">
        <v>0</v>
      </c>
      <c r="G122" s="114">
        <v>20</v>
      </c>
      <c r="H122" s="113">
        <v>0</v>
      </c>
      <c r="I122" s="114">
        <v>11.725610017776489</v>
      </c>
      <c r="J122" s="113">
        <v>0</v>
      </c>
      <c r="K122" s="114">
        <v>11.725610017776489</v>
      </c>
      <c r="L122" s="113">
        <v>0</v>
      </c>
      <c r="M122" s="114">
        <v>11.725610017776489</v>
      </c>
      <c r="N122" s="113">
        <v>0</v>
      </c>
      <c r="O122" s="114">
        <v>0</v>
      </c>
      <c r="P122" s="113">
        <v>0</v>
      </c>
      <c r="Q122" s="114">
        <v>0</v>
      </c>
      <c r="R122" s="113">
        <v>0</v>
      </c>
      <c r="S122" s="114">
        <v>0</v>
      </c>
      <c r="T122" s="113">
        <v>0</v>
      </c>
      <c r="U122" s="115">
        <v>0</v>
      </c>
      <c r="V122" t="str">
        <f>VLOOKUP(A122,Projetos_Ciclo!$H$3:$H$315,1,FALSE)</f>
        <v>TI05018</v>
      </c>
    </row>
    <row r="123" spans="1:22" x14ac:dyDescent="0.25">
      <c r="A123" s="14" t="s">
        <v>1133</v>
      </c>
      <c r="B123" s="116" t="s">
        <v>1246</v>
      </c>
      <c r="C123" s="116" t="s">
        <v>57</v>
      </c>
      <c r="D123" s="117">
        <v>0</v>
      </c>
      <c r="E123" s="120">
        <v>0</v>
      </c>
      <c r="F123" s="117">
        <v>0</v>
      </c>
      <c r="G123" s="120">
        <v>0</v>
      </c>
      <c r="H123" s="117">
        <v>0</v>
      </c>
      <c r="I123" s="120">
        <v>0</v>
      </c>
      <c r="J123" s="117">
        <v>0</v>
      </c>
      <c r="K123" s="120">
        <v>0</v>
      </c>
      <c r="L123" s="117">
        <v>0</v>
      </c>
      <c r="M123" s="120">
        <v>0</v>
      </c>
      <c r="N123" s="117">
        <v>0</v>
      </c>
      <c r="O123" s="120">
        <v>0</v>
      </c>
      <c r="P123" s="117">
        <v>0</v>
      </c>
      <c r="Q123" s="120">
        <v>0</v>
      </c>
      <c r="R123" s="117">
        <v>0</v>
      </c>
      <c r="S123" s="120">
        <v>0</v>
      </c>
      <c r="T123" s="117">
        <v>0</v>
      </c>
      <c r="U123" s="119">
        <v>0</v>
      </c>
      <c r="V123" t="e">
        <f>VLOOKUP(A123,Projetos_Ciclo!$H$3:$H$315,1,FALSE)</f>
        <v>#N/A</v>
      </c>
    </row>
    <row r="124" spans="1:22" x14ac:dyDescent="0.25">
      <c r="A124" s="111" t="s">
        <v>1135</v>
      </c>
      <c r="B124" s="112" t="s">
        <v>1136</v>
      </c>
      <c r="C124" s="112" t="s">
        <v>57</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c r="V124" t="e">
        <f>VLOOKUP(A124,Projetos_Ciclo!$H$3:$H$315,1,FALSE)</f>
        <v>#N/A</v>
      </c>
    </row>
    <row r="125" spans="1:22" x14ac:dyDescent="0.25">
      <c r="A125" s="14" t="s">
        <v>520</v>
      </c>
      <c r="B125" s="116" t="s">
        <v>1137</v>
      </c>
      <c r="C125" s="116" t="s">
        <v>57</v>
      </c>
      <c r="D125" s="117">
        <v>30051</v>
      </c>
      <c r="E125" s="120">
        <v>0</v>
      </c>
      <c r="F125" s="117">
        <v>0</v>
      </c>
      <c r="G125" s="120">
        <v>0</v>
      </c>
      <c r="H125" s="117">
        <v>0</v>
      </c>
      <c r="I125" s="120">
        <v>0</v>
      </c>
      <c r="J125" s="117">
        <v>0</v>
      </c>
      <c r="K125" s="120">
        <v>0</v>
      </c>
      <c r="L125" s="117">
        <v>0</v>
      </c>
      <c r="M125" s="120">
        <v>0</v>
      </c>
      <c r="N125" s="117">
        <v>5003</v>
      </c>
      <c r="O125" s="120">
        <v>8113</v>
      </c>
      <c r="P125" s="117">
        <v>9847</v>
      </c>
      <c r="Q125" s="120">
        <v>7088</v>
      </c>
      <c r="R125" s="117">
        <v>0</v>
      </c>
      <c r="S125" s="120">
        <v>0</v>
      </c>
      <c r="T125" s="117">
        <v>0</v>
      </c>
      <c r="U125" s="119">
        <v>0</v>
      </c>
      <c r="V125" t="str">
        <f>VLOOKUP(A125,Projetos_Ciclo!$H$3:$H$315,1,FALSE)</f>
        <v>NA</v>
      </c>
    </row>
    <row r="126" spans="1:22" x14ac:dyDescent="0.25">
      <c r="A126" s="111" t="s">
        <v>1138</v>
      </c>
      <c r="B126" s="112" t="s">
        <v>1139</v>
      </c>
      <c r="C126" s="112" t="s">
        <v>57</v>
      </c>
      <c r="D126" s="113">
        <v>-1</v>
      </c>
      <c r="E126" s="114">
        <v>0</v>
      </c>
      <c r="F126" s="113">
        <v>0</v>
      </c>
      <c r="G126" s="114">
        <v>0</v>
      </c>
      <c r="H126" s="113">
        <v>0</v>
      </c>
      <c r="I126" s="114">
        <v>0</v>
      </c>
      <c r="J126" s="113">
        <v>0</v>
      </c>
      <c r="K126" s="114">
        <v>0</v>
      </c>
      <c r="L126" s="113">
        <v>0</v>
      </c>
      <c r="M126" s="114">
        <v>0</v>
      </c>
      <c r="N126" s="113">
        <v>0</v>
      </c>
      <c r="O126" s="114">
        <v>0</v>
      </c>
      <c r="P126" s="113">
        <v>0</v>
      </c>
      <c r="Q126" s="114">
        <v>0</v>
      </c>
      <c r="R126" s="113">
        <v>0</v>
      </c>
      <c r="S126" s="114">
        <v>0</v>
      </c>
      <c r="T126" s="113">
        <v>0</v>
      </c>
      <c r="U126" s="115">
        <v>0</v>
      </c>
      <c r="V126" t="e">
        <f>VLOOKUP(A126,Projetos_Ciclo!$H$3:$H$315,1,FALSE)</f>
        <v>#N/A</v>
      </c>
    </row>
    <row r="127" spans="1:22" x14ac:dyDescent="0.25">
      <c r="A127" s="14" t="s">
        <v>1247</v>
      </c>
      <c r="B127" s="116" t="s">
        <v>1248</v>
      </c>
      <c r="C127" s="116" t="s">
        <v>1249</v>
      </c>
      <c r="D127" s="117">
        <v>4512</v>
      </c>
      <c r="E127" s="120">
        <v>0</v>
      </c>
      <c r="F127" s="117">
        <v>4112</v>
      </c>
      <c r="G127" s="120">
        <v>0</v>
      </c>
      <c r="H127" s="117">
        <v>0</v>
      </c>
      <c r="I127" s="120">
        <v>0</v>
      </c>
      <c r="J127" s="117">
        <v>0</v>
      </c>
      <c r="K127" s="120">
        <v>0</v>
      </c>
      <c r="L127" s="117">
        <v>0</v>
      </c>
      <c r="M127" s="120">
        <v>0</v>
      </c>
      <c r="N127" s="117">
        <v>200</v>
      </c>
      <c r="O127" s="120">
        <v>200</v>
      </c>
      <c r="P127" s="117">
        <v>0</v>
      </c>
      <c r="Q127" s="120">
        <v>0</v>
      </c>
      <c r="R127" s="117">
        <v>0</v>
      </c>
      <c r="S127" s="120">
        <v>0</v>
      </c>
      <c r="T127" s="117">
        <v>0</v>
      </c>
      <c r="U127" s="119">
        <v>0</v>
      </c>
      <c r="V127" t="e">
        <f>VLOOKUP(A127,Projetos_Ciclo!$H$3:$H$315,1,FALSE)</f>
        <v>#N/A</v>
      </c>
    </row>
    <row r="128" spans="1:22" x14ac:dyDescent="0.25">
      <c r="A128" s="111" t="s">
        <v>1131</v>
      </c>
      <c r="B128" s="112" t="s">
        <v>1250</v>
      </c>
      <c r="C128" s="112" t="s">
        <v>1132</v>
      </c>
      <c r="D128" s="113">
        <v>0</v>
      </c>
      <c r="E128" s="114">
        <v>0</v>
      </c>
      <c r="F128" s="113">
        <v>0</v>
      </c>
      <c r="G128" s="114">
        <v>367</v>
      </c>
      <c r="H128" s="113">
        <v>0</v>
      </c>
      <c r="I128" s="114">
        <v>0</v>
      </c>
      <c r="J128" s="113">
        <v>0</v>
      </c>
      <c r="K128" s="114">
        <v>0</v>
      </c>
      <c r="L128" s="113">
        <v>356.9999942779541</v>
      </c>
      <c r="M128" s="114">
        <v>356.9999942779541</v>
      </c>
      <c r="N128" s="113">
        <v>0</v>
      </c>
      <c r="O128" s="114">
        <v>0</v>
      </c>
      <c r="P128" s="113">
        <v>0</v>
      </c>
      <c r="Q128" s="114">
        <v>0</v>
      </c>
      <c r="R128" s="113">
        <v>0</v>
      </c>
      <c r="S128" s="114">
        <v>0</v>
      </c>
      <c r="T128" s="113">
        <v>0</v>
      </c>
      <c r="U128" s="115">
        <v>0</v>
      </c>
      <c r="V128" t="str">
        <f>VLOOKUP(A128,Projetos_Ciclo!$H$3:$H$315,1,FALSE)</f>
        <v>TI02918</v>
      </c>
    </row>
    <row r="129" spans="1:22" x14ac:dyDescent="0.25">
      <c r="A129" s="14" t="s">
        <v>1251</v>
      </c>
      <c r="B129" s="116" t="s">
        <v>1252</v>
      </c>
      <c r="C129" s="116" t="s">
        <v>1253</v>
      </c>
      <c r="D129" s="117">
        <v>0</v>
      </c>
      <c r="E129" s="120">
        <v>0</v>
      </c>
      <c r="F129" s="117">
        <v>0</v>
      </c>
      <c r="G129" s="120">
        <v>108</v>
      </c>
      <c r="H129" s="117">
        <v>0</v>
      </c>
      <c r="I129" s="120">
        <v>0</v>
      </c>
      <c r="J129" s="117">
        <v>0</v>
      </c>
      <c r="K129" s="120">
        <v>0</v>
      </c>
      <c r="L129" s="117">
        <v>0</v>
      </c>
      <c r="M129" s="120">
        <v>0</v>
      </c>
      <c r="N129" s="117">
        <v>0</v>
      </c>
      <c r="O129" s="120">
        <v>0</v>
      </c>
      <c r="P129" s="117">
        <v>0</v>
      </c>
      <c r="Q129" s="120">
        <v>0</v>
      </c>
      <c r="R129" s="117">
        <v>0</v>
      </c>
      <c r="S129" s="120">
        <v>0</v>
      </c>
      <c r="T129" s="117">
        <v>0</v>
      </c>
      <c r="U129" s="119">
        <v>0</v>
      </c>
      <c r="V129" t="str">
        <f>VLOOKUP(A129,Projetos_Ciclo!$H$3:$H$315,1,FALSE)</f>
        <v>TI03118</v>
      </c>
    </row>
    <row r="130" spans="1:22" x14ac:dyDescent="0.25">
      <c r="A130" s="111" t="s">
        <v>1460</v>
      </c>
      <c r="B130" s="112" t="s">
        <v>944</v>
      </c>
      <c r="C130" s="112" t="s">
        <v>1461</v>
      </c>
      <c r="D130" s="113">
        <v>0</v>
      </c>
      <c r="E130" s="114">
        <v>0</v>
      </c>
      <c r="F130" s="113">
        <v>0</v>
      </c>
      <c r="G130" s="114">
        <v>200</v>
      </c>
      <c r="H130" s="113">
        <v>0</v>
      </c>
      <c r="I130" s="114">
        <v>0</v>
      </c>
      <c r="J130" s="113">
        <v>0</v>
      </c>
      <c r="K130" s="114">
        <v>0</v>
      </c>
      <c r="L130" s="113">
        <v>194.82400512695312</v>
      </c>
      <c r="M130" s="114">
        <v>194.82400512695312</v>
      </c>
      <c r="N130" s="113">
        <v>0</v>
      </c>
      <c r="O130" s="114">
        <v>0</v>
      </c>
      <c r="P130" s="113">
        <v>0</v>
      </c>
      <c r="Q130" s="114">
        <v>0</v>
      </c>
      <c r="R130" s="113">
        <v>0</v>
      </c>
      <c r="S130" s="114">
        <v>0</v>
      </c>
      <c r="T130" s="113">
        <v>0</v>
      </c>
      <c r="U130" s="115">
        <v>0</v>
      </c>
      <c r="V130" t="str">
        <f>VLOOKUP(A130,Projetos_Ciclo!$H$3:$H$315,1,FALSE)</f>
        <v>TI05118</v>
      </c>
    </row>
    <row r="131" spans="1:22" x14ac:dyDescent="0.25">
      <c r="A131" s="14" t="s">
        <v>1593</v>
      </c>
      <c r="B131" s="116" t="s">
        <v>689</v>
      </c>
      <c r="C131" s="116" t="s">
        <v>1594</v>
      </c>
      <c r="D131" s="117">
        <v>0</v>
      </c>
      <c r="E131" s="120">
        <v>0</v>
      </c>
      <c r="F131" s="117">
        <v>0</v>
      </c>
      <c r="G131" s="120">
        <v>2214</v>
      </c>
      <c r="H131" s="117">
        <v>0</v>
      </c>
      <c r="I131" s="120">
        <v>0</v>
      </c>
      <c r="J131" s="117">
        <v>0</v>
      </c>
      <c r="K131" s="120">
        <v>0</v>
      </c>
      <c r="L131" s="117">
        <v>624.58897188305855</v>
      </c>
      <c r="M131" s="120">
        <v>624.58897188305855</v>
      </c>
      <c r="N131" s="117">
        <v>0</v>
      </c>
      <c r="O131" s="120">
        <v>0</v>
      </c>
      <c r="P131" s="117">
        <v>0</v>
      </c>
      <c r="Q131" s="120">
        <v>0</v>
      </c>
      <c r="R131" s="117">
        <v>0</v>
      </c>
      <c r="S131" s="120">
        <v>0</v>
      </c>
      <c r="T131" s="117">
        <v>0</v>
      </c>
      <c r="U131" s="119">
        <v>0</v>
      </c>
      <c r="V131" t="str">
        <f>VLOOKUP(A131,Projetos_Ciclo!$H$3:$H$315,1,FALSE)</f>
        <v>TI05918</v>
      </c>
    </row>
    <row r="132" spans="1:22" x14ac:dyDescent="0.25">
      <c r="A132" s="111" t="s">
        <v>1799</v>
      </c>
      <c r="B132" s="112" t="s">
        <v>1800</v>
      </c>
      <c r="C132" s="112" t="s">
        <v>1801</v>
      </c>
      <c r="D132" s="113">
        <v>0</v>
      </c>
      <c r="E132" s="114">
        <v>0</v>
      </c>
      <c r="F132" s="113">
        <v>0</v>
      </c>
      <c r="G132" s="114">
        <v>80</v>
      </c>
      <c r="H132" s="113">
        <v>0</v>
      </c>
      <c r="I132" s="114">
        <v>0</v>
      </c>
      <c r="J132" s="113">
        <v>0</v>
      </c>
      <c r="K132" s="114">
        <v>0</v>
      </c>
      <c r="L132" s="113">
        <v>0</v>
      </c>
      <c r="M132" s="114">
        <v>0</v>
      </c>
      <c r="N132" s="113">
        <v>0</v>
      </c>
      <c r="O132" s="114">
        <v>0</v>
      </c>
      <c r="P132" s="113">
        <v>0</v>
      </c>
      <c r="Q132" s="114">
        <v>0</v>
      </c>
      <c r="R132" s="113">
        <v>0</v>
      </c>
      <c r="S132" s="114">
        <v>0</v>
      </c>
      <c r="T132" s="113">
        <v>0</v>
      </c>
      <c r="U132" s="115">
        <v>0</v>
      </c>
      <c r="V132" t="str">
        <f>VLOOKUP(A132,Projetos_Ciclo!$H$3:$H$315,1,FALSE)</f>
        <v>TI07318</v>
      </c>
    </row>
    <row r="133" spans="1:22" x14ac:dyDescent="0.25">
      <c r="A133" s="14" t="s">
        <v>1875</v>
      </c>
      <c r="B133" s="116" t="s">
        <v>1876</v>
      </c>
      <c r="C133" s="116" t="s">
        <v>1877</v>
      </c>
      <c r="D133" s="117">
        <v>0</v>
      </c>
      <c r="E133" s="120">
        <v>0</v>
      </c>
      <c r="F133" s="117">
        <v>0</v>
      </c>
      <c r="G133" s="120">
        <v>276</v>
      </c>
      <c r="H133" s="117">
        <v>0</v>
      </c>
      <c r="I133" s="120">
        <v>0</v>
      </c>
      <c r="J133" s="117">
        <v>0</v>
      </c>
      <c r="K133" s="120">
        <v>0</v>
      </c>
      <c r="L133" s="117">
        <v>271.89999544620514</v>
      </c>
      <c r="M133" s="120">
        <v>271.89999544620514</v>
      </c>
      <c r="N133" s="117">
        <v>0</v>
      </c>
      <c r="O133" s="120">
        <v>0</v>
      </c>
      <c r="P133" s="117">
        <v>0</v>
      </c>
      <c r="Q133" s="120">
        <v>0</v>
      </c>
      <c r="R133" s="117">
        <v>0</v>
      </c>
      <c r="S133" s="120">
        <v>0</v>
      </c>
      <c r="T133" s="117">
        <v>0</v>
      </c>
      <c r="U133" s="119">
        <v>0</v>
      </c>
      <c r="V133" t="str">
        <f>VLOOKUP(A133,Projetos_Ciclo!$H$3:$H$315,1,FALSE)</f>
        <v>TI07718</v>
      </c>
    </row>
    <row r="134" spans="1:22" x14ac:dyDescent="0.25">
      <c r="A134" s="111" t="s">
        <v>1838</v>
      </c>
      <c r="B134" s="112" t="s">
        <v>668</v>
      </c>
      <c r="C134" s="112" t="s">
        <v>1839</v>
      </c>
      <c r="D134" s="113">
        <v>0</v>
      </c>
      <c r="E134" s="114">
        <v>0</v>
      </c>
      <c r="F134" s="113">
        <v>0</v>
      </c>
      <c r="G134" s="114">
        <v>711</v>
      </c>
      <c r="H134" s="113">
        <v>0</v>
      </c>
      <c r="I134" s="114">
        <v>0</v>
      </c>
      <c r="J134" s="113">
        <v>0</v>
      </c>
      <c r="K134" s="114">
        <v>0</v>
      </c>
      <c r="L134" s="113">
        <v>14.636799812316895</v>
      </c>
      <c r="M134" s="114">
        <v>14.636799812316895</v>
      </c>
      <c r="N134" s="113">
        <v>0</v>
      </c>
      <c r="O134" s="114">
        <v>0</v>
      </c>
      <c r="P134" s="113">
        <v>0</v>
      </c>
      <c r="Q134" s="114">
        <v>0</v>
      </c>
      <c r="R134" s="113">
        <v>0</v>
      </c>
      <c r="S134" s="114">
        <v>0</v>
      </c>
      <c r="T134" s="113">
        <v>0</v>
      </c>
      <c r="U134" s="115">
        <v>0</v>
      </c>
      <c r="V134" t="str">
        <f>VLOOKUP(A134,Projetos_Ciclo!$H$3:$H$315,1,FALSE)</f>
        <v>TI07918</v>
      </c>
    </row>
    <row r="135" spans="1:22" x14ac:dyDescent="0.25">
      <c r="A135" s="14" t="s">
        <v>1133</v>
      </c>
      <c r="B135" s="116" t="s">
        <v>1254</v>
      </c>
      <c r="C135" s="116" t="s">
        <v>57</v>
      </c>
      <c r="D135" s="117">
        <v>0</v>
      </c>
      <c r="E135" s="120">
        <v>0</v>
      </c>
      <c r="F135" s="117">
        <v>0</v>
      </c>
      <c r="G135" s="120">
        <v>0</v>
      </c>
      <c r="H135" s="117">
        <v>0</v>
      </c>
      <c r="I135" s="120">
        <v>0</v>
      </c>
      <c r="J135" s="117">
        <v>0</v>
      </c>
      <c r="K135" s="120">
        <v>0</v>
      </c>
      <c r="L135" s="117">
        <v>0</v>
      </c>
      <c r="M135" s="120">
        <v>0</v>
      </c>
      <c r="N135" s="117">
        <v>0</v>
      </c>
      <c r="O135" s="120">
        <v>0</v>
      </c>
      <c r="P135" s="117">
        <v>0</v>
      </c>
      <c r="Q135" s="120">
        <v>0</v>
      </c>
      <c r="R135" s="117">
        <v>0</v>
      </c>
      <c r="S135" s="120">
        <v>0</v>
      </c>
      <c r="T135" s="117">
        <v>0</v>
      </c>
      <c r="U135" s="119">
        <v>0</v>
      </c>
      <c r="V135" t="e">
        <f>VLOOKUP(A135,Projetos_Ciclo!$H$3:$H$315,1,FALSE)</f>
        <v>#N/A</v>
      </c>
    </row>
    <row r="136" spans="1:22" x14ac:dyDescent="0.25">
      <c r="A136" s="111" t="s">
        <v>1135</v>
      </c>
      <c r="B136" s="112" t="s">
        <v>1136</v>
      </c>
      <c r="C136" s="112" t="s">
        <v>57</v>
      </c>
      <c r="D136" s="113">
        <v>0</v>
      </c>
      <c r="E136" s="114">
        <v>0</v>
      </c>
      <c r="F136" s="113">
        <v>0</v>
      </c>
      <c r="G136" s="114">
        <v>0</v>
      </c>
      <c r="H136" s="113">
        <v>0</v>
      </c>
      <c r="I136" s="114">
        <v>0</v>
      </c>
      <c r="J136" s="113">
        <v>0</v>
      </c>
      <c r="K136" s="114">
        <v>0</v>
      </c>
      <c r="L136" s="113">
        <v>0</v>
      </c>
      <c r="M136" s="114">
        <v>0</v>
      </c>
      <c r="N136" s="113">
        <v>0</v>
      </c>
      <c r="O136" s="114">
        <v>0</v>
      </c>
      <c r="P136" s="113">
        <v>0</v>
      </c>
      <c r="Q136" s="114">
        <v>0</v>
      </c>
      <c r="R136" s="113">
        <v>0</v>
      </c>
      <c r="S136" s="114">
        <v>0</v>
      </c>
      <c r="T136" s="113">
        <v>0</v>
      </c>
      <c r="U136" s="115">
        <v>0</v>
      </c>
      <c r="V136" t="e">
        <f>VLOOKUP(A136,Projetos_Ciclo!$H$3:$H$315,1,FALSE)</f>
        <v>#N/A</v>
      </c>
    </row>
    <row r="137" spans="1:22" x14ac:dyDescent="0.25">
      <c r="A137" s="14" t="s">
        <v>520</v>
      </c>
      <c r="B137" s="116" t="s">
        <v>1255</v>
      </c>
      <c r="C137" s="116" t="s">
        <v>57</v>
      </c>
      <c r="D137" s="117">
        <v>20900</v>
      </c>
      <c r="E137" s="120">
        <v>0</v>
      </c>
      <c r="F137" s="117">
        <v>0</v>
      </c>
      <c r="G137" s="120">
        <v>0</v>
      </c>
      <c r="H137" s="117">
        <v>0</v>
      </c>
      <c r="I137" s="120">
        <v>0</v>
      </c>
      <c r="J137" s="117">
        <v>0</v>
      </c>
      <c r="K137" s="120">
        <v>0</v>
      </c>
      <c r="L137" s="117">
        <v>0</v>
      </c>
      <c r="M137" s="120">
        <v>0</v>
      </c>
      <c r="N137" s="117">
        <v>15190</v>
      </c>
      <c r="O137" s="120">
        <v>2660</v>
      </c>
      <c r="P137" s="117">
        <v>390</v>
      </c>
      <c r="Q137" s="120">
        <v>2660</v>
      </c>
      <c r="R137" s="117">
        <v>0</v>
      </c>
      <c r="S137" s="120">
        <v>0</v>
      </c>
      <c r="T137" s="117">
        <v>0</v>
      </c>
      <c r="U137" s="119">
        <v>0</v>
      </c>
      <c r="V137" t="str">
        <f>VLOOKUP(A137,Projetos_Ciclo!$H$3:$H$315,1,FALSE)</f>
        <v>NA</v>
      </c>
    </row>
    <row r="138" spans="1:22" x14ac:dyDescent="0.25">
      <c r="A138" s="111" t="s">
        <v>1138</v>
      </c>
      <c r="B138" s="112" t="s">
        <v>1139</v>
      </c>
      <c r="C138" s="112" t="s">
        <v>57</v>
      </c>
      <c r="D138" s="113">
        <v>0</v>
      </c>
      <c r="E138" s="114">
        <v>0</v>
      </c>
      <c r="F138" s="113">
        <v>0</v>
      </c>
      <c r="G138" s="114">
        <v>0</v>
      </c>
      <c r="H138" s="113">
        <v>0</v>
      </c>
      <c r="I138" s="114">
        <v>0</v>
      </c>
      <c r="J138" s="113">
        <v>0</v>
      </c>
      <c r="K138" s="114">
        <v>0</v>
      </c>
      <c r="L138" s="113">
        <v>0</v>
      </c>
      <c r="M138" s="114">
        <v>0</v>
      </c>
      <c r="N138" s="113">
        <v>0</v>
      </c>
      <c r="O138" s="114">
        <v>0</v>
      </c>
      <c r="P138" s="113">
        <v>0</v>
      </c>
      <c r="Q138" s="114">
        <v>0</v>
      </c>
      <c r="R138" s="113">
        <v>0</v>
      </c>
      <c r="S138" s="114">
        <v>0</v>
      </c>
      <c r="T138" s="113">
        <v>0</v>
      </c>
      <c r="U138" s="115">
        <v>0</v>
      </c>
      <c r="V138" t="e">
        <f>VLOOKUP(A138,Projetos_Ciclo!$H$3:$H$315,1,FALSE)</f>
        <v>#N/A</v>
      </c>
    </row>
    <row r="139" spans="1:22" x14ac:dyDescent="0.25">
      <c r="A139" s="14" t="s">
        <v>1256</v>
      </c>
      <c r="B139" s="116" t="s">
        <v>1257</v>
      </c>
      <c r="C139" s="116" t="s">
        <v>1258</v>
      </c>
      <c r="D139" s="117">
        <v>4964</v>
      </c>
      <c r="E139" s="120">
        <v>0</v>
      </c>
      <c r="F139" s="117">
        <v>4684</v>
      </c>
      <c r="G139" s="120">
        <v>0</v>
      </c>
      <c r="H139" s="117">
        <v>0</v>
      </c>
      <c r="I139" s="120">
        <v>0</v>
      </c>
      <c r="J139" s="117">
        <v>0</v>
      </c>
      <c r="K139" s="120">
        <v>0</v>
      </c>
      <c r="L139" s="117">
        <v>0</v>
      </c>
      <c r="M139" s="120">
        <v>0</v>
      </c>
      <c r="N139" s="117">
        <v>280</v>
      </c>
      <c r="O139" s="120">
        <v>0</v>
      </c>
      <c r="P139" s="117">
        <v>0</v>
      </c>
      <c r="Q139" s="120">
        <v>0</v>
      </c>
      <c r="R139" s="117">
        <v>0</v>
      </c>
      <c r="S139" s="120">
        <v>0</v>
      </c>
      <c r="T139" s="117">
        <v>0</v>
      </c>
      <c r="U139" s="119">
        <v>0</v>
      </c>
      <c r="V139" t="e">
        <f>VLOOKUP(A139,Projetos_Ciclo!$H$3:$H$315,1,FALSE)</f>
        <v>#N/A</v>
      </c>
    </row>
    <row r="140" spans="1:22" x14ac:dyDescent="0.25">
      <c r="A140" s="111" t="s">
        <v>655</v>
      </c>
      <c r="B140" s="112" t="s">
        <v>1259</v>
      </c>
      <c r="C140" s="112" t="s">
        <v>1260</v>
      </c>
      <c r="D140" s="113">
        <v>0</v>
      </c>
      <c r="E140" s="114">
        <v>0</v>
      </c>
      <c r="F140" s="113">
        <v>0</v>
      </c>
      <c r="G140" s="114">
        <v>0</v>
      </c>
      <c r="H140" s="113">
        <v>0</v>
      </c>
      <c r="I140" s="114">
        <v>0</v>
      </c>
      <c r="J140" s="113">
        <v>0</v>
      </c>
      <c r="K140" s="114">
        <v>0</v>
      </c>
      <c r="L140" s="113">
        <v>0</v>
      </c>
      <c r="M140" s="114">
        <v>0</v>
      </c>
      <c r="N140" s="113">
        <v>0</v>
      </c>
      <c r="O140" s="114">
        <v>0</v>
      </c>
      <c r="P140" s="113">
        <v>0</v>
      </c>
      <c r="Q140" s="114">
        <v>0</v>
      </c>
      <c r="R140" s="113">
        <v>0</v>
      </c>
      <c r="S140" s="114">
        <v>0</v>
      </c>
      <c r="T140" s="113">
        <v>0</v>
      </c>
      <c r="U140" s="115">
        <v>0</v>
      </c>
      <c r="V140" t="str">
        <f>VLOOKUP(A140,Projetos_Ciclo!$H$3:$H$315,1,FALSE)</f>
        <v>TI01816</v>
      </c>
    </row>
    <row r="141" spans="1:22" x14ac:dyDescent="0.25">
      <c r="A141" s="14" t="s">
        <v>1401</v>
      </c>
      <c r="B141" s="116" t="s">
        <v>1402</v>
      </c>
      <c r="C141" s="116" t="s">
        <v>1403</v>
      </c>
      <c r="D141" s="117">
        <v>0</v>
      </c>
      <c r="E141" s="120">
        <v>0</v>
      </c>
      <c r="F141" s="117">
        <v>0</v>
      </c>
      <c r="G141" s="120">
        <v>4684</v>
      </c>
      <c r="H141" s="117">
        <v>0</v>
      </c>
      <c r="I141" s="120">
        <v>0</v>
      </c>
      <c r="J141" s="117">
        <v>0</v>
      </c>
      <c r="K141" s="120">
        <v>0</v>
      </c>
      <c r="L141" s="117">
        <v>4565.14697265625</v>
      </c>
      <c r="M141" s="120">
        <v>4565.14697265625</v>
      </c>
      <c r="N141" s="117">
        <v>0</v>
      </c>
      <c r="O141" s="120">
        <v>0</v>
      </c>
      <c r="P141" s="117">
        <v>0</v>
      </c>
      <c r="Q141" s="120">
        <v>0</v>
      </c>
      <c r="R141" s="117">
        <v>0</v>
      </c>
      <c r="S141" s="120">
        <v>0</v>
      </c>
      <c r="T141" s="117">
        <v>0</v>
      </c>
      <c r="U141" s="119">
        <v>0</v>
      </c>
      <c r="V141" t="str">
        <f>VLOOKUP(A141,Projetos_Ciclo!$H$3:$H$315,1,FALSE)</f>
        <v>TI04318</v>
      </c>
    </row>
    <row r="142" spans="1:22" x14ac:dyDescent="0.25">
      <c r="A142" s="111" t="s">
        <v>1462</v>
      </c>
      <c r="B142" s="112" t="s">
        <v>1463</v>
      </c>
      <c r="C142" s="112" t="s">
        <v>1464</v>
      </c>
      <c r="D142" s="113">
        <v>0</v>
      </c>
      <c r="E142" s="114">
        <v>0</v>
      </c>
      <c r="F142" s="113">
        <v>0</v>
      </c>
      <c r="G142" s="114">
        <v>55</v>
      </c>
      <c r="H142" s="113">
        <v>0</v>
      </c>
      <c r="I142" s="114">
        <v>46.814499855041504</v>
      </c>
      <c r="J142" s="113">
        <v>0</v>
      </c>
      <c r="K142" s="114">
        <v>46.814499855041504</v>
      </c>
      <c r="L142" s="113">
        <v>5.0538201332092285</v>
      </c>
      <c r="M142" s="114">
        <v>51.868319988250732</v>
      </c>
      <c r="N142" s="113">
        <v>0</v>
      </c>
      <c r="O142" s="114">
        <v>0</v>
      </c>
      <c r="P142" s="113">
        <v>0</v>
      </c>
      <c r="Q142" s="114">
        <v>0</v>
      </c>
      <c r="R142" s="113">
        <v>0</v>
      </c>
      <c r="S142" s="114">
        <v>0</v>
      </c>
      <c r="T142" s="113">
        <v>0</v>
      </c>
      <c r="U142" s="115">
        <v>0</v>
      </c>
      <c r="V142" t="str">
        <f>VLOOKUP(A142,Projetos_Ciclo!$H$3:$H$315,1,FALSE)</f>
        <v>3211/12</v>
      </c>
    </row>
    <row r="143" spans="1:22" x14ac:dyDescent="0.25">
      <c r="A143" s="14" t="s">
        <v>1133</v>
      </c>
      <c r="B143" s="116" t="s">
        <v>1261</v>
      </c>
      <c r="C143" s="116" t="s">
        <v>57</v>
      </c>
      <c r="D143" s="117">
        <v>0</v>
      </c>
      <c r="E143" s="120">
        <v>0</v>
      </c>
      <c r="F143" s="117">
        <v>0</v>
      </c>
      <c r="G143" s="120">
        <v>0</v>
      </c>
      <c r="H143" s="117">
        <v>0</v>
      </c>
      <c r="I143" s="120">
        <v>0</v>
      </c>
      <c r="J143" s="117">
        <v>0</v>
      </c>
      <c r="K143" s="120">
        <v>0</v>
      </c>
      <c r="L143" s="117">
        <v>0</v>
      </c>
      <c r="M143" s="120">
        <v>0</v>
      </c>
      <c r="N143" s="117">
        <v>0</v>
      </c>
      <c r="O143" s="120">
        <v>0</v>
      </c>
      <c r="P143" s="117">
        <v>0</v>
      </c>
      <c r="Q143" s="120">
        <v>0</v>
      </c>
      <c r="R143" s="117">
        <v>0</v>
      </c>
      <c r="S143" s="120">
        <v>0</v>
      </c>
      <c r="T143" s="117">
        <v>0</v>
      </c>
      <c r="U143" s="119">
        <v>0</v>
      </c>
      <c r="V143" t="e">
        <f>VLOOKUP(A143,Projetos_Ciclo!$H$3:$H$315,1,FALSE)</f>
        <v>#N/A</v>
      </c>
    </row>
    <row r="144" spans="1:22" x14ac:dyDescent="0.25">
      <c r="A144" s="111" t="s">
        <v>1135</v>
      </c>
      <c r="B144" s="112" t="s">
        <v>1136</v>
      </c>
      <c r="C144" s="112" t="s">
        <v>57</v>
      </c>
      <c r="D144" s="113">
        <v>0</v>
      </c>
      <c r="E144" s="114">
        <v>0</v>
      </c>
      <c r="F144" s="113">
        <v>0</v>
      </c>
      <c r="G144" s="114">
        <v>0</v>
      </c>
      <c r="H144" s="113">
        <v>0</v>
      </c>
      <c r="I144" s="114">
        <v>0</v>
      </c>
      <c r="J144" s="113">
        <v>0</v>
      </c>
      <c r="K144" s="114">
        <v>0</v>
      </c>
      <c r="L144" s="113">
        <v>0</v>
      </c>
      <c r="M144" s="114">
        <v>0</v>
      </c>
      <c r="N144" s="113">
        <v>0</v>
      </c>
      <c r="O144" s="114">
        <v>0</v>
      </c>
      <c r="P144" s="113">
        <v>0</v>
      </c>
      <c r="Q144" s="114">
        <v>0</v>
      </c>
      <c r="R144" s="113">
        <v>0</v>
      </c>
      <c r="S144" s="114">
        <v>0</v>
      </c>
      <c r="T144" s="113">
        <v>0</v>
      </c>
      <c r="U144" s="115">
        <v>0</v>
      </c>
      <c r="V144" t="e">
        <f>VLOOKUP(A144,Projetos_Ciclo!$H$3:$H$315,1,FALSE)</f>
        <v>#N/A</v>
      </c>
    </row>
    <row r="145" spans="1:22" x14ac:dyDescent="0.25">
      <c r="A145" s="14" t="s">
        <v>520</v>
      </c>
      <c r="B145" s="116" t="s">
        <v>1262</v>
      </c>
      <c r="C145" s="116" t="s">
        <v>57</v>
      </c>
      <c r="D145" s="117">
        <v>117670</v>
      </c>
      <c r="E145" s="120">
        <v>0</v>
      </c>
      <c r="F145" s="117">
        <v>0</v>
      </c>
      <c r="G145" s="120">
        <v>0</v>
      </c>
      <c r="H145" s="117">
        <v>0</v>
      </c>
      <c r="I145" s="120">
        <v>0</v>
      </c>
      <c r="J145" s="117">
        <v>0</v>
      </c>
      <c r="K145" s="120">
        <v>0</v>
      </c>
      <c r="L145" s="117">
        <v>0</v>
      </c>
      <c r="M145" s="120">
        <v>0</v>
      </c>
      <c r="N145" s="117">
        <v>32896</v>
      </c>
      <c r="O145" s="120">
        <v>39225</v>
      </c>
      <c r="P145" s="117">
        <v>19202</v>
      </c>
      <c r="Q145" s="120">
        <v>26347</v>
      </c>
      <c r="R145" s="117">
        <v>0</v>
      </c>
      <c r="S145" s="120">
        <v>0</v>
      </c>
      <c r="T145" s="117">
        <v>0</v>
      </c>
      <c r="U145" s="119">
        <v>0</v>
      </c>
      <c r="V145" t="str">
        <f>VLOOKUP(A145,Projetos_Ciclo!$H$3:$H$315,1,FALSE)</f>
        <v>NA</v>
      </c>
    </row>
    <row r="146" spans="1:22" x14ac:dyDescent="0.25">
      <c r="A146" s="111" t="s">
        <v>1138</v>
      </c>
      <c r="B146" s="112" t="s">
        <v>1139</v>
      </c>
      <c r="C146" s="112" t="s">
        <v>57</v>
      </c>
      <c r="D146" s="113">
        <v>0</v>
      </c>
      <c r="E146" s="114">
        <v>0</v>
      </c>
      <c r="F146" s="113">
        <v>0</v>
      </c>
      <c r="G146" s="114">
        <v>0</v>
      </c>
      <c r="H146" s="113">
        <v>0</v>
      </c>
      <c r="I146" s="114">
        <v>0</v>
      </c>
      <c r="J146" s="113">
        <v>0</v>
      </c>
      <c r="K146" s="114">
        <v>0</v>
      </c>
      <c r="L146" s="113">
        <v>0</v>
      </c>
      <c r="M146" s="114">
        <v>0</v>
      </c>
      <c r="N146" s="113">
        <v>0</v>
      </c>
      <c r="O146" s="114">
        <v>0</v>
      </c>
      <c r="P146" s="113">
        <v>0</v>
      </c>
      <c r="Q146" s="114">
        <v>0</v>
      </c>
      <c r="R146" s="113">
        <v>0</v>
      </c>
      <c r="S146" s="114">
        <v>0</v>
      </c>
      <c r="T146" s="113">
        <v>0</v>
      </c>
      <c r="U146" s="115">
        <v>0</v>
      </c>
      <c r="V146" t="e">
        <f>VLOOKUP(A146,Projetos_Ciclo!$H$3:$H$315,1,FALSE)</f>
        <v>#N/A</v>
      </c>
    </row>
    <row r="147" spans="1:22" x14ac:dyDescent="0.25">
      <c r="A147" s="14" t="s">
        <v>1077</v>
      </c>
      <c r="B147" s="116" t="s">
        <v>1149</v>
      </c>
      <c r="C147" s="116" t="s">
        <v>1263</v>
      </c>
      <c r="D147" s="117">
        <v>0</v>
      </c>
      <c r="E147" s="120">
        <v>0</v>
      </c>
      <c r="F147" s="117">
        <v>0</v>
      </c>
      <c r="G147" s="120">
        <v>479</v>
      </c>
      <c r="H147" s="117">
        <v>0</v>
      </c>
      <c r="I147" s="120">
        <v>479.32675170898437</v>
      </c>
      <c r="J147" s="117">
        <v>0</v>
      </c>
      <c r="K147" s="120">
        <v>479.32675170898437</v>
      </c>
      <c r="L147" s="117">
        <v>0</v>
      </c>
      <c r="M147" s="120">
        <v>479.32675170898437</v>
      </c>
      <c r="N147" s="117">
        <v>0</v>
      </c>
      <c r="O147" s="120">
        <v>0</v>
      </c>
      <c r="P147" s="117">
        <v>0</v>
      </c>
      <c r="Q147" s="120">
        <v>0</v>
      </c>
      <c r="R147" s="117">
        <v>0</v>
      </c>
      <c r="S147" s="120">
        <v>0</v>
      </c>
      <c r="T147" s="117">
        <v>0</v>
      </c>
      <c r="U147" s="119">
        <v>0</v>
      </c>
      <c r="V147" t="str">
        <f>VLOOKUP(A147,Projetos_Ciclo!$H$3:$H$315,1,FALSE)</f>
        <v>TI00118</v>
      </c>
    </row>
    <row r="148" spans="1:22" x14ac:dyDescent="0.25">
      <c r="A148" s="111" t="s">
        <v>1116</v>
      </c>
      <c r="B148" s="112" t="s">
        <v>1118</v>
      </c>
      <c r="C148" s="112" t="s">
        <v>1117</v>
      </c>
      <c r="D148" s="113">
        <v>0</v>
      </c>
      <c r="E148" s="114">
        <v>0</v>
      </c>
      <c r="F148" s="113">
        <v>0</v>
      </c>
      <c r="G148" s="114">
        <v>14</v>
      </c>
      <c r="H148" s="113">
        <v>0</v>
      </c>
      <c r="I148" s="114">
        <v>14.010740280151367</v>
      </c>
      <c r="J148" s="113">
        <v>0</v>
      </c>
      <c r="K148" s="114">
        <v>14.010740280151367</v>
      </c>
      <c r="L148" s="113">
        <v>0</v>
      </c>
      <c r="M148" s="114">
        <v>14.010740280151367</v>
      </c>
      <c r="N148" s="113">
        <v>0</v>
      </c>
      <c r="O148" s="114">
        <v>0</v>
      </c>
      <c r="P148" s="113">
        <v>0</v>
      </c>
      <c r="Q148" s="114">
        <v>0</v>
      </c>
      <c r="R148" s="113">
        <v>0</v>
      </c>
      <c r="S148" s="114">
        <v>0</v>
      </c>
      <c r="T148" s="113">
        <v>0</v>
      </c>
      <c r="U148" s="115">
        <v>0</v>
      </c>
      <c r="V148" t="str">
        <f>VLOOKUP(A148,Projetos_Ciclo!$H$3:$H$315,1,FALSE)</f>
        <v>TI00216</v>
      </c>
    </row>
    <row r="149" spans="1:22" x14ac:dyDescent="0.25">
      <c r="A149" s="14" t="s">
        <v>1124</v>
      </c>
      <c r="B149" s="116" t="s">
        <v>1126</v>
      </c>
      <c r="C149" s="116" t="s">
        <v>1125</v>
      </c>
      <c r="D149" s="117">
        <v>0</v>
      </c>
      <c r="E149" s="120">
        <v>0</v>
      </c>
      <c r="F149" s="117">
        <v>0</v>
      </c>
      <c r="G149" s="120">
        <v>10</v>
      </c>
      <c r="H149" s="117">
        <v>0</v>
      </c>
      <c r="I149" s="120">
        <v>9.5870800018310547</v>
      </c>
      <c r="J149" s="117">
        <v>0</v>
      </c>
      <c r="K149" s="120">
        <v>9.5870800018310547</v>
      </c>
      <c r="L149" s="117">
        <v>0</v>
      </c>
      <c r="M149" s="120">
        <v>9.5870800018310547</v>
      </c>
      <c r="N149" s="117">
        <v>0</v>
      </c>
      <c r="O149" s="120">
        <v>0</v>
      </c>
      <c r="P149" s="117">
        <v>0</v>
      </c>
      <c r="Q149" s="120">
        <v>0</v>
      </c>
      <c r="R149" s="117">
        <v>0</v>
      </c>
      <c r="S149" s="120">
        <v>0</v>
      </c>
      <c r="T149" s="117">
        <v>0</v>
      </c>
      <c r="U149" s="119">
        <v>0</v>
      </c>
      <c r="V149" t="str">
        <f>VLOOKUP(A149,Projetos_Ciclo!$H$3:$H$315,1,FALSE)</f>
        <v>TI00316</v>
      </c>
    </row>
    <row r="150" spans="1:22" x14ac:dyDescent="0.25">
      <c r="A150" s="111" t="s">
        <v>1120</v>
      </c>
      <c r="B150" s="112" t="s">
        <v>1122</v>
      </c>
      <c r="C150" s="112" t="s">
        <v>1121</v>
      </c>
      <c r="D150" s="113">
        <v>0</v>
      </c>
      <c r="E150" s="114">
        <v>0</v>
      </c>
      <c r="F150" s="113">
        <v>0</v>
      </c>
      <c r="G150" s="114">
        <v>11</v>
      </c>
      <c r="H150" s="113">
        <v>0</v>
      </c>
      <c r="I150" s="114">
        <v>10.502650260925293</v>
      </c>
      <c r="J150" s="113">
        <v>0</v>
      </c>
      <c r="K150" s="114">
        <v>10.502650260925293</v>
      </c>
      <c r="L150" s="113">
        <v>0</v>
      </c>
      <c r="M150" s="114">
        <v>10.502650260925293</v>
      </c>
      <c r="N150" s="113">
        <v>0</v>
      </c>
      <c r="O150" s="114">
        <v>0</v>
      </c>
      <c r="P150" s="113">
        <v>0</v>
      </c>
      <c r="Q150" s="114">
        <v>0</v>
      </c>
      <c r="R150" s="113">
        <v>0</v>
      </c>
      <c r="S150" s="114">
        <v>0</v>
      </c>
      <c r="T150" s="113">
        <v>0</v>
      </c>
      <c r="U150" s="115">
        <v>0</v>
      </c>
      <c r="V150" t="str">
        <f>VLOOKUP(A150,Projetos_Ciclo!$H$3:$H$315,1,FALSE)</f>
        <v>TI00416</v>
      </c>
    </row>
    <row r="151" spans="1:22" x14ac:dyDescent="0.25">
      <c r="A151" s="14" t="s">
        <v>702</v>
      </c>
      <c r="B151" s="116" t="s">
        <v>1264</v>
      </c>
      <c r="C151" s="116" t="s">
        <v>1265</v>
      </c>
      <c r="D151" s="117">
        <v>0</v>
      </c>
      <c r="E151" s="120">
        <v>0</v>
      </c>
      <c r="F151" s="117">
        <v>0</v>
      </c>
      <c r="G151" s="120">
        <v>102</v>
      </c>
      <c r="H151" s="117">
        <v>0</v>
      </c>
      <c r="I151" s="120">
        <v>101.37385904788971</v>
      </c>
      <c r="J151" s="117">
        <v>0</v>
      </c>
      <c r="K151" s="120">
        <v>101.37385904788971</v>
      </c>
      <c r="L151" s="117">
        <v>0</v>
      </c>
      <c r="M151" s="120">
        <v>101.37385904788971</v>
      </c>
      <c r="N151" s="117">
        <v>0</v>
      </c>
      <c r="O151" s="120">
        <v>0</v>
      </c>
      <c r="P151" s="117">
        <v>0</v>
      </c>
      <c r="Q151" s="120">
        <v>0</v>
      </c>
      <c r="R151" s="117">
        <v>0</v>
      </c>
      <c r="S151" s="120">
        <v>0</v>
      </c>
      <c r="T151" s="117">
        <v>0</v>
      </c>
      <c r="U151" s="119">
        <v>0</v>
      </c>
      <c r="V151" t="str">
        <f>VLOOKUP(A151,Projetos_Ciclo!$H$3:$H$315,1,FALSE)</f>
        <v>TI00417</v>
      </c>
    </row>
    <row r="152" spans="1:22" x14ac:dyDescent="0.25">
      <c r="A152" s="111" t="s">
        <v>701</v>
      </c>
      <c r="B152" s="112" t="s">
        <v>316</v>
      </c>
      <c r="C152" s="112" t="s">
        <v>1269</v>
      </c>
      <c r="D152" s="113">
        <v>0</v>
      </c>
      <c r="E152" s="114">
        <v>0</v>
      </c>
      <c r="F152" s="113">
        <v>0</v>
      </c>
      <c r="G152" s="114">
        <v>122</v>
      </c>
      <c r="H152" s="113">
        <v>0</v>
      </c>
      <c r="I152" s="114">
        <v>103.01386070251465</v>
      </c>
      <c r="J152" s="113">
        <v>0</v>
      </c>
      <c r="K152" s="114">
        <v>103.01386070251465</v>
      </c>
      <c r="L152" s="113">
        <v>0</v>
      </c>
      <c r="M152" s="114">
        <v>103.01386070251465</v>
      </c>
      <c r="N152" s="113">
        <v>0</v>
      </c>
      <c r="O152" s="114">
        <v>0</v>
      </c>
      <c r="P152" s="113">
        <v>0</v>
      </c>
      <c r="Q152" s="114">
        <v>0</v>
      </c>
      <c r="R152" s="113">
        <v>0</v>
      </c>
      <c r="S152" s="114">
        <v>0</v>
      </c>
      <c r="T152" s="113">
        <v>0</v>
      </c>
      <c r="U152" s="115">
        <v>0</v>
      </c>
      <c r="V152" t="str">
        <f>VLOOKUP(A152,Projetos_Ciclo!$H$3:$H$315,1,FALSE)</f>
        <v>TI00517</v>
      </c>
    </row>
    <row r="153" spans="1:22" x14ac:dyDescent="0.25">
      <c r="A153" s="14" t="s">
        <v>699</v>
      </c>
      <c r="B153" s="116" t="s">
        <v>1270</v>
      </c>
      <c r="C153" s="116" t="s">
        <v>1271</v>
      </c>
      <c r="D153" s="117">
        <v>0</v>
      </c>
      <c r="E153" s="120">
        <v>0</v>
      </c>
      <c r="F153" s="117">
        <v>0</v>
      </c>
      <c r="G153" s="120">
        <v>440</v>
      </c>
      <c r="H153" s="117">
        <v>0</v>
      </c>
      <c r="I153" s="120">
        <v>204.41652679443359</v>
      </c>
      <c r="J153" s="117">
        <v>0</v>
      </c>
      <c r="K153" s="120">
        <v>204.41652679443359</v>
      </c>
      <c r="L153" s="117">
        <v>233.74465942382812</v>
      </c>
      <c r="M153" s="120">
        <v>438.16118621826172</v>
      </c>
      <c r="N153" s="117">
        <v>0</v>
      </c>
      <c r="O153" s="120">
        <v>0</v>
      </c>
      <c r="P153" s="117">
        <v>0</v>
      </c>
      <c r="Q153" s="120">
        <v>0</v>
      </c>
      <c r="R153" s="117">
        <v>0</v>
      </c>
      <c r="S153" s="120">
        <v>0</v>
      </c>
      <c r="T153" s="117">
        <v>0</v>
      </c>
      <c r="U153" s="119">
        <v>0</v>
      </c>
      <c r="V153" t="str">
        <f>VLOOKUP(A153,Projetos_Ciclo!$H$3:$H$315,1,FALSE)</f>
        <v>TI00617</v>
      </c>
    </row>
    <row r="154" spans="1:22" x14ac:dyDescent="0.25">
      <c r="A154" s="111" t="s">
        <v>1275</v>
      </c>
      <c r="B154" s="112" t="s">
        <v>767</v>
      </c>
      <c r="C154" s="112" t="s">
        <v>1276</v>
      </c>
      <c r="D154" s="113">
        <v>0</v>
      </c>
      <c r="E154" s="114">
        <v>0</v>
      </c>
      <c r="F154" s="113">
        <v>0</v>
      </c>
      <c r="G154" s="114">
        <v>0</v>
      </c>
      <c r="H154" s="113">
        <v>0</v>
      </c>
      <c r="I154" s="114">
        <v>0</v>
      </c>
      <c r="J154" s="113">
        <v>0</v>
      </c>
      <c r="K154" s="114">
        <v>0</v>
      </c>
      <c r="L154" s="113">
        <v>0</v>
      </c>
      <c r="M154" s="114">
        <v>0</v>
      </c>
      <c r="N154" s="113">
        <v>0</v>
      </c>
      <c r="O154" s="114">
        <v>0</v>
      </c>
      <c r="P154" s="113">
        <v>0</v>
      </c>
      <c r="Q154" s="114">
        <v>0</v>
      </c>
      <c r="R154" s="113">
        <v>0</v>
      </c>
      <c r="S154" s="114">
        <v>0</v>
      </c>
      <c r="T154" s="113">
        <v>0</v>
      </c>
      <c r="U154" s="115">
        <v>0</v>
      </c>
      <c r="V154" t="str">
        <f>VLOOKUP(A154,Projetos_Ciclo!$H$3:$H$315,1,FALSE)</f>
        <v>TI00818</v>
      </c>
    </row>
    <row r="155" spans="1:22" x14ac:dyDescent="0.25">
      <c r="A155" s="14" t="s">
        <v>1128</v>
      </c>
      <c r="B155" s="116" t="s">
        <v>1277</v>
      </c>
      <c r="C155" s="116" t="s">
        <v>1129</v>
      </c>
      <c r="D155" s="117">
        <v>0</v>
      </c>
      <c r="E155" s="120">
        <v>0</v>
      </c>
      <c r="F155" s="117">
        <v>0</v>
      </c>
      <c r="G155" s="120">
        <v>1</v>
      </c>
      <c r="H155" s="117">
        <v>0</v>
      </c>
      <c r="I155" s="120">
        <v>0.70901525020599365</v>
      </c>
      <c r="J155" s="117">
        <v>0</v>
      </c>
      <c r="K155" s="120">
        <v>0.70901525020599365</v>
      </c>
      <c r="L155" s="117">
        <v>0</v>
      </c>
      <c r="M155" s="120">
        <v>0.70901525020599365</v>
      </c>
      <c r="N155" s="117">
        <v>0</v>
      </c>
      <c r="O155" s="120">
        <v>0</v>
      </c>
      <c r="P155" s="117">
        <v>0</v>
      </c>
      <c r="Q155" s="120">
        <v>0</v>
      </c>
      <c r="R155" s="117">
        <v>0</v>
      </c>
      <c r="S155" s="120">
        <v>0</v>
      </c>
      <c r="T155" s="117">
        <v>0</v>
      </c>
      <c r="U155" s="119">
        <v>0</v>
      </c>
      <c r="V155" t="str">
        <f>VLOOKUP(A155,Projetos_Ciclo!$H$3:$H$315,1,FALSE)</f>
        <v>TI00914</v>
      </c>
    </row>
    <row r="156" spans="1:22" x14ac:dyDescent="0.25">
      <c r="A156" s="111" t="s">
        <v>1278</v>
      </c>
      <c r="B156" s="112" t="s">
        <v>946</v>
      </c>
      <c r="C156" s="112" t="s">
        <v>1279</v>
      </c>
      <c r="D156" s="113">
        <v>0</v>
      </c>
      <c r="E156" s="114">
        <v>0</v>
      </c>
      <c r="F156" s="113">
        <v>0</v>
      </c>
      <c r="G156" s="114">
        <v>0</v>
      </c>
      <c r="H156" s="113">
        <v>0</v>
      </c>
      <c r="I156" s="114">
        <v>0</v>
      </c>
      <c r="J156" s="113">
        <v>0</v>
      </c>
      <c r="K156" s="114">
        <v>0</v>
      </c>
      <c r="L156" s="113">
        <v>0</v>
      </c>
      <c r="M156" s="114">
        <v>0</v>
      </c>
      <c r="N156" s="113">
        <v>0</v>
      </c>
      <c r="O156" s="114">
        <v>0</v>
      </c>
      <c r="P156" s="113">
        <v>0</v>
      </c>
      <c r="Q156" s="114">
        <v>0</v>
      </c>
      <c r="R156" s="113">
        <v>0</v>
      </c>
      <c r="S156" s="114">
        <v>0</v>
      </c>
      <c r="T156" s="113">
        <v>0</v>
      </c>
      <c r="U156" s="115">
        <v>0</v>
      </c>
      <c r="V156" t="str">
        <f>VLOOKUP(A156,Projetos_Ciclo!$H$3:$H$315,1,FALSE)</f>
        <v>TI00918</v>
      </c>
    </row>
    <row r="157" spans="1:22" x14ac:dyDescent="0.25">
      <c r="A157" s="14" t="s">
        <v>519</v>
      </c>
      <c r="B157" s="116" t="s">
        <v>1280</v>
      </c>
      <c r="C157" s="116" t="s">
        <v>1281</v>
      </c>
      <c r="D157" s="117">
        <v>0</v>
      </c>
      <c r="E157" s="120">
        <v>0</v>
      </c>
      <c r="F157" s="117">
        <v>0</v>
      </c>
      <c r="G157" s="120">
        <v>2954</v>
      </c>
      <c r="H157" s="117">
        <v>0</v>
      </c>
      <c r="I157" s="120">
        <v>199.91008186340332</v>
      </c>
      <c r="J157" s="117">
        <v>0</v>
      </c>
      <c r="K157" s="120">
        <v>199.91008186340332</v>
      </c>
      <c r="L157" s="117">
        <v>713.10650634765625</v>
      </c>
      <c r="M157" s="120">
        <v>913.01658821105957</v>
      </c>
      <c r="N157" s="117">
        <v>0</v>
      </c>
      <c r="O157" s="120">
        <v>0</v>
      </c>
      <c r="P157" s="117">
        <v>0</v>
      </c>
      <c r="Q157" s="120">
        <v>0</v>
      </c>
      <c r="R157" s="117">
        <v>0</v>
      </c>
      <c r="S157" s="120">
        <v>0</v>
      </c>
      <c r="T157" s="117">
        <v>0</v>
      </c>
      <c r="U157" s="119">
        <v>0</v>
      </c>
      <c r="V157" t="str">
        <f>VLOOKUP(A157,Projetos_Ciclo!$H$3:$H$315,1,FALSE)</f>
        <v>TI01016</v>
      </c>
    </row>
    <row r="158" spans="1:22" x14ac:dyDescent="0.25">
      <c r="A158" s="111" t="s">
        <v>1282</v>
      </c>
      <c r="B158" s="112" t="s">
        <v>1283</v>
      </c>
      <c r="C158" s="112" t="s">
        <v>1284</v>
      </c>
      <c r="D158" s="113">
        <v>0</v>
      </c>
      <c r="E158" s="114">
        <v>0</v>
      </c>
      <c r="F158" s="113">
        <v>0</v>
      </c>
      <c r="G158" s="114">
        <v>0</v>
      </c>
      <c r="H158" s="113">
        <v>0</v>
      </c>
      <c r="I158" s="114">
        <v>0</v>
      </c>
      <c r="J158" s="113">
        <v>0</v>
      </c>
      <c r="K158" s="114">
        <v>0</v>
      </c>
      <c r="L158" s="113">
        <v>0</v>
      </c>
      <c r="M158" s="114">
        <v>0</v>
      </c>
      <c r="N158" s="113">
        <v>0</v>
      </c>
      <c r="O158" s="114">
        <v>0</v>
      </c>
      <c r="P158" s="113">
        <v>0</v>
      </c>
      <c r="Q158" s="114">
        <v>0</v>
      </c>
      <c r="R158" s="113">
        <v>0</v>
      </c>
      <c r="S158" s="114">
        <v>0</v>
      </c>
      <c r="T158" s="113">
        <v>0</v>
      </c>
      <c r="U158" s="115">
        <v>0</v>
      </c>
      <c r="V158" t="str">
        <f>VLOOKUP(A158,Projetos_Ciclo!$H$3:$H$315,1,FALSE)</f>
        <v>TI01018</v>
      </c>
    </row>
    <row r="159" spans="1:22" x14ac:dyDescent="0.25">
      <c r="A159" s="14" t="s">
        <v>1106</v>
      </c>
      <c r="B159" s="116" t="s">
        <v>1285</v>
      </c>
      <c r="C159" s="116" t="s">
        <v>1107</v>
      </c>
      <c r="D159" s="117">
        <v>0</v>
      </c>
      <c r="E159" s="120">
        <v>0</v>
      </c>
      <c r="F159" s="117">
        <v>0</v>
      </c>
      <c r="G159" s="120">
        <v>1606</v>
      </c>
      <c r="H159" s="117">
        <v>0</v>
      </c>
      <c r="I159" s="120">
        <v>1236.459716796875</v>
      </c>
      <c r="J159" s="117">
        <v>0</v>
      </c>
      <c r="K159" s="120">
        <v>1236.459716796875</v>
      </c>
      <c r="L159" s="117">
        <v>0</v>
      </c>
      <c r="M159" s="120">
        <v>1236.459716796875</v>
      </c>
      <c r="N159" s="117">
        <v>0</v>
      </c>
      <c r="O159" s="120">
        <v>0</v>
      </c>
      <c r="P159" s="117">
        <v>0</v>
      </c>
      <c r="Q159" s="120">
        <v>0</v>
      </c>
      <c r="R159" s="117">
        <v>0</v>
      </c>
      <c r="S159" s="120">
        <v>0</v>
      </c>
      <c r="T159" s="117">
        <v>0</v>
      </c>
      <c r="U159" s="119">
        <v>0</v>
      </c>
      <c r="V159" t="str">
        <f>VLOOKUP(A159,Projetos_Ciclo!$H$3:$H$315,1,FALSE)</f>
        <v>TI01118</v>
      </c>
    </row>
    <row r="160" spans="1:22" x14ac:dyDescent="0.25">
      <c r="A160" s="111" t="s">
        <v>1289</v>
      </c>
      <c r="B160" s="112" t="s">
        <v>1290</v>
      </c>
      <c r="C160" s="112" t="s">
        <v>1291</v>
      </c>
      <c r="D160" s="113">
        <v>0</v>
      </c>
      <c r="E160" s="114">
        <v>0</v>
      </c>
      <c r="F160" s="113">
        <v>0</v>
      </c>
      <c r="G160" s="114">
        <v>0</v>
      </c>
      <c r="H160" s="113">
        <v>0</v>
      </c>
      <c r="I160" s="114">
        <v>0</v>
      </c>
      <c r="J160" s="113">
        <v>0</v>
      </c>
      <c r="K160" s="114">
        <v>0</v>
      </c>
      <c r="L160" s="113">
        <v>0</v>
      </c>
      <c r="M160" s="114">
        <v>0</v>
      </c>
      <c r="N160" s="113">
        <v>0</v>
      </c>
      <c r="O160" s="114">
        <v>0</v>
      </c>
      <c r="P160" s="113">
        <v>0</v>
      </c>
      <c r="Q160" s="114">
        <v>0</v>
      </c>
      <c r="R160" s="113">
        <v>0</v>
      </c>
      <c r="S160" s="114">
        <v>0</v>
      </c>
      <c r="T160" s="113">
        <v>0</v>
      </c>
      <c r="U160" s="115">
        <v>0</v>
      </c>
      <c r="V160" t="str">
        <f>VLOOKUP(A160,Projetos_Ciclo!$H$3:$H$315,1,FALSE)</f>
        <v>TI01218</v>
      </c>
    </row>
    <row r="161" spans="1:22" x14ac:dyDescent="0.25">
      <c r="A161" s="14" t="s">
        <v>703</v>
      </c>
      <c r="B161" s="116" t="s">
        <v>322</v>
      </c>
      <c r="C161" s="116" t="s">
        <v>1292</v>
      </c>
      <c r="D161" s="117">
        <v>0</v>
      </c>
      <c r="E161" s="120">
        <v>0</v>
      </c>
      <c r="F161" s="117">
        <v>0</v>
      </c>
      <c r="G161" s="120">
        <v>217</v>
      </c>
      <c r="H161" s="117">
        <v>0</v>
      </c>
      <c r="I161" s="120">
        <v>170.73672103881836</v>
      </c>
      <c r="J161" s="117">
        <v>0</v>
      </c>
      <c r="K161" s="120">
        <v>170.73672103881836</v>
      </c>
      <c r="L161" s="117">
        <v>27.19849967956543</v>
      </c>
      <c r="M161" s="120">
        <v>197.93522071838379</v>
      </c>
      <c r="N161" s="117">
        <v>0</v>
      </c>
      <c r="O161" s="120">
        <v>0</v>
      </c>
      <c r="P161" s="117">
        <v>0</v>
      </c>
      <c r="Q161" s="120">
        <v>0</v>
      </c>
      <c r="R161" s="117">
        <v>0</v>
      </c>
      <c r="S161" s="120">
        <v>0</v>
      </c>
      <c r="T161" s="117">
        <v>0</v>
      </c>
      <c r="U161" s="119">
        <v>0</v>
      </c>
      <c r="V161" t="str">
        <f>VLOOKUP(A161,Projetos_Ciclo!$H$3:$H$315,1,FALSE)</f>
        <v>TI01317</v>
      </c>
    </row>
    <row r="162" spans="1:22" x14ac:dyDescent="0.25">
      <c r="A162" s="111" t="s">
        <v>1293</v>
      </c>
      <c r="B162" s="112" t="s">
        <v>1294</v>
      </c>
      <c r="C162" s="112" t="s">
        <v>1295</v>
      </c>
      <c r="D162" s="113">
        <v>86425</v>
      </c>
      <c r="E162" s="114">
        <v>0</v>
      </c>
      <c r="F162" s="113">
        <v>54226</v>
      </c>
      <c r="G162" s="114">
        <v>0</v>
      </c>
      <c r="H162" s="113">
        <v>12373</v>
      </c>
      <c r="I162" s="114">
        <v>0</v>
      </c>
      <c r="J162" s="113">
        <v>0</v>
      </c>
      <c r="K162" s="114">
        <v>0</v>
      </c>
      <c r="L162" s="113">
        <v>0</v>
      </c>
      <c r="M162" s="114">
        <v>0</v>
      </c>
      <c r="N162" s="113">
        <v>18415</v>
      </c>
      <c r="O162" s="114">
        <v>10396</v>
      </c>
      <c r="P162" s="113">
        <v>3388</v>
      </c>
      <c r="Q162" s="114">
        <v>0</v>
      </c>
      <c r="R162" s="113">
        <v>0</v>
      </c>
      <c r="S162" s="114">
        <v>0</v>
      </c>
      <c r="T162" s="113">
        <v>0</v>
      </c>
      <c r="U162" s="115">
        <v>0</v>
      </c>
      <c r="V162" t="e">
        <f>VLOOKUP(A162,Projetos_Ciclo!$H$3:$H$315,1,FALSE)</f>
        <v>#N/A</v>
      </c>
    </row>
    <row r="163" spans="1:22" x14ac:dyDescent="0.25">
      <c r="A163" s="14" t="s">
        <v>696</v>
      </c>
      <c r="B163" s="116" t="s">
        <v>304</v>
      </c>
      <c r="C163" s="116" t="s">
        <v>1299</v>
      </c>
      <c r="D163" s="117">
        <v>0</v>
      </c>
      <c r="E163" s="120">
        <v>0</v>
      </c>
      <c r="F163" s="117">
        <v>0</v>
      </c>
      <c r="G163" s="120">
        <v>8350</v>
      </c>
      <c r="H163" s="117">
        <v>0</v>
      </c>
      <c r="I163" s="120">
        <v>4816.0257956981659</v>
      </c>
      <c r="J163" s="117">
        <v>0</v>
      </c>
      <c r="K163" s="120">
        <v>4816.0257956981659</v>
      </c>
      <c r="L163" s="117">
        <v>3214.4389572143555</v>
      </c>
      <c r="M163" s="120">
        <v>8030.4647529125214</v>
      </c>
      <c r="N163" s="117">
        <v>0</v>
      </c>
      <c r="O163" s="120">
        <v>0</v>
      </c>
      <c r="P163" s="117">
        <v>0</v>
      </c>
      <c r="Q163" s="120">
        <v>0</v>
      </c>
      <c r="R163" s="117">
        <v>0</v>
      </c>
      <c r="S163" s="120">
        <v>0</v>
      </c>
      <c r="T163" s="117">
        <v>0</v>
      </c>
      <c r="U163" s="119">
        <v>0</v>
      </c>
      <c r="V163" t="str">
        <f>VLOOKUP(A163,Projetos_Ciclo!$H$3:$H$315,1,FALSE)</f>
        <v>TI01715</v>
      </c>
    </row>
    <row r="164" spans="1:22" x14ac:dyDescent="0.25">
      <c r="A164" s="111" t="s">
        <v>707</v>
      </c>
      <c r="B164" s="112" t="s">
        <v>1300</v>
      </c>
      <c r="C164" s="112" t="s">
        <v>1301</v>
      </c>
      <c r="D164" s="113">
        <v>0</v>
      </c>
      <c r="E164" s="114">
        <v>0</v>
      </c>
      <c r="F164" s="113">
        <v>0</v>
      </c>
      <c r="G164" s="114">
        <v>684</v>
      </c>
      <c r="H164" s="113">
        <v>0</v>
      </c>
      <c r="I164" s="114">
        <v>305.20561981201172</v>
      </c>
      <c r="J164" s="113">
        <v>0</v>
      </c>
      <c r="K164" s="114">
        <v>305.20561981201172</v>
      </c>
      <c r="L164" s="113">
        <v>0</v>
      </c>
      <c r="M164" s="114">
        <v>305.20561981201172</v>
      </c>
      <c r="N164" s="113">
        <v>0</v>
      </c>
      <c r="O164" s="114">
        <v>0</v>
      </c>
      <c r="P164" s="113">
        <v>0</v>
      </c>
      <c r="Q164" s="114">
        <v>0</v>
      </c>
      <c r="R164" s="113">
        <v>0</v>
      </c>
      <c r="S164" s="114">
        <v>0</v>
      </c>
      <c r="T164" s="113">
        <v>0</v>
      </c>
      <c r="U164" s="115">
        <v>0</v>
      </c>
      <c r="V164" t="str">
        <f>VLOOKUP(A164,Projetos_Ciclo!$H$3:$H$315,1,FALSE)</f>
        <v>TI01813</v>
      </c>
    </row>
    <row r="165" spans="1:22" x14ac:dyDescent="0.25">
      <c r="A165" s="14" t="s">
        <v>518</v>
      </c>
      <c r="B165" s="116" t="s">
        <v>1302</v>
      </c>
      <c r="C165" s="116" t="s">
        <v>1303</v>
      </c>
      <c r="D165" s="117">
        <v>0</v>
      </c>
      <c r="E165" s="120">
        <v>0</v>
      </c>
      <c r="F165" s="117">
        <v>0</v>
      </c>
      <c r="G165" s="120">
        <v>6163</v>
      </c>
      <c r="H165" s="117">
        <v>0</v>
      </c>
      <c r="I165" s="120">
        <v>1082.6935119628906</v>
      </c>
      <c r="J165" s="117">
        <v>0</v>
      </c>
      <c r="K165" s="120">
        <v>1082.6935119628906</v>
      </c>
      <c r="L165" s="117">
        <v>39.699151039123535</v>
      </c>
      <c r="M165" s="120">
        <v>1122.3926630020142</v>
      </c>
      <c r="N165" s="117">
        <v>0</v>
      </c>
      <c r="O165" s="120">
        <v>0</v>
      </c>
      <c r="P165" s="117">
        <v>0</v>
      </c>
      <c r="Q165" s="120">
        <v>0</v>
      </c>
      <c r="R165" s="117">
        <v>0</v>
      </c>
      <c r="S165" s="120">
        <v>0</v>
      </c>
      <c r="T165" s="117">
        <v>0</v>
      </c>
      <c r="U165" s="119">
        <v>0</v>
      </c>
      <c r="V165" t="str">
        <f>VLOOKUP(A165,Projetos_Ciclo!$H$3:$H$315,1,FALSE)</f>
        <v>TI02115</v>
      </c>
    </row>
    <row r="166" spans="1:22" x14ac:dyDescent="0.25">
      <c r="A166" s="111" t="s">
        <v>711</v>
      </c>
      <c r="B166" s="112" t="s">
        <v>712</v>
      </c>
      <c r="C166" s="112" t="s">
        <v>1304</v>
      </c>
      <c r="D166" s="113">
        <v>0</v>
      </c>
      <c r="E166" s="114">
        <v>0</v>
      </c>
      <c r="F166" s="113">
        <v>0</v>
      </c>
      <c r="G166" s="114">
        <v>120</v>
      </c>
      <c r="H166" s="113">
        <v>0</v>
      </c>
      <c r="I166" s="114">
        <v>67.199996948242187</v>
      </c>
      <c r="J166" s="113">
        <v>0</v>
      </c>
      <c r="K166" s="114">
        <v>67.199996948242187</v>
      </c>
      <c r="L166" s="113">
        <v>52.799999237060547</v>
      </c>
      <c r="M166" s="114">
        <v>119.99999618530273</v>
      </c>
      <c r="N166" s="113">
        <v>0</v>
      </c>
      <c r="O166" s="114">
        <v>0</v>
      </c>
      <c r="P166" s="113">
        <v>0</v>
      </c>
      <c r="Q166" s="114">
        <v>0</v>
      </c>
      <c r="R166" s="113">
        <v>0</v>
      </c>
      <c r="S166" s="114">
        <v>0</v>
      </c>
      <c r="T166" s="113">
        <v>0</v>
      </c>
      <c r="U166" s="115">
        <v>0</v>
      </c>
      <c r="V166" t="str">
        <f>VLOOKUP(A166,Projetos_Ciclo!$H$3:$H$315,1,FALSE)</f>
        <v>TI02217</v>
      </c>
    </row>
    <row r="167" spans="1:22" x14ac:dyDescent="0.25">
      <c r="A167" s="14" t="s">
        <v>1114</v>
      </c>
      <c r="B167" s="116" t="s">
        <v>1112</v>
      </c>
      <c r="C167" s="116" t="s">
        <v>1115</v>
      </c>
      <c r="D167" s="117">
        <v>0</v>
      </c>
      <c r="E167" s="120">
        <v>0</v>
      </c>
      <c r="F167" s="117">
        <v>0</v>
      </c>
      <c r="G167" s="120">
        <v>142</v>
      </c>
      <c r="H167" s="117">
        <v>0</v>
      </c>
      <c r="I167" s="120">
        <v>0</v>
      </c>
      <c r="J167" s="117">
        <v>0</v>
      </c>
      <c r="K167" s="120">
        <v>0</v>
      </c>
      <c r="L167" s="117">
        <v>141.69599914550781</v>
      </c>
      <c r="M167" s="120">
        <v>141.69599914550781</v>
      </c>
      <c r="N167" s="117">
        <v>0</v>
      </c>
      <c r="O167" s="120">
        <v>0</v>
      </c>
      <c r="P167" s="117">
        <v>0</v>
      </c>
      <c r="Q167" s="120">
        <v>0</v>
      </c>
      <c r="R167" s="117">
        <v>0</v>
      </c>
      <c r="S167" s="120">
        <v>0</v>
      </c>
      <c r="T167" s="117">
        <v>0</v>
      </c>
      <c r="U167" s="119">
        <v>0</v>
      </c>
      <c r="V167" t="str">
        <f>VLOOKUP(A167,Projetos_Ciclo!$H$3:$H$315,1,FALSE)</f>
        <v>TI02318</v>
      </c>
    </row>
    <row r="168" spans="1:22" x14ac:dyDescent="0.25">
      <c r="A168" s="111" t="s">
        <v>1307</v>
      </c>
      <c r="B168" s="112" t="s">
        <v>1308</v>
      </c>
      <c r="C168" s="112" t="s">
        <v>1309</v>
      </c>
      <c r="D168" s="113">
        <v>0</v>
      </c>
      <c r="E168" s="114">
        <v>0</v>
      </c>
      <c r="F168" s="113">
        <v>0</v>
      </c>
      <c r="G168" s="114">
        <v>373</v>
      </c>
      <c r="H168" s="113">
        <v>0</v>
      </c>
      <c r="I168" s="114">
        <v>69.509599685668945</v>
      </c>
      <c r="J168" s="113">
        <v>0</v>
      </c>
      <c r="K168" s="114">
        <v>69.509599685668945</v>
      </c>
      <c r="L168" s="113">
        <v>176.40750122070312</v>
      </c>
      <c r="M168" s="114">
        <v>245.91710090637207</v>
      </c>
      <c r="N168" s="113">
        <v>0</v>
      </c>
      <c r="O168" s="114">
        <v>0</v>
      </c>
      <c r="P168" s="113">
        <v>0</v>
      </c>
      <c r="Q168" s="114">
        <v>0</v>
      </c>
      <c r="R168" s="113">
        <v>0</v>
      </c>
      <c r="S168" s="114">
        <v>0</v>
      </c>
      <c r="T168" s="113">
        <v>0</v>
      </c>
      <c r="U168" s="115">
        <v>0</v>
      </c>
      <c r="V168" t="str">
        <f>VLOOKUP(A168,Projetos_Ciclo!$H$3:$H$315,1,FALSE)</f>
        <v>TI02416</v>
      </c>
    </row>
    <row r="169" spans="1:22" x14ac:dyDescent="0.25">
      <c r="A169" s="14" t="s">
        <v>1110</v>
      </c>
      <c r="B169" s="116" t="s">
        <v>708</v>
      </c>
      <c r="C169" s="116" t="s">
        <v>1111</v>
      </c>
      <c r="D169" s="117">
        <v>0</v>
      </c>
      <c r="E169" s="120">
        <v>0</v>
      </c>
      <c r="F169" s="117">
        <v>0</v>
      </c>
      <c r="G169" s="120">
        <v>693</v>
      </c>
      <c r="H169" s="117">
        <v>0</v>
      </c>
      <c r="I169" s="120">
        <v>693.4403076171875</v>
      </c>
      <c r="J169" s="117">
        <v>0</v>
      </c>
      <c r="K169" s="120">
        <v>693.4403076171875</v>
      </c>
      <c r="L169" s="117">
        <v>0</v>
      </c>
      <c r="M169" s="120">
        <v>693.4403076171875</v>
      </c>
      <c r="N169" s="117">
        <v>0</v>
      </c>
      <c r="O169" s="120">
        <v>0</v>
      </c>
      <c r="P169" s="117">
        <v>0</v>
      </c>
      <c r="Q169" s="120">
        <v>0</v>
      </c>
      <c r="R169" s="117">
        <v>0</v>
      </c>
      <c r="S169" s="120">
        <v>0</v>
      </c>
      <c r="T169" s="117">
        <v>0</v>
      </c>
      <c r="U169" s="119">
        <v>0</v>
      </c>
      <c r="V169" t="str">
        <f>VLOOKUP(A169,Projetos_Ciclo!$H$3:$H$315,1,FALSE)</f>
        <v>TI02418</v>
      </c>
    </row>
    <row r="170" spans="1:22" x14ac:dyDescent="0.25">
      <c r="A170" s="111" t="s">
        <v>697</v>
      </c>
      <c r="B170" s="112" t="s">
        <v>1310</v>
      </c>
      <c r="C170" s="112" t="s">
        <v>1311</v>
      </c>
      <c r="D170" s="113">
        <v>0</v>
      </c>
      <c r="E170" s="114">
        <v>0</v>
      </c>
      <c r="F170" s="113">
        <v>0</v>
      </c>
      <c r="G170" s="114">
        <v>350</v>
      </c>
      <c r="H170" s="113">
        <v>0</v>
      </c>
      <c r="I170" s="114">
        <v>44.140701055526733</v>
      </c>
      <c r="J170" s="113">
        <v>0</v>
      </c>
      <c r="K170" s="114">
        <v>44.140701055526733</v>
      </c>
      <c r="L170" s="113">
        <v>78.574318170547485</v>
      </c>
      <c r="M170" s="114">
        <v>122.71501922607422</v>
      </c>
      <c r="N170" s="113">
        <v>0</v>
      </c>
      <c r="O170" s="114">
        <v>0</v>
      </c>
      <c r="P170" s="113">
        <v>0</v>
      </c>
      <c r="Q170" s="114">
        <v>0</v>
      </c>
      <c r="R170" s="113">
        <v>0</v>
      </c>
      <c r="S170" s="114">
        <v>0</v>
      </c>
      <c r="T170" s="113">
        <v>0</v>
      </c>
      <c r="U170" s="115">
        <v>0</v>
      </c>
      <c r="V170" t="str">
        <f>VLOOKUP(A170,Projetos_Ciclo!$H$3:$H$315,1,FALSE)</f>
        <v>TI02515</v>
      </c>
    </row>
    <row r="171" spans="1:22" x14ac:dyDescent="0.25">
      <c r="A171" s="14" t="s">
        <v>521</v>
      </c>
      <c r="B171" s="116" t="s">
        <v>1312</v>
      </c>
      <c r="C171" s="116" t="s">
        <v>1313</v>
      </c>
      <c r="D171" s="117">
        <v>0</v>
      </c>
      <c r="E171" s="120">
        <v>0</v>
      </c>
      <c r="F171" s="117">
        <v>0</v>
      </c>
      <c r="G171" s="120">
        <v>0</v>
      </c>
      <c r="H171" s="117">
        <v>0</v>
      </c>
      <c r="I171" s="120">
        <v>0</v>
      </c>
      <c r="J171" s="117">
        <v>0</v>
      </c>
      <c r="K171" s="120">
        <v>0</v>
      </c>
      <c r="L171" s="117">
        <v>0</v>
      </c>
      <c r="M171" s="120">
        <v>0</v>
      </c>
      <c r="N171" s="117">
        <v>0</v>
      </c>
      <c r="O171" s="120">
        <v>0</v>
      </c>
      <c r="P171" s="117">
        <v>0</v>
      </c>
      <c r="Q171" s="120">
        <v>0</v>
      </c>
      <c r="R171" s="117">
        <v>0</v>
      </c>
      <c r="S171" s="120">
        <v>0</v>
      </c>
      <c r="T171" s="117">
        <v>0</v>
      </c>
      <c r="U171" s="119">
        <v>0</v>
      </c>
      <c r="V171" t="str">
        <f>VLOOKUP(A171,Projetos_Ciclo!$H$3:$H$315,1,FALSE)</f>
        <v>TI02516</v>
      </c>
    </row>
    <row r="172" spans="1:22" x14ac:dyDescent="0.25">
      <c r="A172" s="111" t="s">
        <v>523</v>
      </c>
      <c r="B172" s="112" t="s">
        <v>522</v>
      </c>
      <c r="C172" s="112" t="s">
        <v>1314</v>
      </c>
      <c r="D172" s="113">
        <v>0</v>
      </c>
      <c r="E172" s="114">
        <v>0</v>
      </c>
      <c r="F172" s="113">
        <v>0</v>
      </c>
      <c r="G172" s="114">
        <v>55</v>
      </c>
      <c r="H172" s="113">
        <v>0</v>
      </c>
      <c r="I172" s="114">
        <v>0</v>
      </c>
      <c r="J172" s="113">
        <v>0</v>
      </c>
      <c r="K172" s="114">
        <v>0</v>
      </c>
      <c r="L172" s="113">
        <v>0</v>
      </c>
      <c r="M172" s="114">
        <v>0</v>
      </c>
      <c r="N172" s="113">
        <v>0</v>
      </c>
      <c r="O172" s="114">
        <v>0</v>
      </c>
      <c r="P172" s="113">
        <v>0</v>
      </c>
      <c r="Q172" s="114">
        <v>0</v>
      </c>
      <c r="R172" s="113">
        <v>0</v>
      </c>
      <c r="S172" s="114">
        <v>0</v>
      </c>
      <c r="T172" s="113">
        <v>0</v>
      </c>
      <c r="U172" s="115">
        <v>0</v>
      </c>
      <c r="V172" t="str">
        <f>VLOOKUP(A172,Projetos_Ciclo!$H$3:$H$315,1,FALSE)</f>
        <v>TI02616</v>
      </c>
    </row>
    <row r="173" spans="1:22" x14ac:dyDescent="0.25">
      <c r="A173" s="14" t="s">
        <v>1103</v>
      </c>
      <c r="B173" s="116" t="s">
        <v>1315</v>
      </c>
      <c r="C173" s="116" t="s">
        <v>1104</v>
      </c>
      <c r="D173" s="117">
        <v>0</v>
      </c>
      <c r="E173" s="120">
        <v>0</v>
      </c>
      <c r="F173" s="117">
        <v>0</v>
      </c>
      <c r="G173" s="120">
        <v>1225</v>
      </c>
      <c r="H173" s="117">
        <v>0</v>
      </c>
      <c r="I173" s="120">
        <v>0</v>
      </c>
      <c r="J173" s="117">
        <v>0</v>
      </c>
      <c r="K173" s="120">
        <v>0</v>
      </c>
      <c r="L173" s="117">
        <v>980.65558624267578</v>
      </c>
      <c r="M173" s="120">
        <v>980.65558624267578</v>
      </c>
      <c r="N173" s="117">
        <v>0</v>
      </c>
      <c r="O173" s="120">
        <v>0</v>
      </c>
      <c r="P173" s="117">
        <v>0</v>
      </c>
      <c r="Q173" s="120">
        <v>0</v>
      </c>
      <c r="R173" s="117">
        <v>0</v>
      </c>
      <c r="S173" s="120">
        <v>0</v>
      </c>
      <c r="T173" s="117">
        <v>0</v>
      </c>
      <c r="U173" s="119">
        <v>0</v>
      </c>
      <c r="V173" t="str">
        <f>VLOOKUP(A173,Projetos_Ciclo!$H$3:$H$315,1,FALSE)</f>
        <v>TI02618</v>
      </c>
    </row>
    <row r="174" spans="1:22" x14ac:dyDescent="0.25">
      <c r="A174" s="111" t="s">
        <v>1316</v>
      </c>
      <c r="B174" s="112" t="s">
        <v>1317</v>
      </c>
      <c r="C174" s="112" t="s">
        <v>1318</v>
      </c>
      <c r="D174" s="113">
        <v>0</v>
      </c>
      <c r="E174" s="114">
        <v>0</v>
      </c>
      <c r="F174" s="113">
        <v>0</v>
      </c>
      <c r="G174" s="114">
        <v>3223</v>
      </c>
      <c r="H174" s="113">
        <v>0</v>
      </c>
      <c r="I174" s="114">
        <v>267.26645660400391</v>
      </c>
      <c r="J174" s="113">
        <v>0</v>
      </c>
      <c r="K174" s="114">
        <v>267.26645660400391</v>
      </c>
      <c r="L174" s="113">
        <v>2947.880859375</v>
      </c>
      <c r="M174" s="114">
        <v>3215.1473159790039</v>
      </c>
      <c r="N174" s="113">
        <v>0</v>
      </c>
      <c r="O174" s="114">
        <v>0</v>
      </c>
      <c r="P174" s="113">
        <v>0</v>
      </c>
      <c r="Q174" s="114">
        <v>0</v>
      </c>
      <c r="R174" s="113">
        <v>0</v>
      </c>
      <c r="S174" s="114">
        <v>0</v>
      </c>
      <c r="T174" s="113">
        <v>0</v>
      </c>
      <c r="U174" s="115">
        <v>0</v>
      </c>
      <c r="V174" t="str">
        <f>VLOOKUP(A174,Projetos_Ciclo!$H$3:$H$315,1,FALSE)</f>
        <v>TI02718</v>
      </c>
    </row>
    <row r="175" spans="1:22" x14ac:dyDescent="0.25">
      <c r="A175" s="14" t="s">
        <v>953</v>
      </c>
      <c r="B175" s="116" t="s">
        <v>954</v>
      </c>
      <c r="C175" s="116" t="s">
        <v>1319</v>
      </c>
      <c r="D175" s="117">
        <v>0</v>
      </c>
      <c r="E175" s="120">
        <v>0</v>
      </c>
      <c r="F175" s="117">
        <v>0</v>
      </c>
      <c r="G175" s="120">
        <v>600</v>
      </c>
      <c r="H175" s="117">
        <v>0</v>
      </c>
      <c r="I175" s="120">
        <v>599.97772216796875</v>
      </c>
      <c r="J175" s="117">
        <v>0</v>
      </c>
      <c r="K175" s="120">
        <v>599.97772216796875</v>
      </c>
      <c r="L175" s="117">
        <v>0</v>
      </c>
      <c r="M175" s="120">
        <v>599.97772216796875</v>
      </c>
      <c r="N175" s="117">
        <v>0</v>
      </c>
      <c r="O175" s="120">
        <v>0</v>
      </c>
      <c r="P175" s="117">
        <v>0</v>
      </c>
      <c r="Q175" s="120">
        <v>0</v>
      </c>
      <c r="R175" s="117">
        <v>0</v>
      </c>
      <c r="S175" s="120">
        <v>0</v>
      </c>
      <c r="T175" s="117">
        <v>0</v>
      </c>
      <c r="U175" s="119">
        <v>0</v>
      </c>
      <c r="V175" t="str">
        <f>VLOOKUP(A175,Projetos_Ciclo!$H$3:$H$315,1,FALSE)</f>
        <v>TI02817</v>
      </c>
    </row>
    <row r="176" spans="1:22" x14ac:dyDescent="0.25">
      <c r="A176" s="111" t="s">
        <v>1102</v>
      </c>
      <c r="B176" s="112" t="s">
        <v>310</v>
      </c>
      <c r="C176" s="112" t="s">
        <v>1320</v>
      </c>
      <c r="D176" s="113">
        <v>0</v>
      </c>
      <c r="E176" s="114">
        <v>0</v>
      </c>
      <c r="F176" s="113">
        <v>0</v>
      </c>
      <c r="G176" s="114">
        <v>504</v>
      </c>
      <c r="H176" s="113">
        <v>0</v>
      </c>
      <c r="I176" s="114">
        <v>147.11999893188477</v>
      </c>
      <c r="J176" s="113">
        <v>0</v>
      </c>
      <c r="K176" s="114">
        <v>147.11999893188477</v>
      </c>
      <c r="L176" s="113">
        <v>357.05808687210083</v>
      </c>
      <c r="M176" s="114">
        <v>504.1780858039856</v>
      </c>
      <c r="N176" s="113">
        <v>0</v>
      </c>
      <c r="O176" s="114">
        <v>0</v>
      </c>
      <c r="P176" s="113">
        <v>0</v>
      </c>
      <c r="Q176" s="114">
        <v>0</v>
      </c>
      <c r="R176" s="113">
        <v>0</v>
      </c>
      <c r="S176" s="114">
        <v>0</v>
      </c>
      <c r="T176" s="113">
        <v>0</v>
      </c>
      <c r="U176" s="115">
        <v>0</v>
      </c>
      <c r="V176" t="str">
        <f>VLOOKUP(A176,Projetos_Ciclo!$H$3:$H$315,1,FALSE)</f>
        <v>TI03015</v>
      </c>
    </row>
    <row r="177" spans="1:22" x14ac:dyDescent="0.25">
      <c r="A177" s="14" t="s">
        <v>1840</v>
      </c>
      <c r="B177" s="116" t="s">
        <v>1841</v>
      </c>
      <c r="C177" s="116" t="s">
        <v>1842</v>
      </c>
      <c r="D177" s="117">
        <v>0</v>
      </c>
      <c r="E177" s="120">
        <v>0</v>
      </c>
      <c r="F177" s="117">
        <v>0</v>
      </c>
      <c r="G177" s="120">
        <v>166</v>
      </c>
      <c r="H177" s="117">
        <v>0</v>
      </c>
      <c r="I177" s="120">
        <v>5.8700799942016602</v>
      </c>
      <c r="J177" s="117">
        <v>0</v>
      </c>
      <c r="K177" s="120">
        <v>5.8700799942016602</v>
      </c>
      <c r="L177" s="117">
        <v>160</v>
      </c>
      <c r="M177" s="120">
        <v>165.87007999420166</v>
      </c>
      <c r="N177" s="117">
        <v>0</v>
      </c>
      <c r="O177" s="120">
        <v>0</v>
      </c>
      <c r="P177" s="117">
        <v>0</v>
      </c>
      <c r="Q177" s="120">
        <v>0</v>
      </c>
      <c r="R177" s="117">
        <v>0</v>
      </c>
      <c r="S177" s="120">
        <v>0</v>
      </c>
      <c r="T177" s="117">
        <v>0</v>
      </c>
      <c r="U177" s="119">
        <v>0</v>
      </c>
      <c r="V177" t="str">
        <f>VLOOKUP(A177,Projetos_Ciclo!$H$3:$H$315,1,FALSE)</f>
        <v>TI03017</v>
      </c>
    </row>
    <row r="178" spans="1:22" x14ac:dyDescent="0.25">
      <c r="A178" s="111" t="s">
        <v>1084</v>
      </c>
      <c r="B178" s="112" t="s">
        <v>1321</v>
      </c>
      <c r="C178" s="112" t="s">
        <v>1322</v>
      </c>
      <c r="D178" s="113">
        <v>0</v>
      </c>
      <c r="E178" s="114">
        <v>0</v>
      </c>
      <c r="F178" s="113">
        <v>0</v>
      </c>
      <c r="G178" s="114">
        <v>216</v>
      </c>
      <c r="H178" s="113">
        <v>0</v>
      </c>
      <c r="I178" s="114">
        <v>60.324001312255859</v>
      </c>
      <c r="J178" s="113">
        <v>0</v>
      </c>
      <c r="K178" s="114">
        <v>60.324001312255859</v>
      </c>
      <c r="L178" s="113">
        <v>155.67599487304687</v>
      </c>
      <c r="M178" s="114">
        <v>215.99999618530273</v>
      </c>
      <c r="N178" s="113">
        <v>0</v>
      </c>
      <c r="O178" s="114">
        <v>0</v>
      </c>
      <c r="P178" s="113">
        <v>0</v>
      </c>
      <c r="Q178" s="114">
        <v>0</v>
      </c>
      <c r="R178" s="113">
        <v>0</v>
      </c>
      <c r="S178" s="114">
        <v>0</v>
      </c>
      <c r="T178" s="113">
        <v>0</v>
      </c>
      <c r="U178" s="115">
        <v>0</v>
      </c>
      <c r="V178" t="str">
        <f>VLOOKUP(A178,Projetos_Ciclo!$H$3:$H$315,1,FALSE)</f>
        <v>TI03117</v>
      </c>
    </row>
    <row r="179" spans="1:22" x14ac:dyDescent="0.25">
      <c r="A179" s="14" t="s">
        <v>990</v>
      </c>
      <c r="B179" s="116" t="s">
        <v>1277</v>
      </c>
      <c r="C179" s="116" t="s">
        <v>1323</v>
      </c>
      <c r="D179" s="117">
        <v>0</v>
      </c>
      <c r="E179" s="120">
        <v>0</v>
      </c>
      <c r="F179" s="117">
        <v>0</v>
      </c>
      <c r="G179" s="120">
        <v>2100</v>
      </c>
      <c r="H179" s="117">
        <v>0</v>
      </c>
      <c r="I179" s="120">
        <v>0</v>
      </c>
      <c r="J179" s="117">
        <v>0</v>
      </c>
      <c r="K179" s="120">
        <v>0</v>
      </c>
      <c r="L179" s="117">
        <v>1496.0580673217773</v>
      </c>
      <c r="M179" s="120">
        <v>1496.0580673217773</v>
      </c>
      <c r="N179" s="117">
        <v>0</v>
      </c>
      <c r="O179" s="120">
        <v>0</v>
      </c>
      <c r="P179" s="117">
        <v>0</v>
      </c>
      <c r="Q179" s="120">
        <v>0</v>
      </c>
      <c r="R179" s="117">
        <v>0</v>
      </c>
      <c r="S179" s="120">
        <v>0</v>
      </c>
      <c r="T179" s="117">
        <v>0</v>
      </c>
      <c r="U179" s="119">
        <v>0</v>
      </c>
      <c r="V179" t="str">
        <f>VLOOKUP(A179,Projetos_Ciclo!$H$3:$H$315,1,FALSE)</f>
        <v>TI03217</v>
      </c>
    </row>
    <row r="180" spans="1:22" x14ac:dyDescent="0.25">
      <c r="A180" s="111" t="s">
        <v>992</v>
      </c>
      <c r="B180" s="112" t="s">
        <v>967</v>
      </c>
      <c r="C180" s="112" t="s">
        <v>1324</v>
      </c>
      <c r="D180" s="113">
        <v>0</v>
      </c>
      <c r="E180" s="114">
        <v>0</v>
      </c>
      <c r="F180" s="113">
        <v>0</v>
      </c>
      <c r="G180" s="114">
        <v>278</v>
      </c>
      <c r="H180" s="113">
        <v>0</v>
      </c>
      <c r="I180" s="114">
        <v>108.51967239379883</v>
      </c>
      <c r="J180" s="113">
        <v>0</v>
      </c>
      <c r="K180" s="114">
        <v>108.51967239379883</v>
      </c>
      <c r="L180" s="113">
        <v>169.582275390625</v>
      </c>
      <c r="M180" s="114">
        <v>278.10194778442383</v>
      </c>
      <c r="N180" s="113">
        <v>0</v>
      </c>
      <c r="O180" s="114">
        <v>0</v>
      </c>
      <c r="P180" s="113">
        <v>0</v>
      </c>
      <c r="Q180" s="114">
        <v>0</v>
      </c>
      <c r="R180" s="113">
        <v>0</v>
      </c>
      <c r="S180" s="114">
        <v>0</v>
      </c>
      <c r="T180" s="113">
        <v>0</v>
      </c>
      <c r="U180" s="115">
        <v>0</v>
      </c>
      <c r="V180" t="str">
        <f>VLOOKUP(A180,Projetos_Ciclo!$H$3:$H$315,1,FALSE)</f>
        <v>TI03317</v>
      </c>
    </row>
    <row r="181" spans="1:22" x14ac:dyDescent="0.25">
      <c r="A181" s="14" t="s">
        <v>1404</v>
      </c>
      <c r="B181" s="116" t="s">
        <v>1405</v>
      </c>
      <c r="C181" s="116" t="s">
        <v>1406</v>
      </c>
      <c r="D181" s="117">
        <v>0</v>
      </c>
      <c r="E181" s="120">
        <v>0</v>
      </c>
      <c r="F181" s="117">
        <v>0</v>
      </c>
      <c r="G181" s="120">
        <v>245</v>
      </c>
      <c r="H181" s="117">
        <v>0</v>
      </c>
      <c r="I181" s="120">
        <v>232.37596130371094</v>
      </c>
      <c r="J181" s="117">
        <v>0</v>
      </c>
      <c r="K181" s="120">
        <v>232.37596130371094</v>
      </c>
      <c r="L181" s="117">
        <v>0</v>
      </c>
      <c r="M181" s="120">
        <v>232.37596130371094</v>
      </c>
      <c r="N181" s="117">
        <v>0</v>
      </c>
      <c r="O181" s="120">
        <v>0</v>
      </c>
      <c r="P181" s="117">
        <v>0</v>
      </c>
      <c r="Q181" s="120">
        <v>0</v>
      </c>
      <c r="R181" s="117">
        <v>0</v>
      </c>
      <c r="S181" s="120">
        <v>0</v>
      </c>
      <c r="T181" s="117">
        <v>0</v>
      </c>
      <c r="U181" s="119">
        <v>0</v>
      </c>
      <c r="V181" t="str">
        <f>VLOOKUP(A181,Projetos_Ciclo!$H$3:$H$315,1,FALSE)</f>
        <v>TI03318</v>
      </c>
    </row>
    <row r="182" spans="1:22" x14ac:dyDescent="0.25">
      <c r="A182" s="111" t="s">
        <v>1080</v>
      </c>
      <c r="B182" s="112" t="s">
        <v>1325</v>
      </c>
      <c r="C182" s="112" t="s">
        <v>1326</v>
      </c>
      <c r="D182" s="113">
        <v>0</v>
      </c>
      <c r="E182" s="114">
        <v>0</v>
      </c>
      <c r="F182" s="113">
        <v>0</v>
      </c>
      <c r="G182" s="114">
        <v>814</v>
      </c>
      <c r="H182" s="113">
        <v>0</v>
      </c>
      <c r="I182" s="114">
        <v>813.67767333984375</v>
      </c>
      <c r="J182" s="113">
        <v>0</v>
      </c>
      <c r="K182" s="114">
        <v>813.67767333984375</v>
      </c>
      <c r="L182" s="113">
        <v>0</v>
      </c>
      <c r="M182" s="114">
        <v>813.67767333984375</v>
      </c>
      <c r="N182" s="113">
        <v>0</v>
      </c>
      <c r="O182" s="114">
        <v>0</v>
      </c>
      <c r="P182" s="113">
        <v>0</v>
      </c>
      <c r="Q182" s="114">
        <v>0</v>
      </c>
      <c r="R182" s="113">
        <v>0</v>
      </c>
      <c r="S182" s="114">
        <v>0</v>
      </c>
      <c r="T182" s="113">
        <v>0</v>
      </c>
      <c r="U182" s="115">
        <v>0</v>
      </c>
      <c r="V182" t="str">
        <f>VLOOKUP(A182,Projetos_Ciclo!$H$3:$H$315,1,FALSE)</f>
        <v>TI03417</v>
      </c>
    </row>
    <row r="183" spans="1:22" x14ac:dyDescent="0.25">
      <c r="A183" s="14" t="s">
        <v>1087</v>
      </c>
      <c r="B183" s="116" t="s">
        <v>966</v>
      </c>
      <c r="C183" s="116" t="s">
        <v>1327</v>
      </c>
      <c r="D183" s="117">
        <v>0</v>
      </c>
      <c r="E183" s="120">
        <v>0</v>
      </c>
      <c r="F183" s="117">
        <v>0</v>
      </c>
      <c r="G183" s="120">
        <v>155</v>
      </c>
      <c r="H183" s="117">
        <v>0</v>
      </c>
      <c r="I183" s="120">
        <v>0</v>
      </c>
      <c r="J183" s="117">
        <v>0</v>
      </c>
      <c r="K183" s="120">
        <v>0</v>
      </c>
      <c r="L183" s="117">
        <v>154.5</v>
      </c>
      <c r="M183" s="120">
        <v>154.5</v>
      </c>
      <c r="N183" s="117">
        <v>0</v>
      </c>
      <c r="O183" s="120">
        <v>0</v>
      </c>
      <c r="P183" s="117">
        <v>0</v>
      </c>
      <c r="Q183" s="120">
        <v>0</v>
      </c>
      <c r="R183" s="117">
        <v>0</v>
      </c>
      <c r="S183" s="120">
        <v>0</v>
      </c>
      <c r="T183" s="117">
        <v>0</v>
      </c>
      <c r="U183" s="119">
        <v>0</v>
      </c>
      <c r="V183" t="str">
        <f>VLOOKUP(A183,Projetos_Ciclo!$H$3:$H$315,1,FALSE)</f>
        <v>TI03517</v>
      </c>
    </row>
    <row r="184" spans="1:22" x14ac:dyDescent="0.25">
      <c r="A184" s="111" t="s">
        <v>991</v>
      </c>
      <c r="B184" s="112" t="s">
        <v>965</v>
      </c>
      <c r="C184" s="112" t="s">
        <v>1328</v>
      </c>
      <c r="D184" s="113">
        <v>0</v>
      </c>
      <c r="E184" s="114">
        <v>0</v>
      </c>
      <c r="F184" s="113">
        <v>0</v>
      </c>
      <c r="G184" s="114">
        <v>247</v>
      </c>
      <c r="H184" s="113">
        <v>0</v>
      </c>
      <c r="I184" s="114">
        <v>72.401939392089844</v>
      </c>
      <c r="J184" s="113">
        <v>0</v>
      </c>
      <c r="K184" s="114">
        <v>72.401939392089844</v>
      </c>
      <c r="L184" s="113">
        <v>174.79806518554687</v>
      </c>
      <c r="M184" s="114">
        <v>247.20000457763672</v>
      </c>
      <c r="N184" s="113">
        <v>0</v>
      </c>
      <c r="O184" s="114">
        <v>0</v>
      </c>
      <c r="P184" s="113">
        <v>0</v>
      </c>
      <c r="Q184" s="114">
        <v>0</v>
      </c>
      <c r="R184" s="113">
        <v>0</v>
      </c>
      <c r="S184" s="114">
        <v>0</v>
      </c>
      <c r="T184" s="113">
        <v>0</v>
      </c>
      <c r="U184" s="115">
        <v>0</v>
      </c>
      <c r="V184" t="str">
        <f>VLOOKUP(A184,Projetos_Ciclo!$H$3:$H$315,1,FALSE)</f>
        <v>TI03617</v>
      </c>
    </row>
    <row r="185" spans="1:22" x14ac:dyDescent="0.25">
      <c r="A185" s="14" t="s">
        <v>1083</v>
      </c>
      <c r="B185" s="116" t="s">
        <v>1329</v>
      </c>
      <c r="C185" s="116" t="s">
        <v>1330</v>
      </c>
      <c r="D185" s="117">
        <v>0</v>
      </c>
      <c r="E185" s="120">
        <v>0</v>
      </c>
      <c r="F185" s="117">
        <v>0</v>
      </c>
      <c r="G185" s="120">
        <v>871</v>
      </c>
      <c r="H185" s="117">
        <v>0</v>
      </c>
      <c r="I185" s="120">
        <v>15.5</v>
      </c>
      <c r="J185" s="117">
        <v>0</v>
      </c>
      <c r="K185" s="120">
        <v>15.5</v>
      </c>
      <c r="L185" s="117">
        <v>384.39999389648437</v>
      </c>
      <c r="M185" s="120">
        <v>399.89999389648437</v>
      </c>
      <c r="N185" s="117">
        <v>0</v>
      </c>
      <c r="O185" s="120">
        <v>0</v>
      </c>
      <c r="P185" s="117">
        <v>0</v>
      </c>
      <c r="Q185" s="120">
        <v>0</v>
      </c>
      <c r="R185" s="117">
        <v>0</v>
      </c>
      <c r="S185" s="120">
        <v>0</v>
      </c>
      <c r="T185" s="117">
        <v>0</v>
      </c>
      <c r="U185" s="119">
        <v>0</v>
      </c>
      <c r="V185" t="str">
        <f>VLOOKUP(A185,Projetos_Ciclo!$H$3:$H$315,1,FALSE)</f>
        <v>TI04117</v>
      </c>
    </row>
    <row r="186" spans="1:22" x14ac:dyDescent="0.25">
      <c r="A186" s="111" t="s">
        <v>1487</v>
      </c>
      <c r="B186" s="112" t="s">
        <v>1488</v>
      </c>
      <c r="C186" s="112" t="s">
        <v>1489</v>
      </c>
      <c r="D186" s="113">
        <v>0</v>
      </c>
      <c r="E186" s="114">
        <v>0</v>
      </c>
      <c r="F186" s="113">
        <v>0</v>
      </c>
      <c r="G186" s="114">
        <v>150</v>
      </c>
      <c r="H186" s="113">
        <v>0</v>
      </c>
      <c r="I186" s="114">
        <v>0</v>
      </c>
      <c r="J186" s="113">
        <v>0</v>
      </c>
      <c r="K186" s="114">
        <v>0</v>
      </c>
      <c r="L186" s="113">
        <v>0</v>
      </c>
      <c r="M186" s="114">
        <v>0</v>
      </c>
      <c r="N186" s="113">
        <v>0</v>
      </c>
      <c r="O186" s="114">
        <v>0</v>
      </c>
      <c r="P186" s="113">
        <v>0</v>
      </c>
      <c r="Q186" s="114">
        <v>0</v>
      </c>
      <c r="R186" s="113">
        <v>0</v>
      </c>
      <c r="S186" s="114">
        <v>0</v>
      </c>
      <c r="T186" s="113">
        <v>0</v>
      </c>
      <c r="U186" s="115">
        <v>0</v>
      </c>
      <c r="V186" t="str">
        <f>VLOOKUP(A186,Projetos_Ciclo!$H$3:$H$315,1,FALSE)</f>
        <v>TI04618</v>
      </c>
    </row>
    <row r="187" spans="1:22" x14ac:dyDescent="0.25">
      <c r="A187" s="14" t="s">
        <v>1418</v>
      </c>
      <c r="B187" s="116" t="s">
        <v>1419</v>
      </c>
      <c r="C187" s="116" t="s">
        <v>1420</v>
      </c>
      <c r="D187" s="117">
        <v>0</v>
      </c>
      <c r="E187" s="120">
        <v>0</v>
      </c>
      <c r="F187" s="117">
        <v>0</v>
      </c>
      <c r="G187" s="120">
        <v>141</v>
      </c>
      <c r="H187" s="117">
        <v>0</v>
      </c>
      <c r="I187" s="120">
        <v>0</v>
      </c>
      <c r="J187" s="117">
        <v>0</v>
      </c>
      <c r="K187" s="120">
        <v>0</v>
      </c>
      <c r="L187" s="117">
        <v>141.22349548339844</v>
      </c>
      <c r="M187" s="120">
        <v>141.22349548339844</v>
      </c>
      <c r="N187" s="117">
        <v>0</v>
      </c>
      <c r="O187" s="120">
        <v>0</v>
      </c>
      <c r="P187" s="117">
        <v>0</v>
      </c>
      <c r="Q187" s="120">
        <v>0</v>
      </c>
      <c r="R187" s="117">
        <v>0</v>
      </c>
      <c r="S187" s="120">
        <v>0</v>
      </c>
      <c r="T187" s="117">
        <v>0</v>
      </c>
      <c r="U187" s="119">
        <v>0</v>
      </c>
      <c r="V187" t="str">
        <f>VLOOKUP(A187,Projetos_Ciclo!$H$3:$H$315,1,FALSE)</f>
        <v>TI04718</v>
      </c>
    </row>
    <row r="188" spans="1:22" x14ac:dyDescent="0.25">
      <c r="A188" s="111" t="s">
        <v>1524</v>
      </c>
      <c r="B188" s="112" t="s">
        <v>1525</v>
      </c>
      <c r="C188" s="112" t="s">
        <v>1526</v>
      </c>
      <c r="D188" s="113">
        <v>0</v>
      </c>
      <c r="E188" s="114">
        <v>0</v>
      </c>
      <c r="F188" s="113">
        <v>0</v>
      </c>
      <c r="G188" s="114">
        <v>420</v>
      </c>
      <c r="H188" s="113">
        <v>0</v>
      </c>
      <c r="I188" s="114">
        <v>0</v>
      </c>
      <c r="J188" s="113">
        <v>0</v>
      </c>
      <c r="K188" s="114">
        <v>0</v>
      </c>
      <c r="L188" s="113">
        <v>420.44839477539062</v>
      </c>
      <c r="M188" s="114">
        <v>420.44839477539062</v>
      </c>
      <c r="N188" s="113">
        <v>0</v>
      </c>
      <c r="O188" s="114">
        <v>0</v>
      </c>
      <c r="P188" s="113">
        <v>0</v>
      </c>
      <c r="Q188" s="114">
        <v>0</v>
      </c>
      <c r="R188" s="113">
        <v>0</v>
      </c>
      <c r="S188" s="114">
        <v>0</v>
      </c>
      <c r="T188" s="113">
        <v>0</v>
      </c>
      <c r="U188" s="115">
        <v>0</v>
      </c>
      <c r="V188" t="str">
        <f>VLOOKUP(A188,Projetos_Ciclo!$H$3:$H$315,1,FALSE)</f>
        <v>TI05218</v>
      </c>
    </row>
    <row r="189" spans="1:22" x14ac:dyDescent="0.25">
      <c r="A189" s="14" t="s">
        <v>1547</v>
      </c>
      <c r="B189" s="116" t="s">
        <v>1548</v>
      </c>
      <c r="C189" s="116" t="s">
        <v>1549</v>
      </c>
      <c r="D189" s="117">
        <v>0</v>
      </c>
      <c r="E189" s="120">
        <v>0</v>
      </c>
      <c r="F189" s="117">
        <v>0</v>
      </c>
      <c r="G189" s="120">
        <v>800</v>
      </c>
      <c r="H189" s="117">
        <v>0</v>
      </c>
      <c r="I189" s="120">
        <v>800</v>
      </c>
      <c r="J189" s="117">
        <v>0</v>
      </c>
      <c r="K189" s="120">
        <v>800</v>
      </c>
      <c r="L189" s="117">
        <v>0</v>
      </c>
      <c r="M189" s="120">
        <v>800</v>
      </c>
      <c r="N189" s="117">
        <v>0</v>
      </c>
      <c r="O189" s="120">
        <v>0</v>
      </c>
      <c r="P189" s="117">
        <v>0</v>
      </c>
      <c r="Q189" s="120">
        <v>0</v>
      </c>
      <c r="R189" s="117">
        <v>0</v>
      </c>
      <c r="S189" s="120">
        <v>0</v>
      </c>
      <c r="T189" s="117">
        <v>0</v>
      </c>
      <c r="U189" s="119">
        <v>0</v>
      </c>
      <c r="V189" t="str">
        <f>VLOOKUP(A189,Projetos_Ciclo!$H$3:$H$315,1,FALSE)</f>
        <v>TI05318</v>
      </c>
    </row>
    <row r="190" spans="1:22" x14ac:dyDescent="0.25">
      <c r="A190" s="111" t="s">
        <v>1571</v>
      </c>
      <c r="B190" s="112" t="s">
        <v>1537</v>
      </c>
      <c r="C190" s="112" t="s">
        <v>1572</v>
      </c>
      <c r="D190" s="113">
        <v>0</v>
      </c>
      <c r="E190" s="114">
        <v>0</v>
      </c>
      <c r="F190" s="113">
        <v>0</v>
      </c>
      <c r="G190" s="114">
        <v>500</v>
      </c>
      <c r="H190" s="113">
        <v>0</v>
      </c>
      <c r="I190" s="114">
        <v>0</v>
      </c>
      <c r="J190" s="113">
        <v>0</v>
      </c>
      <c r="K190" s="114">
        <v>0</v>
      </c>
      <c r="L190" s="113">
        <v>439.99998474121094</v>
      </c>
      <c r="M190" s="114">
        <v>439.99998474121094</v>
      </c>
      <c r="N190" s="113">
        <v>0</v>
      </c>
      <c r="O190" s="114">
        <v>0</v>
      </c>
      <c r="P190" s="113">
        <v>0</v>
      </c>
      <c r="Q190" s="114">
        <v>0</v>
      </c>
      <c r="R190" s="113">
        <v>0</v>
      </c>
      <c r="S190" s="114">
        <v>0</v>
      </c>
      <c r="T190" s="113">
        <v>0</v>
      </c>
      <c r="U190" s="115">
        <v>0</v>
      </c>
      <c r="V190" t="str">
        <f>VLOOKUP(A190,Projetos_Ciclo!$H$3:$H$315,1,FALSE)</f>
        <v>TI05418</v>
      </c>
    </row>
    <row r="191" spans="1:22" x14ac:dyDescent="0.25">
      <c r="A191" s="14" t="s">
        <v>1573</v>
      </c>
      <c r="B191" s="116" t="s">
        <v>1511</v>
      </c>
      <c r="C191" s="116" t="s">
        <v>1574</v>
      </c>
      <c r="D191" s="117">
        <v>0</v>
      </c>
      <c r="E191" s="120">
        <v>0</v>
      </c>
      <c r="F191" s="117">
        <v>0</v>
      </c>
      <c r="G191" s="120">
        <v>760</v>
      </c>
      <c r="H191" s="117">
        <v>0</v>
      </c>
      <c r="I191" s="120">
        <v>0</v>
      </c>
      <c r="J191" s="117">
        <v>0</v>
      </c>
      <c r="K191" s="120">
        <v>0</v>
      </c>
      <c r="L191" s="117">
        <v>580.49600219726562</v>
      </c>
      <c r="M191" s="120">
        <v>580.49600219726562</v>
      </c>
      <c r="N191" s="117">
        <v>0</v>
      </c>
      <c r="O191" s="120">
        <v>0</v>
      </c>
      <c r="P191" s="117">
        <v>0</v>
      </c>
      <c r="Q191" s="120">
        <v>0</v>
      </c>
      <c r="R191" s="117">
        <v>0</v>
      </c>
      <c r="S191" s="120">
        <v>0</v>
      </c>
      <c r="T191" s="117">
        <v>0</v>
      </c>
      <c r="U191" s="119">
        <v>0</v>
      </c>
      <c r="V191" t="str">
        <f>VLOOKUP(A191,Projetos_Ciclo!$H$3:$H$315,1,FALSE)</f>
        <v>TI05518</v>
      </c>
    </row>
    <row r="192" spans="1:22" x14ac:dyDescent="0.25">
      <c r="A192" s="111" t="s">
        <v>1575</v>
      </c>
      <c r="B192" s="112" t="s">
        <v>787</v>
      </c>
      <c r="C192" s="112" t="s">
        <v>1576</v>
      </c>
      <c r="D192" s="113">
        <v>0</v>
      </c>
      <c r="E192" s="114">
        <v>0</v>
      </c>
      <c r="F192" s="113">
        <v>0</v>
      </c>
      <c r="G192" s="114">
        <v>1865</v>
      </c>
      <c r="H192" s="113">
        <v>0</v>
      </c>
      <c r="I192" s="114">
        <v>0</v>
      </c>
      <c r="J192" s="113">
        <v>0</v>
      </c>
      <c r="K192" s="114">
        <v>0</v>
      </c>
      <c r="L192" s="113">
        <v>1678.5040016174316</v>
      </c>
      <c r="M192" s="114">
        <v>1678.5040016174316</v>
      </c>
      <c r="N192" s="113">
        <v>0</v>
      </c>
      <c r="O192" s="114">
        <v>0</v>
      </c>
      <c r="P192" s="113">
        <v>0</v>
      </c>
      <c r="Q192" s="114">
        <v>0</v>
      </c>
      <c r="R192" s="113">
        <v>0</v>
      </c>
      <c r="S192" s="114">
        <v>0</v>
      </c>
      <c r="T192" s="113">
        <v>0</v>
      </c>
      <c r="U192" s="115">
        <v>0</v>
      </c>
      <c r="V192" t="str">
        <f>VLOOKUP(A192,Projetos_Ciclo!$H$3:$H$315,1,FALSE)</f>
        <v>TI05618</v>
      </c>
    </row>
    <row r="193" spans="1:22" x14ac:dyDescent="0.25">
      <c r="A193" s="14" t="s">
        <v>1577</v>
      </c>
      <c r="B193" s="116" t="s">
        <v>1578</v>
      </c>
      <c r="C193" s="116" t="s">
        <v>1579</v>
      </c>
      <c r="D193" s="117">
        <v>0</v>
      </c>
      <c r="E193" s="120">
        <v>0</v>
      </c>
      <c r="F193" s="117">
        <v>0</v>
      </c>
      <c r="G193" s="120">
        <v>179</v>
      </c>
      <c r="H193" s="117">
        <v>0</v>
      </c>
      <c r="I193" s="120">
        <v>0</v>
      </c>
      <c r="J193" s="117">
        <v>0</v>
      </c>
      <c r="K193" s="120">
        <v>0</v>
      </c>
      <c r="L193" s="117">
        <v>0</v>
      </c>
      <c r="M193" s="120">
        <v>0</v>
      </c>
      <c r="N193" s="117">
        <v>0</v>
      </c>
      <c r="O193" s="120">
        <v>0</v>
      </c>
      <c r="P193" s="117">
        <v>0</v>
      </c>
      <c r="Q193" s="120">
        <v>0</v>
      </c>
      <c r="R193" s="117">
        <v>0</v>
      </c>
      <c r="S193" s="120">
        <v>0</v>
      </c>
      <c r="T193" s="117">
        <v>0</v>
      </c>
      <c r="U193" s="119">
        <v>0</v>
      </c>
      <c r="V193" t="str">
        <f>VLOOKUP(A193,Projetos_Ciclo!$H$3:$H$315,1,FALSE)</f>
        <v>TI05718</v>
      </c>
    </row>
    <row r="194" spans="1:22" x14ac:dyDescent="0.25">
      <c r="A194" s="111" t="s">
        <v>1663</v>
      </c>
      <c r="B194" s="112" t="s">
        <v>1606</v>
      </c>
      <c r="C194" s="112" t="s">
        <v>1664</v>
      </c>
      <c r="D194" s="113">
        <v>0</v>
      </c>
      <c r="E194" s="114">
        <v>0</v>
      </c>
      <c r="F194" s="113">
        <v>0</v>
      </c>
      <c r="G194" s="114">
        <v>0</v>
      </c>
      <c r="H194" s="113">
        <v>0</v>
      </c>
      <c r="I194" s="114">
        <v>0</v>
      </c>
      <c r="J194" s="113">
        <v>0</v>
      </c>
      <c r="K194" s="114">
        <v>0</v>
      </c>
      <c r="L194" s="113">
        <v>0</v>
      </c>
      <c r="M194" s="114">
        <v>0</v>
      </c>
      <c r="N194" s="113">
        <v>0</v>
      </c>
      <c r="O194" s="114">
        <v>0</v>
      </c>
      <c r="P194" s="113">
        <v>0</v>
      </c>
      <c r="Q194" s="114">
        <v>0</v>
      </c>
      <c r="R194" s="113">
        <v>0</v>
      </c>
      <c r="S194" s="114">
        <v>0</v>
      </c>
      <c r="T194" s="113">
        <v>0</v>
      </c>
      <c r="U194" s="115">
        <v>0</v>
      </c>
      <c r="V194" t="str">
        <f>VLOOKUP(A194,Projetos_Ciclo!$H$3:$H$315,1,FALSE)</f>
        <v>TI06218</v>
      </c>
    </row>
    <row r="195" spans="1:22" x14ac:dyDescent="0.25">
      <c r="A195" s="14" t="s">
        <v>1665</v>
      </c>
      <c r="B195" s="116" t="s">
        <v>1600</v>
      </c>
      <c r="C195" s="116" t="s">
        <v>1666</v>
      </c>
      <c r="D195" s="117">
        <v>0</v>
      </c>
      <c r="E195" s="120">
        <v>0</v>
      </c>
      <c r="F195" s="117">
        <v>0</v>
      </c>
      <c r="G195" s="120">
        <v>26</v>
      </c>
      <c r="H195" s="117">
        <v>0</v>
      </c>
      <c r="I195" s="120">
        <v>0</v>
      </c>
      <c r="J195" s="117">
        <v>0</v>
      </c>
      <c r="K195" s="120">
        <v>0</v>
      </c>
      <c r="L195" s="117">
        <v>25.677000045776367</v>
      </c>
      <c r="M195" s="120">
        <v>25.677000045776367</v>
      </c>
      <c r="N195" s="117">
        <v>0</v>
      </c>
      <c r="O195" s="120">
        <v>0</v>
      </c>
      <c r="P195" s="117">
        <v>0</v>
      </c>
      <c r="Q195" s="120">
        <v>0</v>
      </c>
      <c r="R195" s="117">
        <v>0</v>
      </c>
      <c r="S195" s="120">
        <v>0</v>
      </c>
      <c r="T195" s="117">
        <v>0</v>
      </c>
      <c r="U195" s="119">
        <v>0</v>
      </c>
      <c r="V195" t="str">
        <f>VLOOKUP(A195,Projetos_Ciclo!$H$3:$H$315,1,FALSE)</f>
        <v>TI06318</v>
      </c>
    </row>
    <row r="196" spans="1:22" x14ac:dyDescent="0.25">
      <c r="A196" s="111" t="s">
        <v>1667</v>
      </c>
      <c r="B196" s="112" t="s">
        <v>968</v>
      </c>
      <c r="C196" s="112" t="s">
        <v>1668</v>
      </c>
      <c r="D196" s="113">
        <v>0</v>
      </c>
      <c r="E196" s="114">
        <v>0</v>
      </c>
      <c r="F196" s="113">
        <v>0</v>
      </c>
      <c r="G196" s="114">
        <v>68</v>
      </c>
      <c r="H196" s="113">
        <v>0</v>
      </c>
      <c r="I196" s="114">
        <v>0</v>
      </c>
      <c r="J196" s="113">
        <v>0</v>
      </c>
      <c r="K196" s="114">
        <v>0</v>
      </c>
      <c r="L196" s="113">
        <v>68.472000122070313</v>
      </c>
      <c r="M196" s="114">
        <v>68.472000122070313</v>
      </c>
      <c r="N196" s="113">
        <v>0</v>
      </c>
      <c r="O196" s="114">
        <v>0</v>
      </c>
      <c r="P196" s="113">
        <v>0</v>
      </c>
      <c r="Q196" s="114">
        <v>0</v>
      </c>
      <c r="R196" s="113">
        <v>0</v>
      </c>
      <c r="S196" s="114">
        <v>0</v>
      </c>
      <c r="T196" s="113">
        <v>0</v>
      </c>
      <c r="U196" s="115">
        <v>0</v>
      </c>
      <c r="V196" t="str">
        <f>VLOOKUP(A196,Projetos_Ciclo!$H$3:$H$315,1,FALSE)</f>
        <v>TI06418</v>
      </c>
    </row>
    <row r="197" spans="1:22" x14ac:dyDescent="0.25">
      <c r="A197" s="14" t="s">
        <v>1669</v>
      </c>
      <c r="B197" s="116" t="s">
        <v>778</v>
      </c>
      <c r="C197" s="116" t="s">
        <v>1670</v>
      </c>
      <c r="D197" s="117">
        <v>0</v>
      </c>
      <c r="E197" s="120">
        <v>0</v>
      </c>
      <c r="F197" s="117">
        <v>0</v>
      </c>
      <c r="G197" s="120">
        <v>860</v>
      </c>
      <c r="H197" s="117">
        <v>0</v>
      </c>
      <c r="I197" s="120">
        <v>0</v>
      </c>
      <c r="J197" s="117">
        <v>0</v>
      </c>
      <c r="K197" s="120">
        <v>0</v>
      </c>
      <c r="L197" s="117">
        <v>0</v>
      </c>
      <c r="M197" s="120">
        <v>0</v>
      </c>
      <c r="N197" s="117">
        <v>0</v>
      </c>
      <c r="O197" s="120">
        <v>0</v>
      </c>
      <c r="P197" s="117">
        <v>0</v>
      </c>
      <c r="Q197" s="120">
        <v>0</v>
      </c>
      <c r="R197" s="117">
        <v>0</v>
      </c>
      <c r="S197" s="120">
        <v>0</v>
      </c>
      <c r="T197" s="117">
        <v>0</v>
      </c>
      <c r="U197" s="119">
        <v>0</v>
      </c>
      <c r="V197" t="str">
        <f>VLOOKUP(A197,Projetos_Ciclo!$H$3:$H$315,1,FALSE)</f>
        <v>TI06518</v>
      </c>
    </row>
    <row r="198" spans="1:22" x14ac:dyDescent="0.25">
      <c r="A198" s="111" t="s">
        <v>1708</v>
      </c>
      <c r="B198" s="112" t="s">
        <v>798</v>
      </c>
      <c r="C198" s="112" t="s">
        <v>1709</v>
      </c>
      <c r="D198" s="113">
        <v>0</v>
      </c>
      <c r="E198" s="114">
        <v>0</v>
      </c>
      <c r="F198" s="113">
        <v>0</v>
      </c>
      <c r="G198" s="114">
        <v>12</v>
      </c>
      <c r="H198" s="113">
        <v>0</v>
      </c>
      <c r="I198" s="114">
        <v>0</v>
      </c>
      <c r="J198" s="113">
        <v>0</v>
      </c>
      <c r="K198" s="114">
        <v>0</v>
      </c>
      <c r="L198" s="113">
        <v>0</v>
      </c>
      <c r="M198" s="114">
        <v>0</v>
      </c>
      <c r="N198" s="113">
        <v>0</v>
      </c>
      <c r="O198" s="114">
        <v>0</v>
      </c>
      <c r="P198" s="113">
        <v>0</v>
      </c>
      <c r="Q198" s="114">
        <v>0</v>
      </c>
      <c r="R198" s="113">
        <v>0</v>
      </c>
      <c r="S198" s="114">
        <v>0</v>
      </c>
      <c r="T198" s="113">
        <v>0</v>
      </c>
      <c r="U198" s="115">
        <v>0</v>
      </c>
      <c r="V198" t="str">
        <f>VLOOKUP(A198,Projetos_Ciclo!$H$3:$H$315,1,FALSE)</f>
        <v>TI06718</v>
      </c>
    </row>
    <row r="199" spans="1:22" x14ac:dyDescent="0.25">
      <c r="A199" s="14" t="s">
        <v>1710</v>
      </c>
      <c r="B199" s="116" t="s">
        <v>1706</v>
      </c>
      <c r="C199" s="116" t="s">
        <v>1711</v>
      </c>
      <c r="D199" s="117">
        <v>0</v>
      </c>
      <c r="E199" s="120">
        <v>0</v>
      </c>
      <c r="F199" s="117">
        <v>0</v>
      </c>
      <c r="G199" s="120">
        <v>99</v>
      </c>
      <c r="H199" s="117">
        <v>0</v>
      </c>
      <c r="I199" s="120">
        <v>0</v>
      </c>
      <c r="J199" s="117">
        <v>0</v>
      </c>
      <c r="K199" s="120">
        <v>0</v>
      </c>
      <c r="L199" s="117">
        <v>99.022499084472656</v>
      </c>
      <c r="M199" s="120">
        <v>99.022499084472656</v>
      </c>
      <c r="N199" s="117">
        <v>0</v>
      </c>
      <c r="O199" s="120">
        <v>0</v>
      </c>
      <c r="P199" s="117">
        <v>0</v>
      </c>
      <c r="Q199" s="120">
        <v>0</v>
      </c>
      <c r="R199" s="117">
        <v>0</v>
      </c>
      <c r="S199" s="120">
        <v>0</v>
      </c>
      <c r="T199" s="117">
        <v>0</v>
      </c>
      <c r="U199" s="119">
        <v>0</v>
      </c>
      <c r="V199" t="str">
        <f>VLOOKUP(A199,Projetos_Ciclo!$H$3:$H$315,1,FALSE)</f>
        <v>TI07018</v>
      </c>
    </row>
    <row r="200" spans="1:22" x14ac:dyDescent="0.25">
      <c r="A200" s="111" t="s">
        <v>1818</v>
      </c>
      <c r="B200" s="112" t="s">
        <v>1819</v>
      </c>
      <c r="C200" s="112" t="s">
        <v>1820</v>
      </c>
      <c r="D200" s="113">
        <v>0</v>
      </c>
      <c r="E200" s="114">
        <v>0</v>
      </c>
      <c r="F200" s="113">
        <v>0</v>
      </c>
      <c r="G200" s="114">
        <v>69</v>
      </c>
      <c r="H200" s="113">
        <v>0</v>
      </c>
      <c r="I200" s="114">
        <v>0</v>
      </c>
      <c r="J200" s="113">
        <v>0</v>
      </c>
      <c r="K200" s="114">
        <v>0</v>
      </c>
      <c r="L200" s="113">
        <v>0</v>
      </c>
      <c r="M200" s="114">
        <v>0</v>
      </c>
      <c r="N200" s="113">
        <v>0</v>
      </c>
      <c r="O200" s="114">
        <v>0</v>
      </c>
      <c r="P200" s="113">
        <v>0</v>
      </c>
      <c r="Q200" s="114">
        <v>0</v>
      </c>
      <c r="R200" s="113">
        <v>0</v>
      </c>
      <c r="S200" s="114">
        <v>0</v>
      </c>
      <c r="T200" s="113">
        <v>0</v>
      </c>
      <c r="U200" s="115">
        <v>0</v>
      </c>
      <c r="V200" t="str">
        <f>VLOOKUP(A200,Projetos_Ciclo!$H$3:$H$315,1,FALSE)</f>
        <v>TI07418</v>
      </c>
    </row>
    <row r="201" spans="1:22" x14ac:dyDescent="0.25">
      <c r="A201" s="14" t="s">
        <v>1821</v>
      </c>
      <c r="B201" s="116" t="s">
        <v>1822</v>
      </c>
      <c r="C201" s="116" t="s">
        <v>1823</v>
      </c>
      <c r="D201" s="117">
        <v>0</v>
      </c>
      <c r="E201" s="120">
        <v>0</v>
      </c>
      <c r="F201" s="117">
        <v>0</v>
      </c>
      <c r="G201" s="120">
        <v>485</v>
      </c>
      <c r="H201" s="117">
        <v>0</v>
      </c>
      <c r="I201" s="120">
        <v>0</v>
      </c>
      <c r="J201" s="117">
        <v>0</v>
      </c>
      <c r="K201" s="120">
        <v>0</v>
      </c>
      <c r="L201" s="117">
        <v>0</v>
      </c>
      <c r="M201" s="120">
        <v>0</v>
      </c>
      <c r="N201" s="117">
        <v>0</v>
      </c>
      <c r="O201" s="120">
        <v>0</v>
      </c>
      <c r="P201" s="117">
        <v>0</v>
      </c>
      <c r="Q201" s="120">
        <v>0</v>
      </c>
      <c r="R201" s="117">
        <v>0</v>
      </c>
      <c r="S201" s="120">
        <v>0</v>
      </c>
      <c r="T201" s="117">
        <v>0</v>
      </c>
      <c r="U201" s="119">
        <v>0</v>
      </c>
      <c r="V201" t="str">
        <f>VLOOKUP(A201,Projetos_Ciclo!$H$3:$H$315,1,FALSE)</f>
        <v>TI07518</v>
      </c>
    </row>
    <row r="202" spans="1:22" x14ac:dyDescent="0.25">
      <c r="A202" s="111" t="s">
        <v>1849</v>
      </c>
      <c r="B202" s="112" t="s">
        <v>1850</v>
      </c>
      <c r="C202" s="112" t="s">
        <v>1851</v>
      </c>
      <c r="D202" s="113">
        <v>0</v>
      </c>
      <c r="E202" s="114">
        <v>0</v>
      </c>
      <c r="F202" s="113">
        <v>0</v>
      </c>
      <c r="G202" s="114">
        <v>115</v>
      </c>
      <c r="H202" s="113">
        <v>0</v>
      </c>
      <c r="I202" s="114">
        <v>0</v>
      </c>
      <c r="J202" s="113">
        <v>0</v>
      </c>
      <c r="K202" s="114">
        <v>0</v>
      </c>
      <c r="L202" s="113">
        <v>114.364501953125</v>
      </c>
      <c r="M202" s="114">
        <v>114.364501953125</v>
      </c>
      <c r="N202" s="113">
        <v>0</v>
      </c>
      <c r="O202" s="114">
        <v>0</v>
      </c>
      <c r="P202" s="113">
        <v>0</v>
      </c>
      <c r="Q202" s="114">
        <v>0</v>
      </c>
      <c r="R202" s="113">
        <v>0</v>
      </c>
      <c r="S202" s="114">
        <v>0</v>
      </c>
      <c r="T202" s="113">
        <v>0</v>
      </c>
      <c r="U202" s="115">
        <v>0</v>
      </c>
      <c r="V202" t="str">
        <f>VLOOKUP(A202,Projetos_Ciclo!$H$3:$H$315,1,FALSE)</f>
        <v>TI08218</v>
      </c>
    </row>
    <row r="203" spans="1:22" x14ac:dyDescent="0.25">
      <c r="A203" s="14" t="s">
        <v>1879</v>
      </c>
      <c r="B203" s="116" t="s">
        <v>1899</v>
      </c>
      <c r="C203" s="116" t="s">
        <v>1900</v>
      </c>
      <c r="D203" s="117">
        <v>0</v>
      </c>
      <c r="E203" s="120">
        <v>0</v>
      </c>
      <c r="F203" s="117">
        <v>0</v>
      </c>
      <c r="G203" s="120">
        <v>50</v>
      </c>
      <c r="H203" s="117">
        <v>0</v>
      </c>
      <c r="I203" s="120">
        <v>0</v>
      </c>
      <c r="J203" s="117">
        <v>0</v>
      </c>
      <c r="K203" s="120">
        <v>0</v>
      </c>
      <c r="L203" s="117">
        <v>0</v>
      </c>
      <c r="M203" s="120">
        <v>0</v>
      </c>
      <c r="N203" s="117">
        <v>0</v>
      </c>
      <c r="O203" s="120">
        <v>0</v>
      </c>
      <c r="P203" s="117">
        <v>0</v>
      </c>
      <c r="Q203" s="120">
        <v>0</v>
      </c>
      <c r="R203" s="117">
        <v>0</v>
      </c>
      <c r="S203" s="120">
        <v>0</v>
      </c>
      <c r="T203" s="117">
        <v>0</v>
      </c>
      <c r="U203" s="119">
        <v>0</v>
      </c>
      <c r="V203" t="str">
        <f>VLOOKUP(A203,Projetos_Ciclo!$H$3:$H$315,1,FALSE)</f>
        <v>TI08318</v>
      </c>
    </row>
    <row r="204" spans="1:22" x14ac:dyDescent="0.25">
      <c r="A204" s="111" t="s">
        <v>1901</v>
      </c>
      <c r="B204" s="112" t="s">
        <v>1902</v>
      </c>
      <c r="C204" s="112" t="s">
        <v>1903</v>
      </c>
      <c r="D204" s="113">
        <v>0</v>
      </c>
      <c r="E204" s="114">
        <v>0</v>
      </c>
      <c r="F204" s="113">
        <v>0</v>
      </c>
      <c r="G204" s="114">
        <v>50</v>
      </c>
      <c r="H204" s="113">
        <v>0</v>
      </c>
      <c r="I204" s="114">
        <v>0</v>
      </c>
      <c r="J204" s="113">
        <v>0</v>
      </c>
      <c r="K204" s="114">
        <v>0</v>
      </c>
      <c r="L204" s="113">
        <v>0</v>
      </c>
      <c r="M204" s="114">
        <v>0</v>
      </c>
      <c r="N204" s="113">
        <v>0</v>
      </c>
      <c r="O204" s="114">
        <v>0</v>
      </c>
      <c r="P204" s="113">
        <v>0</v>
      </c>
      <c r="Q204" s="114">
        <v>0</v>
      </c>
      <c r="R204" s="113">
        <v>0</v>
      </c>
      <c r="S204" s="114">
        <v>0</v>
      </c>
      <c r="T204" s="113">
        <v>0</v>
      </c>
      <c r="U204" s="115">
        <v>0</v>
      </c>
      <c r="V204" t="str">
        <f>VLOOKUP(A204,Projetos_Ciclo!$H$3:$H$315,1,FALSE)</f>
        <v>TI08418</v>
      </c>
    </row>
    <row r="205" spans="1:22" x14ac:dyDescent="0.25">
      <c r="A205" s="14" t="s">
        <v>1133</v>
      </c>
      <c r="B205" s="116" t="s">
        <v>1331</v>
      </c>
      <c r="C205" s="116" t="s">
        <v>57</v>
      </c>
      <c r="D205" s="117">
        <v>0</v>
      </c>
      <c r="E205" s="120">
        <v>0</v>
      </c>
      <c r="F205" s="117">
        <v>0</v>
      </c>
      <c r="G205" s="120">
        <v>0</v>
      </c>
      <c r="H205" s="117">
        <v>0</v>
      </c>
      <c r="I205" s="120">
        <v>0</v>
      </c>
      <c r="J205" s="117">
        <v>0</v>
      </c>
      <c r="K205" s="120">
        <v>0</v>
      </c>
      <c r="L205" s="117">
        <v>0</v>
      </c>
      <c r="M205" s="120">
        <v>0</v>
      </c>
      <c r="N205" s="117">
        <v>0</v>
      </c>
      <c r="O205" s="120">
        <v>0</v>
      </c>
      <c r="P205" s="117">
        <v>0</v>
      </c>
      <c r="Q205" s="120">
        <v>0</v>
      </c>
      <c r="R205" s="117">
        <v>0</v>
      </c>
      <c r="S205" s="120">
        <v>0</v>
      </c>
      <c r="T205" s="117">
        <v>0</v>
      </c>
      <c r="U205" s="119">
        <v>0</v>
      </c>
      <c r="V205" t="e">
        <f>VLOOKUP(A205,Projetos_Ciclo!$H$3:$H$315,1,FALSE)</f>
        <v>#N/A</v>
      </c>
    </row>
    <row r="206" spans="1:22" x14ac:dyDescent="0.25">
      <c r="A206" s="111" t="s">
        <v>1135</v>
      </c>
      <c r="B206" s="112" t="s">
        <v>1136</v>
      </c>
      <c r="C206" s="112" t="s">
        <v>57</v>
      </c>
      <c r="D206" s="113">
        <v>0</v>
      </c>
      <c r="E206" s="114">
        <v>0</v>
      </c>
      <c r="F206" s="113">
        <v>0</v>
      </c>
      <c r="G206" s="114">
        <v>0</v>
      </c>
      <c r="H206" s="113">
        <v>0</v>
      </c>
      <c r="I206" s="114">
        <v>0</v>
      </c>
      <c r="J206" s="113">
        <v>0</v>
      </c>
      <c r="K206" s="114">
        <v>0</v>
      </c>
      <c r="L206" s="113">
        <v>0</v>
      </c>
      <c r="M206" s="114">
        <v>0</v>
      </c>
      <c r="N206" s="113">
        <v>0</v>
      </c>
      <c r="O206" s="114">
        <v>0</v>
      </c>
      <c r="P206" s="113">
        <v>0</v>
      </c>
      <c r="Q206" s="114">
        <v>0</v>
      </c>
      <c r="R206" s="113">
        <v>0</v>
      </c>
      <c r="S206" s="114">
        <v>0</v>
      </c>
      <c r="T206" s="113">
        <v>0</v>
      </c>
      <c r="U206" s="115">
        <v>0</v>
      </c>
      <c r="V206" t="e">
        <f>VLOOKUP(A206,Projetos_Ciclo!$H$3:$H$315,1,FALSE)</f>
        <v>#N/A</v>
      </c>
    </row>
    <row r="207" spans="1:22" x14ac:dyDescent="0.25">
      <c r="A207" s="14" t="s">
        <v>1332</v>
      </c>
      <c r="B207" s="116" t="s">
        <v>1333</v>
      </c>
      <c r="C207" s="116" t="s">
        <v>1449</v>
      </c>
      <c r="D207" s="117">
        <v>1746</v>
      </c>
      <c r="E207" s="120">
        <v>0</v>
      </c>
      <c r="F207" s="117">
        <v>90</v>
      </c>
      <c r="G207" s="120">
        <v>0</v>
      </c>
      <c r="H207" s="117">
        <v>0</v>
      </c>
      <c r="I207" s="120">
        <v>0</v>
      </c>
      <c r="J207" s="117">
        <v>0</v>
      </c>
      <c r="K207" s="120">
        <v>0</v>
      </c>
      <c r="L207" s="117">
        <v>0</v>
      </c>
      <c r="M207" s="120">
        <v>0</v>
      </c>
      <c r="N207" s="117">
        <v>1656</v>
      </c>
      <c r="O207" s="120">
        <v>0</v>
      </c>
      <c r="P207" s="117">
        <v>0</v>
      </c>
      <c r="Q207" s="120">
        <v>0</v>
      </c>
      <c r="R207" s="117">
        <v>0</v>
      </c>
      <c r="S207" s="120">
        <v>0</v>
      </c>
      <c r="T207" s="117">
        <v>0</v>
      </c>
      <c r="U207" s="119">
        <v>0</v>
      </c>
      <c r="V207" t="e">
        <f>VLOOKUP(A207,Projetos_Ciclo!$H$3:$H$315,1,FALSE)</f>
        <v>#N/A</v>
      </c>
    </row>
    <row r="208" spans="1:22" x14ac:dyDescent="0.25">
      <c r="A208" s="111" t="s">
        <v>1365</v>
      </c>
      <c r="B208" s="112" t="s">
        <v>1450</v>
      </c>
      <c r="C208" s="112" t="s">
        <v>1451</v>
      </c>
      <c r="D208" s="113">
        <v>0</v>
      </c>
      <c r="E208" s="114">
        <v>0</v>
      </c>
      <c r="F208" s="113">
        <v>0</v>
      </c>
      <c r="G208" s="114">
        <v>0</v>
      </c>
      <c r="H208" s="113">
        <v>0</v>
      </c>
      <c r="I208" s="114">
        <v>0</v>
      </c>
      <c r="J208" s="113">
        <v>0</v>
      </c>
      <c r="K208" s="114">
        <v>0</v>
      </c>
      <c r="L208" s="113">
        <v>0</v>
      </c>
      <c r="M208" s="114">
        <v>0</v>
      </c>
      <c r="N208" s="113">
        <v>0</v>
      </c>
      <c r="O208" s="114">
        <v>0</v>
      </c>
      <c r="P208" s="113">
        <v>0</v>
      </c>
      <c r="Q208" s="114">
        <v>0</v>
      </c>
      <c r="R208" s="113">
        <v>0</v>
      </c>
      <c r="S208" s="114">
        <v>0</v>
      </c>
      <c r="T208" s="113">
        <v>0</v>
      </c>
      <c r="U208" s="115">
        <v>0</v>
      </c>
      <c r="V208" t="str">
        <f>VLOOKUP(A208,Projetos_Ciclo!$H$3:$H$315,1,FALSE)</f>
        <v>MD00218</v>
      </c>
    </row>
    <row r="209" spans="1:22" x14ac:dyDescent="0.25">
      <c r="A209" s="14" t="s">
        <v>520</v>
      </c>
      <c r="B209" s="116" t="s">
        <v>1137</v>
      </c>
      <c r="C209" s="116" t="s">
        <v>57</v>
      </c>
      <c r="D209" s="117">
        <v>3710</v>
      </c>
      <c r="E209" s="120">
        <v>0</v>
      </c>
      <c r="F209" s="117">
        <v>0</v>
      </c>
      <c r="G209" s="120">
        <v>0</v>
      </c>
      <c r="H209" s="117">
        <v>0</v>
      </c>
      <c r="I209" s="120">
        <v>0</v>
      </c>
      <c r="J209" s="117">
        <v>0</v>
      </c>
      <c r="K209" s="120">
        <v>0</v>
      </c>
      <c r="L209" s="117">
        <v>0</v>
      </c>
      <c r="M209" s="120">
        <v>0</v>
      </c>
      <c r="N209" s="117">
        <v>208</v>
      </c>
      <c r="O209" s="120">
        <v>2982</v>
      </c>
      <c r="P209" s="117">
        <v>350</v>
      </c>
      <c r="Q209" s="120">
        <v>170</v>
      </c>
      <c r="R209" s="117">
        <v>0</v>
      </c>
      <c r="S209" s="120">
        <v>0</v>
      </c>
      <c r="T209" s="117">
        <v>0</v>
      </c>
      <c r="U209" s="119">
        <v>0</v>
      </c>
      <c r="V209" t="str">
        <f>VLOOKUP(A209,Projetos_Ciclo!$H$3:$H$315,1,FALSE)</f>
        <v>NA</v>
      </c>
    </row>
    <row r="210" spans="1:22" x14ac:dyDescent="0.25">
      <c r="A210" s="111" t="s">
        <v>1138</v>
      </c>
      <c r="B210" s="112" t="s">
        <v>1139</v>
      </c>
      <c r="C210" s="112" t="s">
        <v>57</v>
      </c>
      <c r="D210" s="113">
        <v>3092</v>
      </c>
      <c r="E210" s="114">
        <v>0</v>
      </c>
      <c r="F210" s="113">
        <v>0</v>
      </c>
      <c r="G210" s="114">
        <v>0</v>
      </c>
      <c r="H210" s="113">
        <v>0</v>
      </c>
      <c r="I210" s="114">
        <v>0</v>
      </c>
      <c r="J210" s="113">
        <v>0</v>
      </c>
      <c r="K210" s="114">
        <v>0</v>
      </c>
      <c r="L210" s="113">
        <v>0</v>
      </c>
      <c r="M210" s="114">
        <v>0</v>
      </c>
      <c r="N210" s="113">
        <v>0</v>
      </c>
      <c r="O210" s="114">
        <v>0</v>
      </c>
      <c r="P210" s="113">
        <v>0</v>
      </c>
      <c r="Q210" s="114">
        <v>0</v>
      </c>
      <c r="R210" s="113">
        <v>0</v>
      </c>
      <c r="S210" s="114">
        <v>0</v>
      </c>
      <c r="T210" s="113">
        <v>0</v>
      </c>
      <c r="U210" s="115">
        <v>0</v>
      </c>
      <c r="V210" t="e">
        <f>VLOOKUP(A210,Projetos_Ciclo!$H$3:$H$315,1,FALSE)</f>
        <v>#N/A</v>
      </c>
    </row>
    <row r="211" spans="1:22" x14ac:dyDescent="0.25">
      <c r="A211" s="14" t="s">
        <v>1133</v>
      </c>
      <c r="B211" s="116" t="s">
        <v>1254</v>
      </c>
      <c r="C211" s="116" t="s">
        <v>57</v>
      </c>
      <c r="D211" s="117">
        <v>0</v>
      </c>
      <c r="E211" s="120">
        <v>0</v>
      </c>
      <c r="F211" s="117">
        <v>0</v>
      </c>
      <c r="G211" s="120">
        <v>0</v>
      </c>
      <c r="H211" s="117">
        <v>0</v>
      </c>
      <c r="I211" s="120">
        <v>0</v>
      </c>
      <c r="J211" s="117">
        <v>0</v>
      </c>
      <c r="K211" s="120">
        <v>0</v>
      </c>
      <c r="L211" s="117">
        <v>0</v>
      </c>
      <c r="M211" s="120">
        <v>0</v>
      </c>
      <c r="N211" s="117">
        <v>0</v>
      </c>
      <c r="O211" s="120">
        <v>0</v>
      </c>
      <c r="P211" s="117">
        <v>0</v>
      </c>
      <c r="Q211" s="120">
        <v>0</v>
      </c>
      <c r="R211" s="117">
        <v>0</v>
      </c>
      <c r="S211" s="120">
        <v>0</v>
      </c>
      <c r="T211" s="117">
        <v>0</v>
      </c>
      <c r="U211" s="119">
        <v>0</v>
      </c>
      <c r="V211" t="e">
        <f>VLOOKUP(A211,Projetos_Ciclo!$H$3:$H$315,1,FALSE)</f>
        <v>#N/A</v>
      </c>
    </row>
    <row r="212" spans="1:22" x14ac:dyDescent="0.25">
      <c r="A212" s="111" t="s">
        <v>1135</v>
      </c>
      <c r="B212" s="112" t="s">
        <v>1136</v>
      </c>
      <c r="C212" s="112" t="s">
        <v>57</v>
      </c>
      <c r="D212" s="113">
        <v>0</v>
      </c>
      <c r="E212" s="114">
        <v>0</v>
      </c>
      <c r="F212" s="113">
        <v>0</v>
      </c>
      <c r="G212" s="114">
        <v>0</v>
      </c>
      <c r="H212" s="113">
        <v>0</v>
      </c>
      <c r="I212" s="114">
        <v>0</v>
      </c>
      <c r="J212" s="113">
        <v>0</v>
      </c>
      <c r="K212" s="114">
        <v>0</v>
      </c>
      <c r="L212" s="113">
        <v>0</v>
      </c>
      <c r="M212" s="114">
        <v>0</v>
      </c>
      <c r="N212" s="113">
        <v>0</v>
      </c>
      <c r="O212" s="114">
        <v>0</v>
      </c>
      <c r="P212" s="113">
        <v>0</v>
      </c>
      <c r="Q212" s="114">
        <v>0</v>
      </c>
      <c r="R212" s="113">
        <v>0</v>
      </c>
      <c r="S212" s="114">
        <v>0</v>
      </c>
      <c r="T212" s="113">
        <v>0</v>
      </c>
      <c r="U212" s="115">
        <v>0</v>
      </c>
      <c r="V212" t="e">
        <f>VLOOKUP(A212,Projetos_Ciclo!$H$3:$H$315,1,FALSE)</f>
        <v>#N/A</v>
      </c>
    </row>
    <row r="213" spans="1:22" x14ac:dyDescent="0.25">
      <c r="A213" s="14" t="s">
        <v>520</v>
      </c>
      <c r="B213" s="116" t="s">
        <v>1335</v>
      </c>
      <c r="C213" s="116" t="s">
        <v>57</v>
      </c>
      <c r="D213" s="117">
        <v>625</v>
      </c>
      <c r="E213" s="120">
        <v>0</v>
      </c>
      <c r="F213" s="117">
        <v>0</v>
      </c>
      <c r="G213" s="120">
        <v>0</v>
      </c>
      <c r="H213" s="117">
        <v>0</v>
      </c>
      <c r="I213" s="120">
        <v>0</v>
      </c>
      <c r="J213" s="117">
        <v>0</v>
      </c>
      <c r="K213" s="120">
        <v>0</v>
      </c>
      <c r="L213" s="117">
        <v>0</v>
      </c>
      <c r="M213" s="120">
        <v>0</v>
      </c>
      <c r="N213" s="117">
        <v>75</v>
      </c>
      <c r="O213" s="120">
        <v>150</v>
      </c>
      <c r="P213" s="117">
        <v>150</v>
      </c>
      <c r="Q213" s="120">
        <v>250</v>
      </c>
      <c r="R213" s="117">
        <v>0</v>
      </c>
      <c r="S213" s="120">
        <v>0</v>
      </c>
      <c r="T213" s="117">
        <v>0</v>
      </c>
      <c r="U213" s="119">
        <v>0</v>
      </c>
      <c r="V213" t="str">
        <f>VLOOKUP(A213,Projetos_Ciclo!$H$3:$H$315,1,FALSE)</f>
        <v>NA</v>
      </c>
    </row>
    <row r="214" spans="1:22" x14ac:dyDescent="0.25">
      <c r="A214" s="111" t="s">
        <v>1138</v>
      </c>
      <c r="B214" s="112" t="s">
        <v>1139</v>
      </c>
      <c r="C214" s="112" t="s">
        <v>57</v>
      </c>
      <c r="D214" s="113">
        <v>0</v>
      </c>
      <c r="E214" s="114">
        <v>0</v>
      </c>
      <c r="F214" s="113">
        <v>0</v>
      </c>
      <c r="G214" s="114">
        <v>0</v>
      </c>
      <c r="H214" s="113">
        <v>0</v>
      </c>
      <c r="I214" s="114">
        <v>0</v>
      </c>
      <c r="J214" s="113">
        <v>0</v>
      </c>
      <c r="K214" s="114">
        <v>0</v>
      </c>
      <c r="L214" s="113">
        <v>0</v>
      </c>
      <c r="M214" s="114">
        <v>0</v>
      </c>
      <c r="N214" s="113">
        <v>0</v>
      </c>
      <c r="O214" s="114">
        <v>0</v>
      </c>
      <c r="P214" s="113">
        <v>0</v>
      </c>
      <c r="Q214" s="114">
        <v>0</v>
      </c>
      <c r="R214" s="113">
        <v>0</v>
      </c>
      <c r="S214" s="114">
        <v>0</v>
      </c>
      <c r="T214" s="113">
        <v>0</v>
      </c>
      <c r="U214" s="115">
        <v>0</v>
      </c>
      <c r="V214" t="e">
        <f>VLOOKUP(A214,Projetos_Ciclo!$H$3:$H$315,1,FALSE)</f>
        <v>#N/A</v>
      </c>
    </row>
    <row r="215" spans="1:22" x14ac:dyDescent="0.25">
      <c r="A215" s="14" t="s">
        <v>1336</v>
      </c>
      <c r="B215" s="116" t="s">
        <v>1337</v>
      </c>
      <c r="C215" s="116" t="s">
        <v>1338</v>
      </c>
      <c r="D215" s="117">
        <v>75</v>
      </c>
      <c r="E215" s="120">
        <v>0</v>
      </c>
      <c r="F215" s="117">
        <v>75</v>
      </c>
      <c r="G215" s="120">
        <v>0</v>
      </c>
      <c r="H215" s="117">
        <v>0</v>
      </c>
      <c r="I215" s="120">
        <v>0</v>
      </c>
      <c r="J215" s="117">
        <v>0</v>
      </c>
      <c r="K215" s="120">
        <v>0</v>
      </c>
      <c r="L215" s="117">
        <v>0</v>
      </c>
      <c r="M215" s="120">
        <v>0</v>
      </c>
      <c r="N215" s="117">
        <v>0</v>
      </c>
      <c r="O215" s="120">
        <v>0</v>
      </c>
      <c r="P215" s="117">
        <v>0</v>
      </c>
      <c r="Q215" s="120">
        <v>0</v>
      </c>
      <c r="R215" s="117">
        <v>0</v>
      </c>
      <c r="S215" s="120">
        <v>0</v>
      </c>
      <c r="T215" s="117">
        <v>0</v>
      </c>
      <c r="U215" s="119">
        <v>0</v>
      </c>
      <c r="V215" t="e">
        <f>VLOOKUP(A215,Projetos_Ciclo!$H$3:$H$315,1,FALSE)</f>
        <v>#N/A</v>
      </c>
    </row>
    <row r="216" spans="1:22" x14ac:dyDescent="0.25">
      <c r="A216" s="111" t="s">
        <v>1421</v>
      </c>
      <c r="B216" s="112" t="s">
        <v>1402</v>
      </c>
      <c r="C216" s="112" t="s">
        <v>1422</v>
      </c>
      <c r="D216" s="113">
        <v>0</v>
      </c>
      <c r="E216" s="114">
        <v>0</v>
      </c>
      <c r="F216" s="113">
        <v>0</v>
      </c>
      <c r="G216" s="114">
        <v>75</v>
      </c>
      <c r="H216" s="113">
        <v>0</v>
      </c>
      <c r="I216" s="114">
        <v>0</v>
      </c>
      <c r="J216" s="113">
        <v>0</v>
      </c>
      <c r="K216" s="114">
        <v>0</v>
      </c>
      <c r="L216" s="113">
        <v>0</v>
      </c>
      <c r="M216" s="114">
        <v>0</v>
      </c>
      <c r="N216" s="113">
        <v>0</v>
      </c>
      <c r="O216" s="114">
        <v>0</v>
      </c>
      <c r="P216" s="113">
        <v>0</v>
      </c>
      <c r="Q216" s="114">
        <v>0</v>
      </c>
      <c r="R216" s="113">
        <v>0</v>
      </c>
      <c r="S216" s="114">
        <v>0</v>
      </c>
      <c r="T216" s="113">
        <v>0</v>
      </c>
      <c r="U216" s="115">
        <v>0</v>
      </c>
      <c r="V216" t="str">
        <f>VLOOKUP(A216,Projetos_Ciclo!$H$3:$H$315,1,FALSE)</f>
        <v>TI04518</v>
      </c>
    </row>
    <row r="217" spans="1:22" x14ac:dyDescent="0.25">
      <c r="A217" s="14" t="s">
        <v>1133</v>
      </c>
      <c r="B217" s="116" t="s">
        <v>1339</v>
      </c>
      <c r="C217" s="116" t="s">
        <v>57</v>
      </c>
      <c r="D217" s="117">
        <v>0</v>
      </c>
      <c r="E217" s="120">
        <v>0</v>
      </c>
      <c r="F217" s="117">
        <v>0</v>
      </c>
      <c r="G217" s="120">
        <v>0</v>
      </c>
      <c r="H217" s="117">
        <v>0</v>
      </c>
      <c r="I217" s="120">
        <v>0</v>
      </c>
      <c r="J217" s="117">
        <v>0</v>
      </c>
      <c r="K217" s="120">
        <v>0</v>
      </c>
      <c r="L217" s="117">
        <v>0</v>
      </c>
      <c r="M217" s="120">
        <v>0</v>
      </c>
      <c r="N217" s="117">
        <v>0</v>
      </c>
      <c r="O217" s="120">
        <v>0</v>
      </c>
      <c r="P217" s="117">
        <v>0</v>
      </c>
      <c r="Q217" s="120">
        <v>0</v>
      </c>
      <c r="R217" s="117">
        <v>0</v>
      </c>
      <c r="S217" s="120">
        <v>0</v>
      </c>
      <c r="T217" s="117">
        <v>0</v>
      </c>
      <c r="U217" s="119">
        <v>0</v>
      </c>
      <c r="V217" t="e">
        <f>VLOOKUP(A217,Projetos_Ciclo!$H$3:$H$315,1,FALSE)</f>
        <v>#N/A</v>
      </c>
    </row>
    <row r="218" spans="1:22" x14ac:dyDescent="0.25">
      <c r="A218" s="111" t="s">
        <v>1135</v>
      </c>
      <c r="B218" s="112" t="s">
        <v>1136</v>
      </c>
      <c r="C218" s="112" t="s">
        <v>57</v>
      </c>
      <c r="D218" s="113">
        <v>0</v>
      </c>
      <c r="E218" s="114">
        <v>0</v>
      </c>
      <c r="F218" s="113">
        <v>0</v>
      </c>
      <c r="G218" s="114">
        <v>0</v>
      </c>
      <c r="H218" s="113">
        <v>0</v>
      </c>
      <c r="I218" s="114">
        <v>0</v>
      </c>
      <c r="J218" s="113">
        <v>0</v>
      </c>
      <c r="K218" s="114">
        <v>0</v>
      </c>
      <c r="L218" s="113">
        <v>0</v>
      </c>
      <c r="M218" s="114">
        <v>0</v>
      </c>
      <c r="N218" s="113">
        <v>0</v>
      </c>
      <c r="O218" s="114">
        <v>0</v>
      </c>
      <c r="P218" s="113">
        <v>0</v>
      </c>
      <c r="Q218" s="114">
        <v>0</v>
      </c>
      <c r="R218" s="113">
        <v>0</v>
      </c>
      <c r="S218" s="114">
        <v>0</v>
      </c>
      <c r="T218" s="113">
        <v>0</v>
      </c>
      <c r="U218" s="115">
        <v>0</v>
      </c>
      <c r="V218" t="e">
        <f>VLOOKUP(A218,Projetos_Ciclo!$H$3:$H$315,1,FALSE)</f>
        <v>#N/A</v>
      </c>
    </row>
    <row r="219" spans="1:22" x14ac:dyDescent="0.25">
      <c r="A219" s="14" t="s">
        <v>520</v>
      </c>
      <c r="B219" s="116" t="s">
        <v>1340</v>
      </c>
      <c r="C219" s="116" t="s">
        <v>57</v>
      </c>
      <c r="D219" s="117">
        <v>571</v>
      </c>
      <c r="E219" s="120">
        <v>0</v>
      </c>
      <c r="F219" s="117">
        <v>0</v>
      </c>
      <c r="G219" s="120">
        <v>0</v>
      </c>
      <c r="H219" s="117">
        <v>0</v>
      </c>
      <c r="I219" s="120">
        <v>0</v>
      </c>
      <c r="J219" s="117">
        <v>0</v>
      </c>
      <c r="K219" s="120">
        <v>0</v>
      </c>
      <c r="L219" s="117">
        <v>0</v>
      </c>
      <c r="M219" s="120">
        <v>0</v>
      </c>
      <c r="N219" s="117">
        <v>135</v>
      </c>
      <c r="O219" s="120">
        <v>136</v>
      </c>
      <c r="P219" s="117">
        <v>150</v>
      </c>
      <c r="Q219" s="120">
        <v>150</v>
      </c>
      <c r="R219" s="117">
        <v>0</v>
      </c>
      <c r="S219" s="120">
        <v>0</v>
      </c>
      <c r="T219" s="117">
        <v>0</v>
      </c>
      <c r="U219" s="119">
        <v>0</v>
      </c>
      <c r="V219" t="str">
        <f>VLOOKUP(A219,Projetos_Ciclo!$H$3:$H$315,1,FALSE)</f>
        <v>NA</v>
      </c>
    </row>
    <row r="220" spans="1:22" x14ac:dyDescent="0.25">
      <c r="A220" s="111" t="s">
        <v>1138</v>
      </c>
      <c r="B220" s="112" t="s">
        <v>1139</v>
      </c>
      <c r="C220" s="112" t="s">
        <v>57</v>
      </c>
      <c r="D220" s="113">
        <v>0</v>
      </c>
      <c r="E220" s="114">
        <v>0</v>
      </c>
      <c r="F220" s="113">
        <v>0</v>
      </c>
      <c r="G220" s="114">
        <v>0</v>
      </c>
      <c r="H220" s="113">
        <v>0</v>
      </c>
      <c r="I220" s="114">
        <v>0</v>
      </c>
      <c r="J220" s="113">
        <v>0</v>
      </c>
      <c r="K220" s="114">
        <v>0</v>
      </c>
      <c r="L220" s="113">
        <v>0</v>
      </c>
      <c r="M220" s="114">
        <v>0</v>
      </c>
      <c r="N220" s="113">
        <v>0</v>
      </c>
      <c r="O220" s="114">
        <v>0</v>
      </c>
      <c r="P220" s="113">
        <v>0</v>
      </c>
      <c r="Q220" s="114">
        <v>0</v>
      </c>
      <c r="R220" s="113">
        <v>0</v>
      </c>
      <c r="S220" s="114">
        <v>0</v>
      </c>
      <c r="T220" s="113">
        <v>0</v>
      </c>
      <c r="U220" s="115">
        <v>0</v>
      </c>
      <c r="V220" t="e">
        <f>VLOOKUP(A220,Projetos_Ciclo!$H$3:$H$315,1,FALSE)</f>
        <v>#N/A</v>
      </c>
    </row>
    <row r="221" spans="1:22" x14ac:dyDescent="0.25">
      <c r="A221" s="14" t="s">
        <v>745</v>
      </c>
      <c r="B221" s="116" t="s">
        <v>1344</v>
      </c>
      <c r="C221" s="116" t="s">
        <v>1345</v>
      </c>
      <c r="D221" s="117">
        <v>0</v>
      </c>
      <c r="E221" s="120">
        <v>0</v>
      </c>
      <c r="F221" s="117">
        <v>0</v>
      </c>
      <c r="G221" s="120">
        <v>8</v>
      </c>
      <c r="H221" s="117">
        <v>0</v>
      </c>
      <c r="I221" s="120">
        <v>7.6050000190734863</v>
      </c>
      <c r="J221" s="117">
        <v>0</v>
      </c>
      <c r="K221" s="120">
        <v>7.6050000190734863</v>
      </c>
      <c r="L221" s="117">
        <v>0</v>
      </c>
      <c r="M221" s="120">
        <v>7.6050000190734863</v>
      </c>
      <c r="N221" s="117">
        <v>0</v>
      </c>
      <c r="O221" s="120">
        <v>0</v>
      </c>
      <c r="P221" s="117">
        <v>0</v>
      </c>
      <c r="Q221" s="120">
        <v>0</v>
      </c>
      <c r="R221" s="117">
        <v>0</v>
      </c>
      <c r="S221" s="120">
        <v>0</v>
      </c>
      <c r="T221" s="117">
        <v>0</v>
      </c>
      <c r="U221" s="119">
        <v>0</v>
      </c>
      <c r="V221" t="str">
        <f>VLOOKUP(A221,Projetos_Ciclo!$H$3:$H$315,1,FALSE)</f>
        <v>TI01114</v>
      </c>
    </row>
    <row r="222" spans="1:22" x14ac:dyDescent="0.25">
      <c r="A222" s="111" t="s">
        <v>1336</v>
      </c>
      <c r="B222" s="112" t="s">
        <v>1346</v>
      </c>
      <c r="C222" s="112" t="s">
        <v>1347</v>
      </c>
      <c r="D222" s="113">
        <v>1318</v>
      </c>
      <c r="E222" s="114">
        <v>0</v>
      </c>
      <c r="F222" s="113">
        <v>1289</v>
      </c>
      <c r="G222" s="114">
        <v>0</v>
      </c>
      <c r="H222" s="113">
        <v>219</v>
      </c>
      <c r="I222" s="114">
        <v>0</v>
      </c>
      <c r="J222" s="113">
        <v>0</v>
      </c>
      <c r="K222" s="114">
        <v>0</v>
      </c>
      <c r="L222" s="113">
        <v>0</v>
      </c>
      <c r="M222" s="114">
        <v>0</v>
      </c>
      <c r="N222" s="113">
        <v>15</v>
      </c>
      <c r="O222" s="114">
        <v>14</v>
      </c>
      <c r="P222" s="113">
        <v>0</v>
      </c>
      <c r="Q222" s="114">
        <v>0</v>
      </c>
      <c r="R222" s="113">
        <v>0</v>
      </c>
      <c r="S222" s="114">
        <v>0</v>
      </c>
      <c r="T222" s="113">
        <v>0</v>
      </c>
      <c r="U222" s="115">
        <v>0</v>
      </c>
      <c r="V222" t="e">
        <f>VLOOKUP(A222,Projetos_Ciclo!$H$3:$H$315,1,FALSE)</f>
        <v>#N/A</v>
      </c>
    </row>
    <row r="223" spans="1:22" x14ac:dyDescent="0.25">
      <c r="A223" s="14" t="s">
        <v>1712</v>
      </c>
      <c r="B223" s="116" t="s">
        <v>1706</v>
      </c>
      <c r="C223" s="116" t="s">
        <v>1713</v>
      </c>
      <c r="D223" s="117">
        <v>0</v>
      </c>
      <c r="E223" s="120">
        <v>0</v>
      </c>
      <c r="F223" s="117">
        <v>0</v>
      </c>
      <c r="G223" s="120">
        <v>15</v>
      </c>
      <c r="H223" s="117">
        <v>0</v>
      </c>
      <c r="I223" s="120">
        <v>0</v>
      </c>
      <c r="J223" s="117">
        <v>0</v>
      </c>
      <c r="K223" s="120">
        <v>0</v>
      </c>
      <c r="L223" s="117">
        <v>14.723099708557129</v>
      </c>
      <c r="M223" s="120">
        <v>14.723099708557129</v>
      </c>
      <c r="N223" s="117">
        <v>0</v>
      </c>
      <c r="O223" s="120">
        <v>0</v>
      </c>
      <c r="P223" s="117">
        <v>0</v>
      </c>
      <c r="Q223" s="120">
        <v>0</v>
      </c>
      <c r="R223" s="117">
        <v>0</v>
      </c>
      <c r="S223" s="120">
        <v>0</v>
      </c>
      <c r="T223" s="117">
        <v>0</v>
      </c>
      <c r="U223" s="119">
        <v>0</v>
      </c>
      <c r="V223" t="str">
        <f>VLOOKUP(A223,Projetos_Ciclo!$H$3:$H$315,1,FALSE)</f>
        <v>TI07118</v>
      </c>
    </row>
    <row r="224" spans="1:22" x14ac:dyDescent="0.25">
      <c r="A224" s="111" t="s">
        <v>1824</v>
      </c>
      <c r="B224" s="112" t="s">
        <v>1796</v>
      </c>
      <c r="C224" s="112" t="s">
        <v>1825</v>
      </c>
      <c r="D224" s="113">
        <v>0</v>
      </c>
      <c r="E224" s="114">
        <v>0</v>
      </c>
      <c r="F224" s="113">
        <v>0</v>
      </c>
      <c r="G224" s="114">
        <v>55</v>
      </c>
      <c r="H224" s="113">
        <v>0</v>
      </c>
      <c r="I224" s="114">
        <v>0</v>
      </c>
      <c r="J224" s="113">
        <v>0</v>
      </c>
      <c r="K224" s="114">
        <v>0</v>
      </c>
      <c r="L224" s="113">
        <v>0</v>
      </c>
      <c r="M224" s="114">
        <v>0</v>
      </c>
      <c r="N224" s="113">
        <v>0</v>
      </c>
      <c r="O224" s="114">
        <v>0</v>
      </c>
      <c r="P224" s="113">
        <v>0</v>
      </c>
      <c r="Q224" s="114">
        <v>0</v>
      </c>
      <c r="R224" s="113">
        <v>0</v>
      </c>
      <c r="S224" s="114">
        <v>0</v>
      </c>
      <c r="T224" s="113">
        <v>0</v>
      </c>
      <c r="U224" s="115">
        <v>0</v>
      </c>
      <c r="V224" t="e">
        <f>VLOOKUP(A224,Projetos_Ciclo!$H$3:$H$315,1,FALSE)</f>
        <v>#N/A</v>
      </c>
    </row>
    <row r="225" spans="4:21" x14ac:dyDescent="0.25">
      <c r="D225" s="160">
        <f>SUM(D4:D224)</f>
        <v>356727.6</v>
      </c>
      <c r="E225" s="160">
        <f t="shared" ref="E225:U225" si="0">SUM(E4:E224)</f>
        <v>0</v>
      </c>
      <c r="F225" s="160">
        <f t="shared" si="0"/>
        <v>76148</v>
      </c>
      <c r="G225" s="160">
        <f t="shared" si="0"/>
        <v>59045</v>
      </c>
      <c r="H225" s="160">
        <f t="shared" si="0"/>
        <v>13470</v>
      </c>
      <c r="I225" s="160">
        <f t="shared" si="0"/>
        <v>13438.201662898064</v>
      </c>
      <c r="J225" s="160">
        <f t="shared" si="0"/>
        <v>0</v>
      </c>
      <c r="K225" s="160">
        <f t="shared" si="0"/>
        <v>13438.201662898064</v>
      </c>
      <c r="L225" s="160">
        <f t="shared" si="0"/>
        <v>28205.591063886881</v>
      </c>
      <c r="M225" s="160">
        <f t="shared" si="0"/>
        <v>41643.792726784945</v>
      </c>
      <c r="N225" s="160">
        <f t="shared" si="0"/>
        <v>89792</v>
      </c>
      <c r="O225" s="160">
        <f t="shared" si="0"/>
        <v>81660</v>
      </c>
      <c r="P225" s="160">
        <f t="shared" si="0"/>
        <v>54136</v>
      </c>
      <c r="Q225" s="160">
        <f t="shared" si="0"/>
        <v>47400</v>
      </c>
      <c r="R225" s="160">
        <f t="shared" si="0"/>
        <v>0</v>
      </c>
      <c r="S225" s="160">
        <f t="shared" si="0"/>
        <v>0</v>
      </c>
      <c r="T225" s="160">
        <f t="shared" si="0"/>
        <v>0</v>
      </c>
      <c r="U225" s="160">
        <f t="shared" si="0"/>
        <v>0</v>
      </c>
    </row>
    <row r="229" spans="4:21" ht="13.5" customHeight="1" x14ac:dyDescent="0.25"/>
  </sheetData>
  <autoFilter ref="A2:V219"/>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9"/>
  <sheetViews>
    <sheetView showGridLines="0" workbookViewId="0">
      <pane ySplit="3" topLeftCell="A4" activePane="bottomLeft" state="frozen"/>
      <selection pane="bottomLeft" activeCell="G151" sqref="G151"/>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468" t="s">
        <v>1348</v>
      </c>
      <c r="B2" s="468" t="s">
        <v>1349</v>
      </c>
      <c r="C2" s="468" t="s">
        <v>1350</v>
      </c>
      <c r="D2" s="470" t="s">
        <v>1351</v>
      </c>
      <c r="E2" s="291" t="s">
        <v>1352</v>
      </c>
      <c r="F2" s="122"/>
      <c r="G2" s="123"/>
      <c r="H2" s="122"/>
      <c r="I2" s="124" t="s">
        <v>1353</v>
      </c>
      <c r="J2" s="125">
        <f>[2]Capa!$K$3</f>
        <v>43251</v>
      </c>
      <c r="K2" s="124"/>
      <c r="L2" s="124"/>
      <c r="M2" s="126"/>
      <c r="N2" s="127"/>
      <c r="O2" s="124"/>
      <c r="P2" s="124" t="s">
        <v>1354</v>
      </c>
      <c r="Q2" s="124"/>
      <c r="R2" s="124"/>
      <c r="S2" s="124"/>
      <c r="T2" s="124"/>
      <c r="U2" s="128"/>
    </row>
    <row r="3" spans="1:21"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1"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row>
    <row r="5" spans="1:21"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row>
    <row r="6" spans="1:21" x14ac:dyDescent="0.25">
      <c r="A6" s="111" t="s">
        <v>520</v>
      </c>
      <c r="B6" s="112" t="s">
        <v>1137</v>
      </c>
      <c r="C6" s="112" t="s">
        <v>57</v>
      </c>
      <c r="D6" s="113">
        <v>0</v>
      </c>
      <c r="E6" s="114">
        <v>0</v>
      </c>
      <c r="F6" s="113">
        <v>0</v>
      </c>
      <c r="G6" s="114">
        <v>0</v>
      </c>
      <c r="H6" s="113">
        <v>0</v>
      </c>
      <c r="I6" s="114">
        <v>0</v>
      </c>
      <c r="J6" s="113">
        <v>0</v>
      </c>
      <c r="K6" s="114">
        <v>0</v>
      </c>
      <c r="L6" s="113">
        <v>0</v>
      </c>
      <c r="M6" s="114">
        <v>0</v>
      </c>
      <c r="N6" s="113">
        <v>0</v>
      </c>
      <c r="O6" s="114">
        <v>0</v>
      </c>
      <c r="P6" s="113">
        <v>0</v>
      </c>
      <c r="Q6" s="114">
        <v>0</v>
      </c>
      <c r="R6" s="113">
        <v>0</v>
      </c>
      <c r="S6" s="114">
        <v>0</v>
      </c>
      <c r="T6" s="113">
        <v>0</v>
      </c>
      <c r="U6" s="115">
        <v>0</v>
      </c>
    </row>
    <row r="7" spans="1:21" x14ac:dyDescent="0.25">
      <c r="A7" s="14" t="s">
        <v>1138</v>
      </c>
      <c r="B7" s="116" t="s">
        <v>1139</v>
      </c>
      <c r="C7" s="116" t="s">
        <v>57</v>
      </c>
      <c r="D7" s="117">
        <v>0</v>
      </c>
      <c r="E7" s="120">
        <v>0</v>
      </c>
      <c r="F7" s="117">
        <v>0</v>
      </c>
      <c r="G7" s="120">
        <v>0</v>
      </c>
      <c r="H7" s="117">
        <v>0</v>
      </c>
      <c r="I7" s="120">
        <v>0</v>
      </c>
      <c r="J7" s="117">
        <v>0</v>
      </c>
      <c r="K7" s="120">
        <v>0</v>
      </c>
      <c r="L7" s="117">
        <v>0</v>
      </c>
      <c r="M7" s="120">
        <v>0</v>
      </c>
      <c r="N7" s="117">
        <v>0</v>
      </c>
      <c r="O7" s="120">
        <v>0</v>
      </c>
      <c r="P7" s="117">
        <v>0</v>
      </c>
      <c r="Q7" s="120">
        <v>0</v>
      </c>
      <c r="R7" s="117">
        <v>0</v>
      </c>
      <c r="S7" s="120">
        <v>0</v>
      </c>
      <c r="T7" s="117">
        <v>0</v>
      </c>
      <c r="U7" s="119">
        <v>0</v>
      </c>
    </row>
    <row r="8" spans="1:21" x14ac:dyDescent="0.25">
      <c r="A8" s="111" t="s">
        <v>1133</v>
      </c>
      <c r="B8" s="112" t="s">
        <v>1140</v>
      </c>
      <c r="C8" s="112" t="s">
        <v>57</v>
      </c>
      <c r="D8" s="113">
        <v>0</v>
      </c>
      <c r="E8" s="114">
        <v>0</v>
      </c>
      <c r="F8" s="113">
        <v>0</v>
      </c>
      <c r="G8" s="114">
        <v>0</v>
      </c>
      <c r="H8" s="113">
        <v>0</v>
      </c>
      <c r="I8" s="114">
        <v>0</v>
      </c>
      <c r="J8" s="113">
        <v>0</v>
      </c>
      <c r="K8" s="114">
        <v>0</v>
      </c>
      <c r="L8" s="113">
        <v>0</v>
      </c>
      <c r="M8" s="114">
        <v>0</v>
      </c>
      <c r="N8" s="113">
        <v>0</v>
      </c>
      <c r="O8" s="114">
        <v>0</v>
      </c>
      <c r="P8" s="113">
        <v>0</v>
      </c>
      <c r="Q8" s="114">
        <v>0</v>
      </c>
      <c r="R8" s="113">
        <v>0</v>
      </c>
      <c r="S8" s="114">
        <v>0</v>
      </c>
      <c r="T8" s="113">
        <v>0</v>
      </c>
      <c r="U8" s="115">
        <v>0</v>
      </c>
    </row>
    <row r="9" spans="1:21" x14ac:dyDescent="0.25">
      <c r="A9" s="14" t="s">
        <v>1135</v>
      </c>
      <c r="B9" s="116" t="s">
        <v>1136</v>
      </c>
      <c r="C9" s="116" t="s">
        <v>57</v>
      </c>
      <c r="D9" s="117">
        <v>0</v>
      </c>
      <c r="E9" s="120">
        <v>0</v>
      </c>
      <c r="F9" s="117">
        <v>0</v>
      </c>
      <c r="G9" s="120">
        <v>0</v>
      </c>
      <c r="H9" s="117">
        <v>0</v>
      </c>
      <c r="I9" s="120">
        <v>0</v>
      </c>
      <c r="J9" s="117">
        <v>0</v>
      </c>
      <c r="K9" s="120">
        <v>0</v>
      </c>
      <c r="L9" s="117">
        <v>0</v>
      </c>
      <c r="M9" s="120">
        <v>0</v>
      </c>
      <c r="N9" s="117">
        <v>0</v>
      </c>
      <c r="O9" s="120">
        <v>0</v>
      </c>
      <c r="P9" s="117">
        <v>0</v>
      </c>
      <c r="Q9" s="120">
        <v>0</v>
      </c>
      <c r="R9" s="117">
        <v>0</v>
      </c>
      <c r="S9" s="120">
        <v>0</v>
      </c>
      <c r="T9" s="117">
        <v>0</v>
      </c>
      <c r="U9" s="119">
        <v>0</v>
      </c>
    </row>
    <row r="10" spans="1:21" x14ac:dyDescent="0.25">
      <c r="A10" s="111" t="s">
        <v>520</v>
      </c>
      <c r="B10" s="112" t="s">
        <v>1137</v>
      </c>
      <c r="C10" s="112" t="s">
        <v>57</v>
      </c>
      <c r="D10" s="113">
        <v>0</v>
      </c>
      <c r="E10" s="114">
        <v>0</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row>
    <row r="11" spans="1:21" x14ac:dyDescent="0.25">
      <c r="A11" s="14" t="s">
        <v>1138</v>
      </c>
      <c r="B11" s="116" t="s">
        <v>1139</v>
      </c>
      <c r="C11" s="116" t="s">
        <v>57</v>
      </c>
      <c r="D11" s="117">
        <v>0</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row>
    <row r="12" spans="1:21" x14ac:dyDescent="0.25">
      <c r="A12" s="111" t="s">
        <v>1133</v>
      </c>
      <c r="B12" s="112" t="s">
        <v>1144</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row>
    <row r="13" spans="1:21" x14ac:dyDescent="0.25">
      <c r="A13" s="14" t="s">
        <v>1135</v>
      </c>
      <c r="B13" s="116" t="s">
        <v>1136</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row>
    <row r="14" spans="1:21" x14ac:dyDescent="0.25">
      <c r="A14" s="111" t="s">
        <v>520</v>
      </c>
      <c r="B14" s="112" t="s">
        <v>1137</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row>
    <row r="15" spans="1:21" x14ac:dyDescent="0.25">
      <c r="A15" s="14" t="s">
        <v>1138</v>
      </c>
      <c r="B15" s="116" t="s">
        <v>1139</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row>
    <row r="16" spans="1:21" x14ac:dyDescent="0.25">
      <c r="A16" s="111" t="s">
        <v>1133</v>
      </c>
      <c r="B16" s="112" t="s">
        <v>1148</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row>
    <row r="17" spans="1:21" x14ac:dyDescent="0.25">
      <c r="A17" s="14" t="s">
        <v>1135</v>
      </c>
      <c r="B17" s="116" t="s">
        <v>1136</v>
      </c>
      <c r="C17" s="116" t="s">
        <v>57</v>
      </c>
      <c r="D17" s="117">
        <v>0</v>
      </c>
      <c r="E17" s="120">
        <v>0</v>
      </c>
      <c r="F17" s="117">
        <v>0</v>
      </c>
      <c r="G17" s="120">
        <v>0</v>
      </c>
      <c r="H17" s="117">
        <v>0</v>
      </c>
      <c r="I17" s="120">
        <v>0</v>
      </c>
      <c r="J17" s="117">
        <v>0</v>
      </c>
      <c r="K17" s="120">
        <v>0</v>
      </c>
      <c r="L17" s="117">
        <v>0</v>
      </c>
      <c r="M17" s="120">
        <v>0</v>
      </c>
      <c r="N17" s="117">
        <v>0</v>
      </c>
      <c r="O17" s="120">
        <v>0</v>
      </c>
      <c r="P17" s="117">
        <v>0</v>
      </c>
      <c r="Q17" s="120">
        <v>0</v>
      </c>
      <c r="R17" s="117">
        <v>0</v>
      </c>
      <c r="S17" s="120">
        <v>0</v>
      </c>
      <c r="T17" s="117">
        <v>0</v>
      </c>
      <c r="U17" s="119">
        <v>0</v>
      </c>
    </row>
    <row r="18" spans="1:21" x14ac:dyDescent="0.25">
      <c r="A18" s="111" t="s">
        <v>520</v>
      </c>
      <c r="B18" s="112" t="s">
        <v>1137</v>
      </c>
      <c r="C18" s="112" t="s">
        <v>57</v>
      </c>
      <c r="D18" s="113">
        <v>0</v>
      </c>
      <c r="E18" s="114">
        <v>0</v>
      </c>
      <c r="F18" s="113">
        <v>0</v>
      </c>
      <c r="G18" s="114">
        <v>0</v>
      </c>
      <c r="H18" s="113">
        <v>0</v>
      </c>
      <c r="I18" s="114">
        <v>0</v>
      </c>
      <c r="J18" s="113">
        <v>0</v>
      </c>
      <c r="K18" s="114">
        <v>0</v>
      </c>
      <c r="L18" s="113">
        <v>0</v>
      </c>
      <c r="M18" s="114">
        <v>0</v>
      </c>
      <c r="N18" s="113">
        <v>0</v>
      </c>
      <c r="O18" s="114">
        <v>0</v>
      </c>
      <c r="P18" s="113">
        <v>0</v>
      </c>
      <c r="Q18" s="114">
        <v>0</v>
      </c>
      <c r="R18" s="113">
        <v>0</v>
      </c>
      <c r="S18" s="114">
        <v>0</v>
      </c>
      <c r="T18" s="113">
        <v>0</v>
      </c>
      <c r="U18" s="115">
        <v>0</v>
      </c>
    </row>
    <row r="19" spans="1:21" x14ac:dyDescent="0.25">
      <c r="A19" s="14" t="s">
        <v>1138</v>
      </c>
      <c r="B19" s="116" t="s">
        <v>1139</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row>
    <row r="20" spans="1:21" x14ac:dyDescent="0.25">
      <c r="A20" s="111" t="s">
        <v>1058</v>
      </c>
      <c r="B20" s="112" t="s">
        <v>1149</v>
      </c>
      <c r="C20" s="112" t="s">
        <v>1150</v>
      </c>
      <c r="D20" s="113">
        <v>0</v>
      </c>
      <c r="E20" s="114">
        <v>0</v>
      </c>
      <c r="F20" s="113">
        <v>0</v>
      </c>
      <c r="G20" s="114">
        <v>119</v>
      </c>
      <c r="H20" s="113">
        <v>0</v>
      </c>
      <c r="I20" s="114">
        <v>0</v>
      </c>
      <c r="J20" s="113">
        <v>0</v>
      </c>
      <c r="K20" s="114">
        <v>0</v>
      </c>
      <c r="L20" s="113">
        <v>119.11103057861328</v>
      </c>
      <c r="M20" s="114">
        <v>119.11103057861328</v>
      </c>
      <c r="N20" s="113">
        <v>0</v>
      </c>
      <c r="O20" s="114">
        <v>0</v>
      </c>
      <c r="P20" s="113">
        <v>0</v>
      </c>
      <c r="Q20" s="114">
        <v>0</v>
      </c>
      <c r="R20" s="113">
        <v>0</v>
      </c>
      <c r="S20" s="114">
        <v>0</v>
      </c>
      <c r="T20" s="113">
        <v>0</v>
      </c>
      <c r="U20" s="115">
        <v>0</v>
      </c>
    </row>
    <row r="21" spans="1:21" x14ac:dyDescent="0.25">
      <c r="A21" s="14" t="s">
        <v>744</v>
      </c>
      <c r="B21" s="116" t="s">
        <v>378</v>
      </c>
      <c r="C21" s="116" t="s">
        <v>1151</v>
      </c>
      <c r="D21" s="117">
        <v>0</v>
      </c>
      <c r="E21" s="120">
        <v>0</v>
      </c>
      <c r="F21" s="117">
        <v>0</v>
      </c>
      <c r="G21" s="120">
        <v>33</v>
      </c>
      <c r="H21" s="117">
        <v>0</v>
      </c>
      <c r="I21" s="120">
        <v>33.225898742675781</v>
      </c>
      <c r="J21" s="117">
        <v>0</v>
      </c>
      <c r="K21" s="120">
        <v>33.225898742675781</v>
      </c>
      <c r="L21" s="117">
        <v>0</v>
      </c>
      <c r="M21" s="120">
        <v>33.225898742675781</v>
      </c>
      <c r="N21" s="117">
        <v>0</v>
      </c>
      <c r="O21" s="120">
        <v>0</v>
      </c>
      <c r="P21" s="117">
        <v>0</v>
      </c>
      <c r="Q21" s="120">
        <v>0</v>
      </c>
      <c r="R21" s="117">
        <v>0</v>
      </c>
      <c r="S21" s="120">
        <v>0</v>
      </c>
      <c r="T21" s="117">
        <v>0</v>
      </c>
      <c r="U21" s="119">
        <v>0</v>
      </c>
    </row>
    <row r="22" spans="1:21" x14ac:dyDescent="0.25">
      <c r="A22" s="111" t="s">
        <v>1133</v>
      </c>
      <c r="B22" s="112" t="s">
        <v>1157</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row>
    <row r="23" spans="1:21" x14ac:dyDescent="0.25">
      <c r="A23" s="14" t="s">
        <v>1135</v>
      </c>
      <c r="B23" s="116" t="s">
        <v>1136</v>
      </c>
      <c r="C23" s="116" t="s">
        <v>57</v>
      </c>
      <c r="D23" s="117">
        <v>0</v>
      </c>
      <c r="E23" s="120">
        <v>0</v>
      </c>
      <c r="F23" s="117">
        <v>0</v>
      </c>
      <c r="G23" s="120">
        <v>0</v>
      </c>
      <c r="H23" s="117">
        <v>0</v>
      </c>
      <c r="I23" s="120">
        <v>0</v>
      </c>
      <c r="J23" s="117">
        <v>0</v>
      </c>
      <c r="K23" s="120">
        <v>0</v>
      </c>
      <c r="L23" s="117">
        <v>0</v>
      </c>
      <c r="M23" s="120">
        <v>0</v>
      </c>
      <c r="N23" s="117">
        <v>0</v>
      </c>
      <c r="O23" s="120">
        <v>0</v>
      </c>
      <c r="P23" s="117">
        <v>0</v>
      </c>
      <c r="Q23" s="120">
        <v>0</v>
      </c>
      <c r="R23" s="117">
        <v>0</v>
      </c>
      <c r="S23" s="120">
        <v>0</v>
      </c>
      <c r="T23" s="117">
        <v>0</v>
      </c>
      <c r="U23" s="119">
        <v>0</v>
      </c>
    </row>
    <row r="24" spans="1:21" x14ac:dyDescent="0.25">
      <c r="A24" s="111" t="s">
        <v>520</v>
      </c>
      <c r="B24" s="112" t="s">
        <v>1137</v>
      </c>
      <c r="C24" s="112" t="s">
        <v>57</v>
      </c>
      <c r="D24" s="113">
        <v>0</v>
      </c>
      <c r="E24" s="114">
        <v>0</v>
      </c>
      <c r="F24" s="113">
        <v>0</v>
      </c>
      <c r="G24" s="114">
        <v>0</v>
      </c>
      <c r="H24" s="113">
        <v>0</v>
      </c>
      <c r="I24" s="114">
        <v>0</v>
      </c>
      <c r="J24" s="113">
        <v>0</v>
      </c>
      <c r="K24" s="114">
        <v>0</v>
      </c>
      <c r="L24" s="113">
        <v>0</v>
      </c>
      <c r="M24" s="114">
        <v>0</v>
      </c>
      <c r="N24" s="113">
        <v>0</v>
      </c>
      <c r="O24" s="114">
        <v>0</v>
      </c>
      <c r="P24" s="113">
        <v>0</v>
      </c>
      <c r="Q24" s="114">
        <v>0</v>
      </c>
      <c r="R24" s="113">
        <v>0</v>
      </c>
      <c r="S24" s="114">
        <v>0</v>
      </c>
      <c r="T24" s="113">
        <v>0</v>
      </c>
      <c r="U24" s="115">
        <v>0</v>
      </c>
    </row>
    <row r="25" spans="1:21" x14ac:dyDescent="0.25">
      <c r="A25" s="14" t="s">
        <v>1138</v>
      </c>
      <c r="B25" s="116" t="s">
        <v>1139</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row>
    <row r="26" spans="1:21" x14ac:dyDescent="0.25">
      <c r="A26" s="111" t="s">
        <v>1133</v>
      </c>
      <c r="B26" s="112" t="s">
        <v>1134</v>
      </c>
      <c r="C26" s="112" t="s">
        <v>57</v>
      </c>
      <c r="D26" s="113">
        <v>0</v>
      </c>
      <c r="E26" s="114">
        <v>0</v>
      </c>
      <c r="F26" s="113">
        <v>0</v>
      </c>
      <c r="G26" s="114">
        <v>0</v>
      </c>
      <c r="H26" s="113">
        <v>0</v>
      </c>
      <c r="I26" s="114">
        <v>0</v>
      </c>
      <c r="J26" s="113">
        <v>0</v>
      </c>
      <c r="K26" s="114">
        <v>0</v>
      </c>
      <c r="L26" s="113">
        <v>0</v>
      </c>
      <c r="M26" s="114">
        <v>0</v>
      </c>
      <c r="N26" s="113">
        <v>0</v>
      </c>
      <c r="O26" s="114">
        <v>0</v>
      </c>
      <c r="P26" s="113">
        <v>0</v>
      </c>
      <c r="Q26" s="114">
        <v>0</v>
      </c>
      <c r="R26" s="113">
        <v>0</v>
      </c>
      <c r="S26" s="114">
        <v>0</v>
      </c>
      <c r="T26" s="113">
        <v>0</v>
      </c>
      <c r="U26" s="115">
        <v>0</v>
      </c>
    </row>
    <row r="27" spans="1:21" x14ac:dyDescent="0.25">
      <c r="A27" s="14" t="s">
        <v>1135</v>
      </c>
      <c r="B27" s="116" t="s">
        <v>1136</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row>
    <row r="28" spans="1:21" x14ac:dyDescent="0.25">
      <c r="A28" s="111" t="s">
        <v>520</v>
      </c>
      <c r="B28" s="112" t="s">
        <v>1137</v>
      </c>
      <c r="C28" s="112" t="s">
        <v>57</v>
      </c>
      <c r="D28" s="113">
        <v>0</v>
      </c>
      <c r="E28" s="114">
        <v>0</v>
      </c>
      <c r="F28" s="113">
        <v>0</v>
      </c>
      <c r="G28" s="114">
        <v>0</v>
      </c>
      <c r="H28" s="113">
        <v>0</v>
      </c>
      <c r="I28" s="114">
        <v>0</v>
      </c>
      <c r="J28" s="113">
        <v>0</v>
      </c>
      <c r="K28" s="114">
        <v>0</v>
      </c>
      <c r="L28" s="113">
        <v>0</v>
      </c>
      <c r="M28" s="114">
        <v>0</v>
      </c>
      <c r="N28" s="113">
        <v>0</v>
      </c>
      <c r="O28" s="114">
        <v>0</v>
      </c>
      <c r="P28" s="113">
        <v>0</v>
      </c>
      <c r="Q28" s="114">
        <v>0</v>
      </c>
      <c r="R28" s="113">
        <v>0</v>
      </c>
      <c r="S28" s="114">
        <v>0</v>
      </c>
      <c r="T28" s="113">
        <v>0</v>
      </c>
      <c r="U28" s="115">
        <v>0</v>
      </c>
    </row>
    <row r="29" spans="1:21" x14ac:dyDescent="0.25">
      <c r="A29" s="14" t="s">
        <v>1138</v>
      </c>
      <c r="B29" s="116" t="s">
        <v>1139</v>
      </c>
      <c r="C29" s="116" t="s">
        <v>57</v>
      </c>
      <c r="D29" s="117">
        <v>0</v>
      </c>
      <c r="E29" s="120">
        <v>0</v>
      </c>
      <c r="F29" s="117">
        <v>0</v>
      </c>
      <c r="G29" s="120">
        <v>0</v>
      </c>
      <c r="H29" s="117">
        <v>0</v>
      </c>
      <c r="I29" s="120">
        <v>0</v>
      </c>
      <c r="J29" s="117">
        <v>0</v>
      </c>
      <c r="K29" s="120">
        <v>0</v>
      </c>
      <c r="L29" s="117">
        <v>0</v>
      </c>
      <c r="M29" s="120">
        <v>0</v>
      </c>
      <c r="N29" s="117">
        <v>0</v>
      </c>
      <c r="O29" s="120">
        <v>0</v>
      </c>
      <c r="P29" s="117">
        <v>0</v>
      </c>
      <c r="Q29" s="120">
        <v>0</v>
      </c>
      <c r="R29" s="117">
        <v>0</v>
      </c>
      <c r="S29" s="120">
        <v>0</v>
      </c>
      <c r="T29" s="117">
        <v>0</v>
      </c>
      <c r="U29" s="119">
        <v>0</v>
      </c>
    </row>
    <row r="30" spans="1:21" x14ac:dyDescent="0.25">
      <c r="A30" s="111" t="s">
        <v>1175</v>
      </c>
      <c r="B30" s="112" t="s">
        <v>1176</v>
      </c>
      <c r="C30" s="112" t="s">
        <v>1177</v>
      </c>
      <c r="D30" s="113">
        <v>0</v>
      </c>
      <c r="E30" s="114">
        <v>0</v>
      </c>
      <c r="F30" s="113">
        <v>0</v>
      </c>
      <c r="G30" s="114">
        <v>0</v>
      </c>
      <c r="H30" s="113">
        <v>0</v>
      </c>
      <c r="I30" s="114">
        <v>0</v>
      </c>
      <c r="J30" s="113">
        <v>0</v>
      </c>
      <c r="K30" s="114">
        <v>0</v>
      </c>
      <c r="L30" s="113">
        <v>0</v>
      </c>
      <c r="M30" s="114">
        <v>0</v>
      </c>
      <c r="N30" s="113">
        <v>0</v>
      </c>
      <c r="O30" s="114">
        <v>0</v>
      </c>
      <c r="P30" s="113">
        <v>0</v>
      </c>
      <c r="Q30" s="114">
        <v>0</v>
      </c>
      <c r="R30" s="113">
        <v>0</v>
      </c>
      <c r="S30" s="114">
        <v>0</v>
      </c>
      <c r="T30" s="113">
        <v>0</v>
      </c>
      <c r="U30" s="115">
        <v>0</v>
      </c>
    </row>
    <row r="31" spans="1:21" x14ac:dyDescent="0.25">
      <c r="A31" s="14" t="s">
        <v>1178</v>
      </c>
      <c r="B31" s="116" t="s">
        <v>1179</v>
      </c>
      <c r="C31" s="116" t="s">
        <v>1180</v>
      </c>
      <c r="D31" s="117">
        <v>0</v>
      </c>
      <c r="E31" s="120">
        <v>0</v>
      </c>
      <c r="F31" s="117">
        <v>0</v>
      </c>
      <c r="G31" s="120">
        <v>0</v>
      </c>
      <c r="H31" s="117">
        <v>0</v>
      </c>
      <c r="I31" s="120">
        <v>0</v>
      </c>
      <c r="J31" s="117">
        <v>0</v>
      </c>
      <c r="K31" s="120">
        <v>0</v>
      </c>
      <c r="L31" s="117">
        <v>0</v>
      </c>
      <c r="M31" s="120">
        <v>0</v>
      </c>
      <c r="N31" s="117">
        <v>0</v>
      </c>
      <c r="O31" s="120">
        <v>0</v>
      </c>
      <c r="P31" s="117">
        <v>0</v>
      </c>
      <c r="Q31" s="120">
        <v>0</v>
      </c>
      <c r="R31" s="117">
        <v>0</v>
      </c>
      <c r="S31" s="120">
        <v>0</v>
      </c>
      <c r="T31" s="117">
        <v>0</v>
      </c>
      <c r="U31" s="119">
        <v>0</v>
      </c>
    </row>
    <row r="32" spans="1:21" x14ac:dyDescent="0.25">
      <c r="A32" s="111" t="s">
        <v>1133</v>
      </c>
      <c r="B32" s="112" t="s">
        <v>1140</v>
      </c>
      <c r="C32" s="112" t="s">
        <v>57</v>
      </c>
      <c r="D32" s="113">
        <v>0</v>
      </c>
      <c r="E32" s="114">
        <v>0</v>
      </c>
      <c r="F32" s="113">
        <v>0</v>
      </c>
      <c r="G32" s="114">
        <v>0</v>
      </c>
      <c r="H32" s="113">
        <v>0</v>
      </c>
      <c r="I32" s="114">
        <v>0</v>
      </c>
      <c r="J32" s="113">
        <v>0</v>
      </c>
      <c r="K32" s="114">
        <v>0</v>
      </c>
      <c r="L32" s="113">
        <v>0</v>
      </c>
      <c r="M32" s="114">
        <v>0</v>
      </c>
      <c r="N32" s="113">
        <v>0</v>
      </c>
      <c r="O32" s="114">
        <v>0</v>
      </c>
      <c r="P32" s="113">
        <v>0</v>
      </c>
      <c r="Q32" s="114">
        <v>0</v>
      </c>
      <c r="R32" s="113">
        <v>0</v>
      </c>
      <c r="S32" s="114">
        <v>0</v>
      </c>
      <c r="T32" s="113">
        <v>0</v>
      </c>
      <c r="U32" s="115">
        <v>0</v>
      </c>
    </row>
    <row r="33" spans="1:21" x14ac:dyDescent="0.25">
      <c r="A33" s="14" t="s">
        <v>1135</v>
      </c>
      <c r="B33" s="116" t="s">
        <v>1136</v>
      </c>
      <c r="C33" s="116" t="s">
        <v>57</v>
      </c>
      <c r="D33" s="117">
        <v>0</v>
      </c>
      <c r="E33" s="120">
        <v>0</v>
      </c>
      <c r="F33" s="117">
        <v>0</v>
      </c>
      <c r="G33" s="120">
        <v>0</v>
      </c>
      <c r="H33" s="117">
        <v>0</v>
      </c>
      <c r="I33" s="120">
        <v>0</v>
      </c>
      <c r="J33" s="117">
        <v>0</v>
      </c>
      <c r="K33" s="120">
        <v>0</v>
      </c>
      <c r="L33" s="117">
        <v>0</v>
      </c>
      <c r="M33" s="120">
        <v>0</v>
      </c>
      <c r="N33" s="117">
        <v>0</v>
      </c>
      <c r="O33" s="120">
        <v>0</v>
      </c>
      <c r="P33" s="117">
        <v>0</v>
      </c>
      <c r="Q33" s="120">
        <v>0</v>
      </c>
      <c r="R33" s="117">
        <v>0</v>
      </c>
      <c r="S33" s="120">
        <v>0</v>
      </c>
      <c r="T33" s="117">
        <v>0</v>
      </c>
      <c r="U33" s="119">
        <v>0</v>
      </c>
    </row>
    <row r="34" spans="1:21" x14ac:dyDescent="0.25">
      <c r="A34" s="111" t="s">
        <v>520</v>
      </c>
      <c r="B34" s="112" t="s">
        <v>1137</v>
      </c>
      <c r="C34" s="112" t="s">
        <v>57</v>
      </c>
      <c r="D34" s="113">
        <v>0</v>
      </c>
      <c r="E34" s="114">
        <v>0</v>
      </c>
      <c r="F34" s="113">
        <v>0</v>
      </c>
      <c r="G34" s="114">
        <v>0</v>
      </c>
      <c r="H34" s="113">
        <v>0</v>
      </c>
      <c r="I34" s="114">
        <v>0</v>
      </c>
      <c r="J34" s="113">
        <v>0</v>
      </c>
      <c r="K34" s="114">
        <v>0</v>
      </c>
      <c r="L34" s="113">
        <v>0</v>
      </c>
      <c r="M34" s="114">
        <v>0</v>
      </c>
      <c r="N34" s="113">
        <v>0</v>
      </c>
      <c r="O34" s="114">
        <v>0</v>
      </c>
      <c r="P34" s="113">
        <v>0</v>
      </c>
      <c r="Q34" s="114">
        <v>0</v>
      </c>
      <c r="R34" s="113">
        <v>0</v>
      </c>
      <c r="S34" s="114">
        <v>0</v>
      </c>
      <c r="T34" s="113">
        <v>0</v>
      </c>
      <c r="U34" s="115">
        <v>0</v>
      </c>
    </row>
    <row r="35" spans="1:21" x14ac:dyDescent="0.25">
      <c r="A35" s="14" t="s">
        <v>1138</v>
      </c>
      <c r="B35" s="116" t="s">
        <v>1139</v>
      </c>
      <c r="C35" s="116" t="s">
        <v>57</v>
      </c>
      <c r="D35" s="117">
        <v>0</v>
      </c>
      <c r="E35" s="120">
        <v>0</v>
      </c>
      <c r="F35" s="117">
        <v>0</v>
      </c>
      <c r="G35" s="120">
        <v>0</v>
      </c>
      <c r="H35" s="117">
        <v>0</v>
      </c>
      <c r="I35" s="120">
        <v>0</v>
      </c>
      <c r="J35" s="117">
        <v>0</v>
      </c>
      <c r="K35" s="120">
        <v>0</v>
      </c>
      <c r="L35" s="117">
        <v>0</v>
      </c>
      <c r="M35" s="120">
        <v>0</v>
      </c>
      <c r="N35" s="117">
        <v>0</v>
      </c>
      <c r="O35" s="120">
        <v>0</v>
      </c>
      <c r="P35" s="117">
        <v>0</v>
      </c>
      <c r="Q35" s="120">
        <v>0</v>
      </c>
      <c r="R35" s="117">
        <v>0</v>
      </c>
      <c r="S35" s="120">
        <v>0</v>
      </c>
      <c r="T35" s="117">
        <v>0</v>
      </c>
      <c r="U35" s="119">
        <v>0</v>
      </c>
    </row>
    <row r="36" spans="1:21" x14ac:dyDescent="0.25">
      <c r="A36" s="111" t="s">
        <v>1133</v>
      </c>
      <c r="B36" s="112" t="s">
        <v>1184</v>
      </c>
      <c r="C36" s="112" t="s">
        <v>57</v>
      </c>
      <c r="D36" s="113">
        <v>0</v>
      </c>
      <c r="E36" s="114">
        <v>0</v>
      </c>
      <c r="F36" s="113">
        <v>0</v>
      </c>
      <c r="G36" s="114">
        <v>0</v>
      </c>
      <c r="H36" s="113">
        <v>0</v>
      </c>
      <c r="I36" s="114">
        <v>0</v>
      </c>
      <c r="J36" s="113">
        <v>0</v>
      </c>
      <c r="K36" s="114">
        <v>0</v>
      </c>
      <c r="L36" s="113">
        <v>0</v>
      </c>
      <c r="M36" s="114">
        <v>0</v>
      </c>
      <c r="N36" s="113">
        <v>0</v>
      </c>
      <c r="O36" s="114">
        <v>0</v>
      </c>
      <c r="P36" s="113">
        <v>0</v>
      </c>
      <c r="Q36" s="114">
        <v>0</v>
      </c>
      <c r="R36" s="113">
        <v>0</v>
      </c>
      <c r="S36" s="114">
        <v>0</v>
      </c>
      <c r="T36" s="113">
        <v>0</v>
      </c>
      <c r="U36" s="115">
        <v>0</v>
      </c>
    </row>
    <row r="37" spans="1:21" x14ac:dyDescent="0.25">
      <c r="A37" s="14" t="s">
        <v>1135</v>
      </c>
      <c r="B37" s="116" t="s">
        <v>1136</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row>
    <row r="38" spans="1:21" x14ac:dyDescent="0.25">
      <c r="A38" s="111" t="s">
        <v>520</v>
      </c>
      <c r="B38" s="112" t="s">
        <v>1137</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row>
    <row r="39" spans="1:21" x14ac:dyDescent="0.25">
      <c r="A39" s="14" t="s">
        <v>1138</v>
      </c>
      <c r="B39" s="116" t="s">
        <v>1139</v>
      </c>
      <c r="C39" s="116" t="s">
        <v>57</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row>
    <row r="40" spans="1:21" x14ac:dyDescent="0.25">
      <c r="A40" s="111" t="s">
        <v>1133</v>
      </c>
      <c r="B40" s="112" t="s">
        <v>1148</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row>
    <row r="41" spans="1:21" x14ac:dyDescent="0.25">
      <c r="A41" s="14" t="s">
        <v>1135</v>
      </c>
      <c r="B41" s="116" t="s">
        <v>1136</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row>
    <row r="42" spans="1:21" x14ac:dyDescent="0.25">
      <c r="A42" s="111" t="s">
        <v>520</v>
      </c>
      <c r="B42" s="112" t="s">
        <v>1137</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row>
    <row r="43" spans="1:21" x14ac:dyDescent="0.25">
      <c r="A43" s="14" t="s">
        <v>1138</v>
      </c>
      <c r="B43" s="116" t="s">
        <v>1139</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row>
    <row r="44" spans="1:21" x14ac:dyDescent="0.25">
      <c r="A44" s="111" t="s">
        <v>1133</v>
      </c>
      <c r="B44" s="112" t="s">
        <v>1157</v>
      </c>
      <c r="C44" s="112" t="s">
        <v>57</v>
      </c>
      <c r="D44" s="113">
        <v>0</v>
      </c>
      <c r="E44" s="114">
        <v>0</v>
      </c>
      <c r="F44" s="113">
        <v>0</v>
      </c>
      <c r="G44" s="114">
        <v>0</v>
      </c>
      <c r="H44" s="113">
        <v>0</v>
      </c>
      <c r="I44" s="114">
        <v>0</v>
      </c>
      <c r="J44" s="113">
        <v>0</v>
      </c>
      <c r="K44" s="114">
        <v>0</v>
      </c>
      <c r="L44" s="113">
        <v>0</v>
      </c>
      <c r="M44" s="114">
        <v>0</v>
      </c>
      <c r="N44" s="113">
        <v>0</v>
      </c>
      <c r="O44" s="114">
        <v>0</v>
      </c>
      <c r="P44" s="113">
        <v>0</v>
      </c>
      <c r="Q44" s="114">
        <v>0</v>
      </c>
      <c r="R44" s="113">
        <v>0</v>
      </c>
      <c r="S44" s="114">
        <v>0</v>
      </c>
      <c r="T44" s="113">
        <v>0</v>
      </c>
      <c r="U44" s="115">
        <v>0</v>
      </c>
    </row>
    <row r="45" spans="1:21" x14ac:dyDescent="0.25">
      <c r="A45" s="14" t="s">
        <v>1135</v>
      </c>
      <c r="B45" s="116" t="s">
        <v>1136</v>
      </c>
      <c r="C45" s="116" t="s">
        <v>57</v>
      </c>
      <c r="D45" s="117">
        <v>0</v>
      </c>
      <c r="E45" s="120">
        <v>0</v>
      </c>
      <c r="F45" s="117">
        <v>0</v>
      </c>
      <c r="G45" s="120">
        <v>0</v>
      </c>
      <c r="H45" s="117">
        <v>0</v>
      </c>
      <c r="I45" s="120">
        <v>0</v>
      </c>
      <c r="J45" s="117">
        <v>0</v>
      </c>
      <c r="K45" s="120">
        <v>0</v>
      </c>
      <c r="L45" s="117">
        <v>0</v>
      </c>
      <c r="M45" s="120">
        <v>0</v>
      </c>
      <c r="N45" s="117">
        <v>0</v>
      </c>
      <c r="O45" s="120">
        <v>0</v>
      </c>
      <c r="P45" s="117">
        <v>0</v>
      </c>
      <c r="Q45" s="120">
        <v>0</v>
      </c>
      <c r="R45" s="117">
        <v>0</v>
      </c>
      <c r="S45" s="120">
        <v>0</v>
      </c>
      <c r="T45" s="117">
        <v>0</v>
      </c>
      <c r="U45" s="119">
        <v>0</v>
      </c>
    </row>
    <row r="46" spans="1:21" x14ac:dyDescent="0.25">
      <c r="A46" s="111" t="s">
        <v>520</v>
      </c>
      <c r="B46" s="112" t="s">
        <v>1137</v>
      </c>
      <c r="C46" s="112" t="s">
        <v>57</v>
      </c>
      <c r="D46" s="113">
        <v>0</v>
      </c>
      <c r="E46" s="114">
        <v>0</v>
      </c>
      <c r="F46" s="113">
        <v>0</v>
      </c>
      <c r="G46" s="114">
        <v>0</v>
      </c>
      <c r="H46" s="113">
        <v>0</v>
      </c>
      <c r="I46" s="114">
        <v>0</v>
      </c>
      <c r="J46" s="113">
        <v>0</v>
      </c>
      <c r="K46" s="114">
        <v>0</v>
      </c>
      <c r="L46" s="113">
        <v>0</v>
      </c>
      <c r="M46" s="114">
        <v>0</v>
      </c>
      <c r="N46" s="113">
        <v>0</v>
      </c>
      <c r="O46" s="114">
        <v>0</v>
      </c>
      <c r="P46" s="113">
        <v>0</v>
      </c>
      <c r="Q46" s="114">
        <v>0</v>
      </c>
      <c r="R46" s="113">
        <v>0</v>
      </c>
      <c r="S46" s="114">
        <v>0</v>
      </c>
      <c r="T46" s="113">
        <v>0</v>
      </c>
      <c r="U46" s="115">
        <v>0</v>
      </c>
    </row>
    <row r="47" spans="1:21" x14ac:dyDescent="0.25">
      <c r="A47" s="14" t="s">
        <v>1138</v>
      </c>
      <c r="B47" s="116" t="s">
        <v>1139</v>
      </c>
      <c r="C47" s="116" t="s">
        <v>57</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row>
    <row r="48" spans="1:21" x14ac:dyDescent="0.25">
      <c r="A48" s="111" t="s">
        <v>1202</v>
      </c>
      <c r="B48" s="112" t="s">
        <v>1203</v>
      </c>
      <c r="C48" s="112" t="s">
        <v>1204</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row>
    <row r="49" spans="1:21" x14ac:dyDescent="0.25">
      <c r="A49" s="14" t="s">
        <v>1205</v>
      </c>
      <c r="B49" s="116" t="s">
        <v>1206</v>
      </c>
      <c r="C49" s="116" t="s">
        <v>1207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row>
    <row r="50" spans="1:21" x14ac:dyDescent="0.25">
      <c r="A50" s="111" t="s">
        <v>1208</v>
      </c>
      <c r="B50" s="112" t="s">
        <v>1209</v>
      </c>
      <c r="C50" s="112" t="s">
        <v>1210</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row>
    <row r="51" spans="1:21" x14ac:dyDescent="0.25">
      <c r="A51" s="14" t="s">
        <v>1211</v>
      </c>
      <c r="B51" s="116" t="s">
        <v>1212</v>
      </c>
      <c r="C51" s="116" t="s">
        <v>1213</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row>
    <row r="52" spans="1:21" x14ac:dyDescent="0.25">
      <c r="A52" s="111" t="s">
        <v>1214</v>
      </c>
      <c r="B52" s="112" t="s">
        <v>1215</v>
      </c>
      <c r="C52" s="112" t="s">
        <v>1216</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row>
    <row r="53" spans="1:21" x14ac:dyDescent="0.25">
      <c r="A53" s="14" t="s">
        <v>1217</v>
      </c>
      <c r="B53" s="116" t="s">
        <v>1218</v>
      </c>
      <c r="C53" s="116" t="s">
        <v>1219</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row>
    <row r="54" spans="1:21" x14ac:dyDescent="0.25">
      <c r="A54" s="111" t="s">
        <v>1220</v>
      </c>
      <c r="B54" s="112" t="s">
        <v>1221</v>
      </c>
      <c r="C54" s="112" t="s">
        <v>1222</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row>
    <row r="55" spans="1:21" x14ac:dyDescent="0.25">
      <c r="A55" s="14" t="s">
        <v>1223</v>
      </c>
      <c r="B55" s="116" t="s">
        <v>1224</v>
      </c>
      <c r="C55" s="116" t="s">
        <v>1225</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row>
    <row r="56" spans="1:21" x14ac:dyDescent="0.25">
      <c r="A56" s="111" t="s">
        <v>1133</v>
      </c>
      <c r="B56" s="112" t="s">
        <v>1226</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row>
    <row r="57" spans="1:21" x14ac:dyDescent="0.25">
      <c r="A57" s="14" t="s">
        <v>1227</v>
      </c>
      <c r="B57" s="116" t="s">
        <v>1228</v>
      </c>
      <c r="C57" s="116" t="s">
        <v>1229</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row>
    <row r="58" spans="1:21" x14ac:dyDescent="0.25">
      <c r="A58" s="111" t="s">
        <v>1230</v>
      </c>
      <c r="B58" s="112" t="s">
        <v>1231</v>
      </c>
      <c r="C58" s="112" t="s">
        <v>1232</v>
      </c>
      <c r="D58" s="113">
        <v>0</v>
      </c>
      <c r="E58" s="114">
        <v>0</v>
      </c>
      <c r="F58" s="113">
        <v>0</v>
      </c>
      <c r="G58" s="114">
        <v>0</v>
      </c>
      <c r="H58" s="113">
        <v>0</v>
      </c>
      <c r="I58" s="114">
        <v>12.704649925231934</v>
      </c>
      <c r="J58" s="113">
        <v>0</v>
      </c>
      <c r="K58" s="114">
        <v>12.704649925231934</v>
      </c>
      <c r="L58" s="113">
        <v>0</v>
      </c>
      <c r="M58" s="114">
        <v>12.704649925231934</v>
      </c>
      <c r="N58" s="113">
        <v>0</v>
      </c>
      <c r="O58" s="114">
        <v>0</v>
      </c>
      <c r="P58" s="113">
        <v>0</v>
      </c>
      <c r="Q58" s="114">
        <v>0</v>
      </c>
      <c r="R58" s="113">
        <v>0</v>
      </c>
      <c r="S58" s="114">
        <v>0</v>
      </c>
      <c r="T58" s="113">
        <v>0</v>
      </c>
      <c r="U58" s="115">
        <v>0</v>
      </c>
    </row>
    <row r="59" spans="1:21" x14ac:dyDescent="0.25">
      <c r="A59" s="14" t="s">
        <v>1135</v>
      </c>
      <c r="B59" s="116" t="s">
        <v>1136</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row>
    <row r="60" spans="1:21" x14ac:dyDescent="0.25">
      <c r="A60" s="111" t="s">
        <v>1233</v>
      </c>
      <c r="B60" s="112" t="s">
        <v>1234</v>
      </c>
      <c r="C60" s="112" t="s">
        <v>1235</v>
      </c>
      <c r="D60" s="113">
        <v>0</v>
      </c>
      <c r="E60" s="114">
        <v>0</v>
      </c>
      <c r="F60" s="113">
        <v>0</v>
      </c>
      <c r="G60" s="114">
        <v>0</v>
      </c>
      <c r="H60" s="113">
        <v>0</v>
      </c>
      <c r="I60" s="114">
        <v>0</v>
      </c>
      <c r="J60" s="113">
        <v>0</v>
      </c>
      <c r="K60" s="114">
        <v>0</v>
      </c>
      <c r="L60" s="113">
        <v>0</v>
      </c>
      <c r="M60" s="114">
        <v>0</v>
      </c>
      <c r="N60" s="113">
        <v>0</v>
      </c>
      <c r="O60" s="114">
        <v>0</v>
      </c>
      <c r="P60" s="113">
        <v>0</v>
      </c>
      <c r="Q60" s="114">
        <v>0</v>
      </c>
      <c r="R60" s="113">
        <v>0</v>
      </c>
      <c r="S60" s="114">
        <v>0</v>
      </c>
      <c r="T60" s="113">
        <v>0</v>
      </c>
      <c r="U60" s="115">
        <v>0</v>
      </c>
    </row>
    <row r="61" spans="1:21" x14ac:dyDescent="0.25">
      <c r="A61" s="14" t="s">
        <v>520</v>
      </c>
      <c r="B61" s="116" t="s">
        <v>1137</v>
      </c>
      <c r="C61" s="116" t="s">
        <v>57</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row>
    <row r="62" spans="1:21" x14ac:dyDescent="0.25">
      <c r="A62" s="111" t="s">
        <v>1138</v>
      </c>
      <c r="B62" s="112" t="s">
        <v>1139</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row>
    <row r="63" spans="1:21" x14ac:dyDescent="0.25">
      <c r="A63" s="14" t="s">
        <v>1133</v>
      </c>
      <c r="B63" s="116" t="s">
        <v>1134</v>
      </c>
      <c r="C63" s="116" t="s">
        <v>57</v>
      </c>
      <c r="D63" s="117">
        <v>0</v>
      </c>
      <c r="E63" s="120">
        <v>0</v>
      </c>
      <c r="F63" s="117">
        <v>0</v>
      </c>
      <c r="G63" s="120">
        <v>0</v>
      </c>
      <c r="H63" s="117">
        <v>0</v>
      </c>
      <c r="I63" s="120">
        <v>0</v>
      </c>
      <c r="J63" s="117">
        <v>0</v>
      </c>
      <c r="K63" s="120">
        <v>0</v>
      </c>
      <c r="L63" s="117">
        <v>0</v>
      </c>
      <c r="M63" s="120">
        <v>0</v>
      </c>
      <c r="N63" s="117">
        <v>0</v>
      </c>
      <c r="O63" s="120">
        <v>0</v>
      </c>
      <c r="P63" s="117">
        <v>0</v>
      </c>
      <c r="Q63" s="120">
        <v>0</v>
      </c>
      <c r="R63" s="117">
        <v>0</v>
      </c>
      <c r="S63" s="120">
        <v>0</v>
      </c>
      <c r="T63" s="117">
        <v>0</v>
      </c>
      <c r="U63" s="119">
        <v>0</v>
      </c>
    </row>
    <row r="64" spans="1:21" x14ac:dyDescent="0.25">
      <c r="A64" s="111" t="s">
        <v>1236</v>
      </c>
      <c r="B64" s="112" t="s">
        <v>1237</v>
      </c>
      <c r="C64" s="112" t="s">
        <v>1238</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row>
    <row r="65" spans="1:21" x14ac:dyDescent="0.25">
      <c r="A65" s="14" t="s">
        <v>1096</v>
      </c>
      <c r="B65" s="116" t="s">
        <v>1239</v>
      </c>
      <c r="C65" s="116" t="s">
        <v>1097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row>
    <row r="66" spans="1:21" x14ac:dyDescent="0.25">
      <c r="A66" s="111" t="s">
        <v>1135</v>
      </c>
      <c r="B66" s="112" t="s">
        <v>1136</v>
      </c>
      <c r="C66" s="112" t="s">
        <v>57</v>
      </c>
      <c r="D66" s="113">
        <v>0</v>
      </c>
      <c r="E66" s="114">
        <v>0</v>
      </c>
      <c r="F66" s="113">
        <v>0</v>
      </c>
      <c r="G66" s="114">
        <v>0</v>
      </c>
      <c r="H66" s="113">
        <v>0</v>
      </c>
      <c r="I66" s="114">
        <v>0</v>
      </c>
      <c r="J66" s="113">
        <v>0</v>
      </c>
      <c r="K66" s="114">
        <v>0</v>
      </c>
      <c r="L66" s="113">
        <v>0</v>
      </c>
      <c r="M66" s="114">
        <v>0</v>
      </c>
      <c r="N66" s="113">
        <v>0</v>
      </c>
      <c r="O66" s="114">
        <v>0</v>
      </c>
      <c r="P66" s="113">
        <v>0</v>
      </c>
      <c r="Q66" s="114">
        <v>0</v>
      </c>
      <c r="R66" s="113">
        <v>0</v>
      </c>
      <c r="S66" s="114">
        <v>0</v>
      </c>
      <c r="T66" s="113">
        <v>0</v>
      </c>
      <c r="U66" s="115">
        <v>0</v>
      </c>
    </row>
    <row r="67" spans="1:21" x14ac:dyDescent="0.25">
      <c r="A67" s="14" t="s">
        <v>1242</v>
      </c>
      <c r="B67" s="116" t="s">
        <v>1243</v>
      </c>
      <c r="C67" s="116" t="s">
        <v>1244</v>
      </c>
      <c r="D67" s="117">
        <v>0</v>
      </c>
      <c r="E67" s="120">
        <v>0</v>
      </c>
      <c r="F67" s="117">
        <v>0</v>
      </c>
      <c r="G67" s="120">
        <v>0</v>
      </c>
      <c r="H67" s="117">
        <v>0</v>
      </c>
      <c r="I67" s="120">
        <v>0</v>
      </c>
      <c r="J67" s="117">
        <v>0</v>
      </c>
      <c r="K67" s="120">
        <v>0</v>
      </c>
      <c r="L67" s="117">
        <v>0</v>
      </c>
      <c r="M67" s="120">
        <v>0</v>
      </c>
      <c r="N67" s="117">
        <v>0</v>
      </c>
      <c r="O67" s="120">
        <v>0</v>
      </c>
      <c r="P67" s="117">
        <v>0</v>
      </c>
      <c r="Q67" s="120">
        <v>0</v>
      </c>
      <c r="R67" s="117">
        <v>0</v>
      </c>
      <c r="S67" s="120">
        <v>0</v>
      </c>
      <c r="T67" s="117">
        <v>0</v>
      </c>
      <c r="U67" s="119">
        <v>0</v>
      </c>
    </row>
    <row r="68" spans="1:21" x14ac:dyDescent="0.25">
      <c r="A68" s="111" t="s">
        <v>520</v>
      </c>
      <c r="B68" s="112" t="s">
        <v>1137</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row>
    <row r="69" spans="1:21" x14ac:dyDescent="0.25">
      <c r="A69" s="14" t="s">
        <v>1093</v>
      </c>
      <c r="B69" s="116" t="s">
        <v>443</v>
      </c>
      <c r="C69" s="116" t="s">
        <v>1245</v>
      </c>
      <c r="D69" s="117">
        <v>0</v>
      </c>
      <c r="E69" s="120">
        <v>0</v>
      </c>
      <c r="F69" s="117">
        <v>0</v>
      </c>
      <c r="G69" s="120">
        <v>250</v>
      </c>
      <c r="H69" s="117">
        <v>0</v>
      </c>
      <c r="I69" s="120">
        <v>0</v>
      </c>
      <c r="J69" s="117">
        <v>0</v>
      </c>
      <c r="K69" s="120">
        <v>0</v>
      </c>
      <c r="L69" s="117">
        <v>51.18402099609375</v>
      </c>
      <c r="M69" s="120">
        <v>51.18402099609375</v>
      </c>
      <c r="N69" s="117">
        <v>0</v>
      </c>
      <c r="O69" s="120">
        <v>0</v>
      </c>
      <c r="P69" s="117">
        <v>0</v>
      </c>
      <c r="Q69" s="120">
        <v>0</v>
      </c>
      <c r="R69" s="117">
        <v>0</v>
      </c>
      <c r="S69" s="120">
        <v>0</v>
      </c>
      <c r="T69" s="117">
        <v>0</v>
      </c>
      <c r="U69" s="119">
        <v>0</v>
      </c>
    </row>
    <row r="70" spans="1:21" x14ac:dyDescent="0.25">
      <c r="A70" s="111" t="s">
        <v>1138</v>
      </c>
      <c r="B70" s="112" t="s">
        <v>1139</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row>
    <row r="71" spans="1:21" x14ac:dyDescent="0.25">
      <c r="A71" s="14" t="s">
        <v>1133</v>
      </c>
      <c r="B71" s="116" t="s">
        <v>1246</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row>
    <row r="72" spans="1:21" x14ac:dyDescent="0.25">
      <c r="A72" s="111" t="s">
        <v>1135</v>
      </c>
      <c r="B72" s="112" t="s">
        <v>1136</v>
      </c>
      <c r="C72" s="112" t="s">
        <v>57</v>
      </c>
      <c r="D72" s="113">
        <v>0</v>
      </c>
      <c r="E72" s="114">
        <v>0</v>
      </c>
      <c r="F72" s="113">
        <v>0</v>
      </c>
      <c r="G72" s="114">
        <v>0</v>
      </c>
      <c r="H72" s="113">
        <v>0</v>
      </c>
      <c r="I72" s="114">
        <v>0</v>
      </c>
      <c r="J72" s="113">
        <v>0</v>
      </c>
      <c r="K72" s="114">
        <v>0</v>
      </c>
      <c r="L72" s="113">
        <v>0</v>
      </c>
      <c r="M72" s="114">
        <v>0</v>
      </c>
      <c r="N72" s="113">
        <v>0</v>
      </c>
      <c r="O72" s="114">
        <v>0</v>
      </c>
      <c r="P72" s="113">
        <v>0</v>
      </c>
      <c r="Q72" s="114">
        <v>0</v>
      </c>
      <c r="R72" s="113">
        <v>0</v>
      </c>
      <c r="S72" s="114">
        <v>0</v>
      </c>
      <c r="T72" s="113">
        <v>0</v>
      </c>
      <c r="U72" s="115">
        <v>0</v>
      </c>
    </row>
    <row r="73" spans="1:21" x14ac:dyDescent="0.25">
      <c r="A73" s="14" t="s">
        <v>520</v>
      </c>
      <c r="B73" s="116" t="s">
        <v>1137</v>
      </c>
      <c r="C73" s="116" t="s">
        <v>57</v>
      </c>
      <c r="D73" s="117">
        <v>0</v>
      </c>
      <c r="E73" s="120">
        <v>0</v>
      </c>
      <c r="F73" s="117">
        <v>0</v>
      </c>
      <c r="G73" s="120">
        <v>0</v>
      </c>
      <c r="H73" s="117">
        <v>0</v>
      </c>
      <c r="I73" s="120">
        <v>0</v>
      </c>
      <c r="J73" s="117">
        <v>0</v>
      </c>
      <c r="K73" s="120">
        <v>0</v>
      </c>
      <c r="L73" s="117">
        <v>0</v>
      </c>
      <c r="M73" s="120">
        <v>0</v>
      </c>
      <c r="N73" s="117">
        <v>0</v>
      </c>
      <c r="O73" s="120">
        <v>0</v>
      </c>
      <c r="P73" s="117">
        <v>0</v>
      </c>
      <c r="Q73" s="120">
        <v>0</v>
      </c>
      <c r="R73" s="117">
        <v>0</v>
      </c>
      <c r="S73" s="120">
        <v>0</v>
      </c>
      <c r="T73" s="117">
        <v>0</v>
      </c>
      <c r="U73" s="119">
        <v>0</v>
      </c>
    </row>
    <row r="74" spans="1:21" x14ac:dyDescent="0.25">
      <c r="A74" s="111" t="s">
        <v>1138</v>
      </c>
      <c r="B74" s="112" t="s">
        <v>1139</v>
      </c>
      <c r="C74" s="112" t="s">
        <v>57</v>
      </c>
      <c r="D74" s="113">
        <v>0</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row>
    <row r="75" spans="1:21" x14ac:dyDescent="0.25">
      <c r="A75" s="14" t="s">
        <v>1247</v>
      </c>
      <c r="B75" s="116" t="s">
        <v>1248</v>
      </c>
      <c r="C75" s="116" t="s">
        <v>1249</v>
      </c>
      <c r="D75" s="117">
        <v>0</v>
      </c>
      <c r="E75" s="120">
        <v>0</v>
      </c>
      <c r="F75" s="117">
        <v>0</v>
      </c>
      <c r="G75" s="120">
        <v>0</v>
      </c>
      <c r="H75" s="117">
        <v>0</v>
      </c>
      <c r="I75" s="120">
        <v>0</v>
      </c>
      <c r="J75" s="117">
        <v>0</v>
      </c>
      <c r="K75" s="120">
        <v>0</v>
      </c>
      <c r="L75" s="117">
        <v>0</v>
      </c>
      <c r="M75" s="120">
        <v>0</v>
      </c>
      <c r="N75" s="117">
        <v>0</v>
      </c>
      <c r="O75" s="120">
        <v>0</v>
      </c>
      <c r="P75" s="117">
        <v>0</v>
      </c>
      <c r="Q75" s="120">
        <v>0</v>
      </c>
      <c r="R75" s="117">
        <v>0</v>
      </c>
      <c r="S75" s="120">
        <v>0</v>
      </c>
      <c r="T75" s="117">
        <v>0</v>
      </c>
      <c r="U75" s="119">
        <v>0</v>
      </c>
    </row>
    <row r="76" spans="1:21" x14ac:dyDescent="0.25">
      <c r="A76" s="111" t="s">
        <v>1133</v>
      </c>
      <c r="B76" s="112" t="s">
        <v>1254</v>
      </c>
      <c r="C76" s="112" t="s">
        <v>57</v>
      </c>
      <c r="D76" s="113">
        <v>0</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row>
    <row r="77" spans="1:21" x14ac:dyDescent="0.25">
      <c r="A77" s="14" t="s">
        <v>1135</v>
      </c>
      <c r="B77" s="116" t="s">
        <v>1136</v>
      </c>
      <c r="C77" s="116" t="s">
        <v>57</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row>
    <row r="78" spans="1:21" x14ac:dyDescent="0.25">
      <c r="A78" s="111" t="s">
        <v>520</v>
      </c>
      <c r="B78" s="112" t="s">
        <v>1255</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row>
    <row r="79" spans="1:21" x14ac:dyDescent="0.25">
      <c r="A79" s="14" t="s">
        <v>1138</v>
      </c>
      <c r="B79" s="116" t="s">
        <v>1139</v>
      </c>
      <c r="C79" s="116" t="s">
        <v>57</v>
      </c>
      <c r="D79" s="117">
        <v>0</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row>
    <row r="80" spans="1:21" x14ac:dyDescent="0.25">
      <c r="A80" s="111" t="s">
        <v>1256</v>
      </c>
      <c r="B80" s="112" t="s">
        <v>1257</v>
      </c>
      <c r="C80" s="112" t="s">
        <v>1258</v>
      </c>
      <c r="D80" s="113">
        <v>0</v>
      </c>
      <c r="E80" s="114">
        <v>0</v>
      </c>
      <c r="F80" s="113">
        <v>0</v>
      </c>
      <c r="G80" s="114">
        <v>0</v>
      </c>
      <c r="H80" s="113">
        <v>0</v>
      </c>
      <c r="I80" s="114">
        <v>0</v>
      </c>
      <c r="J80" s="113">
        <v>0</v>
      </c>
      <c r="K80" s="114">
        <v>0</v>
      </c>
      <c r="L80" s="113">
        <v>0</v>
      </c>
      <c r="M80" s="114">
        <v>0</v>
      </c>
      <c r="N80" s="113">
        <v>0</v>
      </c>
      <c r="O80" s="114">
        <v>0</v>
      </c>
      <c r="P80" s="113">
        <v>0</v>
      </c>
      <c r="Q80" s="114">
        <v>0</v>
      </c>
      <c r="R80" s="113">
        <v>0</v>
      </c>
      <c r="S80" s="114">
        <v>0</v>
      </c>
      <c r="T80" s="113">
        <v>0</v>
      </c>
      <c r="U80" s="115">
        <v>0</v>
      </c>
    </row>
    <row r="81" spans="1:21" x14ac:dyDescent="0.25">
      <c r="A81" s="14" t="s">
        <v>655</v>
      </c>
      <c r="B81" s="116" t="s">
        <v>1259</v>
      </c>
      <c r="C81" s="116" t="s">
        <v>1260</v>
      </c>
      <c r="D81" s="117">
        <v>0</v>
      </c>
      <c r="E81" s="120">
        <v>0</v>
      </c>
      <c r="F81" s="117">
        <v>0</v>
      </c>
      <c r="G81" s="120">
        <v>0</v>
      </c>
      <c r="H81" s="117">
        <v>0</v>
      </c>
      <c r="I81" s="120">
        <v>0</v>
      </c>
      <c r="J81" s="117">
        <v>0</v>
      </c>
      <c r="K81" s="120">
        <v>0</v>
      </c>
      <c r="L81" s="117">
        <v>0</v>
      </c>
      <c r="M81" s="120">
        <v>0</v>
      </c>
      <c r="N81" s="117">
        <v>0</v>
      </c>
      <c r="O81" s="120">
        <v>0</v>
      </c>
      <c r="P81" s="117">
        <v>0</v>
      </c>
      <c r="Q81" s="120">
        <v>0</v>
      </c>
      <c r="R81" s="117">
        <v>0</v>
      </c>
      <c r="S81" s="120">
        <v>0</v>
      </c>
      <c r="T81" s="117">
        <v>0</v>
      </c>
      <c r="U81" s="119">
        <v>0</v>
      </c>
    </row>
    <row r="82" spans="1:21" x14ac:dyDescent="0.25">
      <c r="A82" s="111" t="s">
        <v>1133</v>
      </c>
      <c r="B82" s="112" t="s">
        <v>1261</v>
      </c>
      <c r="C82" s="112" t="s">
        <v>57</v>
      </c>
      <c r="D82" s="113">
        <v>0</v>
      </c>
      <c r="E82" s="114">
        <v>0</v>
      </c>
      <c r="F82" s="113">
        <v>0</v>
      </c>
      <c r="G82" s="114">
        <v>0</v>
      </c>
      <c r="H82" s="113">
        <v>0</v>
      </c>
      <c r="I82" s="114">
        <v>0</v>
      </c>
      <c r="J82" s="113">
        <v>0</v>
      </c>
      <c r="K82" s="114">
        <v>0</v>
      </c>
      <c r="L82" s="113">
        <v>0</v>
      </c>
      <c r="M82" s="114">
        <v>0</v>
      </c>
      <c r="N82" s="113">
        <v>0</v>
      </c>
      <c r="O82" s="114">
        <v>0</v>
      </c>
      <c r="P82" s="113">
        <v>0</v>
      </c>
      <c r="Q82" s="114">
        <v>0</v>
      </c>
      <c r="R82" s="113">
        <v>0</v>
      </c>
      <c r="S82" s="114">
        <v>0</v>
      </c>
      <c r="T82" s="113">
        <v>0</v>
      </c>
      <c r="U82" s="115">
        <v>0</v>
      </c>
    </row>
    <row r="83" spans="1:21" x14ac:dyDescent="0.25">
      <c r="A83" s="14" t="s">
        <v>1135</v>
      </c>
      <c r="B83" s="116" t="s">
        <v>1136</v>
      </c>
      <c r="C83" s="116" t="s">
        <v>57</v>
      </c>
      <c r="D83" s="117">
        <v>0</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row>
    <row r="84" spans="1:21" x14ac:dyDescent="0.25">
      <c r="A84" s="111" t="s">
        <v>520</v>
      </c>
      <c r="B84" s="112" t="s">
        <v>1262</v>
      </c>
      <c r="C84" s="112" t="s">
        <v>57</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row>
    <row r="85" spans="1:21" x14ac:dyDescent="0.25">
      <c r="A85" s="14" t="s">
        <v>1138</v>
      </c>
      <c r="B85" s="116" t="s">
        <v>1139</v>
      </c>
      <c r="C85" s="116" t="s">
        <v>57</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row>
    <row r="86" spans="1:21" x14ac:dyDescent="0.25">
      <c r="A86" s="111" t="s">
        <v>1077</v>
      </c>
      <c r="B86" s="112" t="s">
        <v>1149</v>
      </c>
      <c r="C86" s="112" t="s">
        <v>1263</v>
      </c>
      <c r="D86" s="113">
        <v>0</v>
      </c>
      <c r="E86" s="114">
        <v>0</v>
      </c>
      <c r="F86" s="113">
        <v>0</v>
      </c>
      <c r="G86" s="114">
        <v>479</v>
      </c>
      <c r="H86" s="113">
        <v>0</v>
      </c>
      <c r="I86" s="114">
        <v>0</v>
      </c>
      <c r="J86" s="113">
        <v>0</v>
      </c>
      <c r="K86" s="114">
        <v>0</v>
      </c>
      <c r="L86" s="113">
        <v>479.32675170898437</v>
      </c>
      <c r="M86" s="114">
        <v>479.32675170898437</v>
      </c>
      <c r="N86" s="113">
        <v>0</v>
      </c>
      <c r="O86" s="114">
        <v>0</v>
      </c>
      <c r="P86" s="113">
        <v>0</v>
      </c>
      <c r="Q86" s="114">
        <v>0</v>
      </c>
      <c r="R86" s="113">
        <v>0</v>
      </c>
      <c r="S86" s="114">
        <v>0</v>
      </c>
      <c r="T86" s="113">
        <v>0</v>
      </c>
      <c r="U86" s="115">
        <v>0</v>
      </c>
    </row>
    <row r="87" spans="1:21" x14ac:dyDescent="0.25">
      <c r="A87" s="14" t="s">
        <v>1116</v>
      </c>
      <c r="B87" s="116" t="s">
        <v>1118</v>
      </c>
      <c r="C87" s="116" t="s">
        <v>1117</v>
      </c>
      <c r="D87" s="117">
        <v>0</v>
      </c>
      <c r="E87" s="120">
        <v>0</v>
      </c>
      <c r="F87" s="117">
        <v>0</v>
      </c>
      <c r="G87" s="120">
        <v>14</v>
      </c>
      <c r="H87" s="117">
        <v>0</v>
      </c>
      <c r="I87" s="120">
        <v>0</v>
      </c>
      <c r="J87" s="117">
        <v>0</v>
      </c>
      <c r="K87" s="120">
        <v>0</v>
      </c>
      <c r="L87" s="117">
        <v>0</v>
      </c>
      <c r="M87" s="120">
        <v>0</v>
      </c>
      <c r="N87" s="117">
        <v>0</v>
      </c>
      <c r="O87" s="120">
        <v>0</v>
      </c>
      <c r="P87" s="117">
        <v>0</v>
      </c>
      <c r="Q87" s="120">
        <v>0</v>
      </c>
      <c r="R87" s="117">
        <v>0</v>
      </c>
      <c r="S87" s="120">
        <v>0</v>
      </c>
      <c r="T87" s="117">
        <v>0</v>
      </c>
      <c r="U87" s="119">
        <v>0</v>
      </c>
    </row>
    <row r="88" spans="1:21" x14ac:dyDescent="0.25">
      <c r="A88" s="111" t="s">
        <v>1124</v>
      </c>
      <c r="B88" s="112" t="s">
        <v>1126</v>
      </c>
      <c r="C88" s="112" t="s">
        <v>1125</v>
      </c>
      <c r="D88" s="113">
        <v>0</v>
      </c>
      <c r="E88" s="114">
        <v>0</v>
      </c>
      <c r="F88" s="113">
        <v>0</v>
      </c>
      <c r="G88" s="114">
        <v>10</v>
      </c>
      <c r="H88" s="113">
        <v>0</v>
      </c>
      <c r="I88" s="114">
        <v>0</v>
      </c>
      <c r="J88" s="113">
        <v>0</v>
      </c>
      <c r="K88" s="114">
        <v>0</v>
      </c>
      <c r="L88" s="113">
        <v>0</v>
      </c>
      <c r="M88" s="114">
        <v>0</v>
      </c>
      <c r="N88" s="113">
        <v>0</v>
      </c>
      <c r="O88" s="114">
        <v>0</v>
      </c>
      <c r="P88" s="113">
        <v>0</v>
      </c>
      <c r="Q88" s="114">
        <v>0</v>
      </c>
      <c r="R88" s="113">
        <v>0</v>
      </c>
      <c r="S88" s="114">
        <v>0</v>
      </c>
      <c r="T88" s="113">
        <v>0</v>
      </c>
      <c r="U88" s="115">
        <v>0</v>
      </c>
    </row>
    <row r="89" spans="1:21" x14ac:dyDescent="0.25">
      <c r="A89" s="14" t="s">
        <v>1120</v>
      </c>
      <c r="B89" s="116" t="s">
        <v>1122</v>
      </c>
      <c r="C89" s="116" t="s">
        <v>1121</v>
      </c>
      <c r="D89" s="117">
        <v>0</v>
      </c>
      <c r="E89" s="120">
        <v>0</v>
      </c>
      <c r="F89" s="117">
        <v>0</v>
      </c>
      <c r="G89" s="120">
        <v>11</v>
      </c>
      <c r="H89" s="117">
        <v>0</v>
      </c>
      <c r="I89" s="120">
        <v>0</v>
      </c>
      <c r="J89" s="117">
        <v>0</v>
      </c>
      <c r="K89" s="120">
        <v>0</v>
      </c>
      <c r="L89" s="117">
        <v>0</v>
      </c>
      <c r="M89" s="120">
        <v>0</v>
      </c>
      <c r="N89" s="117">
        <v>0</v>
      </c>
      <c r="O89" s="120">
        <v>0</v>
      </c>
      <c r="P89" s="117">
        <v>0</v>
      </c>
      <c r="Q89" s="120">
        <v>0</v>
      </c>
      <c r="R89" s="117">
        <v>0</v>
      </c>
      <c r="S89" s="120">
        <v>0</v>
      </c>
      <c r="T89" s="117">
        <v>0</v>
      </c>
      <c r="U89" s="119">
        <v>0</v>
      </c>
    </row>
    <row r="90" spans="1:21" x14ac:dyDescent="0.25">
      <c r="A90" s="111" t="s">
        <v>702</v>
      </c>
      <c r="B90" s="112" t="s">
        <v>1264</v>
      </c>
      <c r="C90" s="112" t="s">
        <v>1265</v>
      </c>
      <c r="D90" s="113">
        <v>0</v>
      </c>
      <c r="E90" s="114">
        <v>0</v>
      </c>
      <c r="F90" s="113">
        <v>0</v>
      </c>
      <c r="G90" s="114">
        <v>29</v>
      </c>
      <c r="H90" s="113">
        <v>0</v>
      </c>
      <c r="I90" s="114">
        <v>28.96575927734375</v>
      </c>
      <c r="J90" s="113">
        <v>0</v>
      </c>
      <c r="K90" s="114">
        <v>28.96575927734375</v>
      </c>
      <c r="L90" s="113">
        <v>0</v>
      </c>
      <c r="M90" s="114">
        <v>28.96575927734375</v>
      </c>
      <c r="N90" s="113">
        <v>0</v>
      </c>
      <c r="O90" s="114">
        <v>0</v>
      </c>
      <c r="P90" s="113">
        <v>0</v>
      </c>
      <c r="Q90" s="114">
        <v>0</v>
      </c>
      <c r="R90" s="113">
        <v>0</v>
      </c>
      <c r="S90" s="114">
        <v>0</v>
      </c>
      <c r="T90" s="113">
        <v>0</v>
      </c>
      <c r="U90" s="115">
        <v>0</v>
      </c>
    </row>
    <row r="91" spans="1:21" x14ac:dyDescent="0.25">
      <c r="A91" s="14" t="s">
        <v>1266</v>
      </c>
      <c r="B91" s="116" t="s">
        <v>1267</v>
      </c>
      <c r="C91" s="116" t="s">
        <v>1268</v>
      </c>
      <c r="D91" s="117">
        <v>0</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row>
    <row r="92" spans="1:21" x14ac:dyDescent="0.25">
      <c r="A92" s="111" t="s">
        <v>701</v>
      </c>
      <c r="B92" s="112" t="s">
        <v>316</v>
      </c>
      <c r="C92" s="112" t="s">
        <v>1269</v>
      </c>
      <c r="D92" s="113">
        <v>0</v>
      </c>
      <c r="E92" s="114">
        <v>0</v>
      </c>
      <c r="F92" s="113">
        <v>0</v>
      </c>
      <c r="G92" s="114">
        <v>20</v>
      </c>
      <c r="H92" s="113">
        <v>0</v>
      </c>
      <c r="I92" s="114">
        <v>20.24778938293457</v>
      </c>
      <c r="J92" s="113">
        <v>0</v>
      </c>
      <c r="K92" s="114">
        <v>20.24778938293457</v>
      </c>
      <c r="L92" s="113">
        <v>0</v>
      </c>
      <c r="M92" s="114">
        <v>20.24778938293457</v>
      </c>
      <c r="N92" s="113">
        <v>0</v>
      </c>
      <c r="O92" s="114">
        <v>0</v>
      </c>
      <c r="P92" s="113">
        <v>0</v>
      </c>
      <c r="Q92" s="114">
        <v>0</v>
      </c>
      <c r="R92" s="113">
        <v>0</v>
      </c>
      <c r="S92" s="114">
        <v>0</v>
      </c>
      <c r="T92" s="113">
        <v>0</v>
      </c>
      <c r="U92" s="115">
        <v>0</v>
      </c>
    </row>
    <row r="93" spans="1:21" x14ac:dyDescent="0.25">
      <c r="A93" s="14" t="s">
        <v>699</v>
      </c>
      <c r="B93" s="116" t="s">
        <v>1270</v>
      </c>
      <c r="C93" s="116" t="s">
        <v>1271</v>
      </c>
      <c r="D93" s="117">
        <v>0</v>
      </c>
      <c r="E93" s="120">
        <v>0</v>
      </c>
      <c r="F93" s="117">
        <v>0</v>
      </c>
      <c r="G93" s="120">
        <v>506</v>
      </c>
      <c r="H93" s="117">
        <v>0</v>
      </c>
      <c r="I93" s="120">
        <v>67.5806884765625</v>
      </c>
      <c r="J93" s="117">
        <v>0</v>
      </c>
      <c r="K93" s="120">
        <v>67.5806884765625</v>
      </c>
      <c r="L93" s="117">
        <v>370.58047485351563</v>
      </c>
      <c r="M93" s="120">
        <v>438.16116333007812</v>
      </c>
      <c r="N93" s="117">
        <v>0</v>
      </c>
      <c r="O93" s="120">
        <v>0</v>
      </c>
      <c r="P93" s="117">
        <v>0</v>
      </c>
      <c r="Q93" s="120">
        <v>0</v>
      </c>
      <c r="R93" s="117">
        <v>0</v>
      </c>
      <c r="S93" s="120">
        <v>0</v>
      </c>
      <c r="T93" s="117">
        <v>0</v>
      </c>
      <c r="U93" s="119">
        <v>0</v>
      </c>
    </row>
    <row r="94" spans="1:21" x14ac:dyDescent="0.25">
      <c r="A94" s="111" t="s">
        <v>1272</v>
      </c>
      <c r="B94" s="112" t="s">
        <v>1273</v>
      </c>
      <c r="C94" s="112" t="s">
        <v>1274</v>
      </c>
      <c r="D94" s="113">
        <v>0</v>
      </c>
      <c r="E94" s="114">
        <v>0</v>
      </c>
      <c r="F94" s="113">
        <v>0</v>
      </c>
      <c r="G94" s="114">
        <v>0</v>
      </c>
      <c r="H94" s="113">
        <v>0</v>
      </c>
      <c r="I94" s="114">
        <v>0</v>
      </c>
      <c r="J94" s="113">
        <v>0</v>
      </c>
      <c r="K94" s="114">
        <v>0</v>
      </c>
      <c r="L94" s="113">
        <v>0</v>
      </c>
      <c r="M94" s="114">
        <v>0</v>
      </c>
      <c r="N94" s="113">
        <v>0</v>
      </c>
      <c r="O94" s="114">
        <v>0</v>
      </c>
      <c r="P94" s="113">
        <v>0</v>
      </c>
      <c r="Q94" s="114">
        <v>0</v>
      </c>
      <c r="R94" s="113">
        <v>0</v>
      </c>
      <c r="S94" s="114">
        <v>0</v>
      </c>
      <c r="T94" s="113">
        <v>0</v>
      </c>
      <c r="U94" s="115">
        <v>0</v>
      </c>
    </row>
    <row r="95" spans="1:21" x14ac:dyDescent="0.25">
      <c r="A95" s="14" t="s">
        <v>1275</v>
      </c>
      <c r="B95" s="116" t="s">
        <v>767</v>
      </c>
      <c r="C95" s="116" t="s">
        <v>1276</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row>
    <row r="96" spans="1:21" x14ac:dyDescent="0.25">
      <c r="A96" s="111" t="s">
        <v>1128</v>
      </c>
      <c r="B96" s="112" t="s">
        <v>1277</v>
      </c>
      <c r="C96" s="112" t="s">
        <v>1129</v>
      </c>
      <c r="D96" s="113">
        <v>0</v>
      </c>
      <c r="E96" s="114">
        <v>0</v>
      </c>
      <c r="F96" s="113">
        <v>0</v>
      </c>
      <c r="G96" s="114">
        <v>0</v>
      </c>
      <c r="H96" s="113">
        <v>0</v>
      </c>
      <c r="I96" s="114">
        <v>0</v>
      </c>
      <c r="J96" s="113">
        <v>0</v>
      </c>
      <c r="K96" s="114">
        <v>0</v>
      </c>
      <c r="L96" s="113">
        <v>0</v>
      </c>
      <c r="M96" s="114">
        <v>0</v>
      </c>
      <c r="N96" s="113">
        <v>0</v>
      </c>
      <c r="O96" s="114">
        <v>0</v>
      </c>
      <c r="P96" s="113">
        <v>0</v>
      </c>
      <c r="Q96" s="114">
        <v>0</v>
      </c>
      <c r="R96" s="113">
        <v>0</v>
      </c>
      <c r="S96" s="114">
        <v>0</v>
      </c>
      <c r="T96" s="113">
        <v>0</v>
      </c>
      <c r="U96" s="115">
        <v>0</v>
      </c>
    </row>
    <row r="97" spans="1:21" x14ac:dyDescent="0.25">
      <c r="A97" s="14" t="s">
        <v>1278</v>
      </c>
      <c r="B97" s="116" t="s">
        <v>946</v>
      </c>
      <c r="C97" s="116" t="s">
        <v>1279</v>
      </c>
      <c r="D97" s="117">
        <v>0</v>
      </c>
      <c r="E97" s="120">
        <v>0</v>
      </c>
      <c r="F97" s="117">
        <v>0</v>
      </c>
      <c r="G97" s="120">
        <v>0</v>
      </c>
      <c r="H97" s="117">
        <v>0</v>
      </c>
      <c r="I97" s="120">
        <v>0</v>
      </c>
      <c r="J97" s="117">
        <v>0</v>
      </c>
      <c r="K97" s="120">
        <v>0</v>
      </c>
      <c r="L97" s="117">
        <v>0</v>
      </c>
      <c r="M97" s="120">
        <v>0</v>
      </c>
      <c r="N97" s="117">
        <v>0</v>
      </c>
      <c r="O97" s="120">
        <v>0</v>
      </c>
      <c r="P97" s="117">
        <v>0</v>
      </c>
      <c r="Q97" s="120">
        <v>0</v>
      </c>
      <c r="R97" s="117">
        <v>0</v>
      </c>
      <c r="S97" s="120">
        <v>0</v>
      </c>
      <c r="T97" s="117">
        <v>0</v>
      </c>
      <c r="U97" s="119">
        <v>0</v>
      </c>
    </row>
    <row r="98" spans="1:21" x14ac:dyDescent="0.25">
      <c r="A98" s="111" t="s">
        <v>519</v>
      </c>
      <c r="B98" s="112" t="s">
        <v>1280</v>
      </c>
      <c r="C98" s="112" t="s">
        <v>1281</v>
      </c>
      <c r="D98" s="113">
        <v>0</v>
      </c>
      <c r="E98" s="114">
        <v>0</v>
      </c>
      <c r="F98" s="113">
        <v>0</v>
      </c>
      <c r="G98" s="114">
        <v>34</v>
      </c>
      <c r="H98" s="113">
        <v>0</v>
      </c>
      <c r="I98" s="114">
        <v>33.591888427734375</v>
      </c>
      <c r="J98" s="113">
        <v>0</v>
      </c>
      <c r="K98" s="114">
        <v>33.591888427734375</v>
      </c>
      <c r="L98" s="113">
        <v>0</v>
      </c>
      <c r="M98" s="114">
        <v>33.591888427734375</v>
      </c>
      <c r="N98" s="113">
        <v>0</v>
      </c>
      <c r="O98" s="114">
        <v>0</v>
      </c>
      <c r="P98" s="113">
        <v>0</v>
      </c>
      <c r="Q98" s="114">
        <v>0</v>
      </c>
      <c r="R98" s="113">
        <v>0</v>
      </c>
      <c r="S98" s="114">
        <v>0</v>
      </c>
      <c r="T98" s="113">
        <v>0</v>
      </c>
      <c r="U98" s="115">
        <v>0</v>
      </c>
    </row>
    <row r="99" spans="1:21" x14ac:dyDescent="0.25">
      <c r="A99" s="14" t="s">
        <v>1282</v>
      </c>
      <c r="B99" s="116" t="s">
        <v>1283</v>
      </c>
      <c r="C99" s="116" t="s">
        <v>1284</v>
      </c>
      <c r="D99" s="117">
        <v>0</v>
      </c>
      <c r="E99" s="120">
        <v>0</v>
      </c>
      <c r="F99" s="117">
        <v>0</v>
      </c>
      <c r="G99" s="120">
        <v>0</v>
      </c>
      <c r="H99" s="117">
        <v>0</v>
      </c>
      <c r="I99" s="120">
        <v>0</v>
      </c>
      <c r="J99" s="117">
        <v>0</v>
      </c>
      <c r="K99" s="120">
        <v>0</v>
      </c>
      <c r="L99" s="117">
        <v>0</v>
      </c>
      <c r="M99" s="120">
        <v>0</v>
      </c>
      <c r="N99" s="117">
        <v>0</v>
      </c>
      <c r="O99" s="120">
        <v>0</v>
      </c>
      <c r="P99" s="117">
        <v>0</v>
      </c>
      <c r="Q99" s="120">
        <v>0</v>
      </c>
      <c r="R99" s="117">
        <v>0</v>
      </c>
      <c r="S99" s="120">
        <v>0</v>
      </c>
      <c r="T99" s="117">
        <v>0</v>
      </c>
      <c r="U99" s="119">
        <v>0</v>
      </c>
    </row>
    <row r="100" spans="1:21" x14ac:dyDescent="0.25">
      <c r="A100" s="111" t="s">
        <v>1106</v>
      </c>
      <c r="B100" s="112" t="s">
        <v>1285</v>
      </c>
      <c r="C100" s="112" t="s">
        <v>1107</v>
      </c>
      <c r="D100" s="113">
        <v>0</v>
      </c>
      <c r="E100" s="114">
        <v>0</v>
      </c>
      <c r="F100" s="113">
        <v>0</v>
      </c>
      <c r="G100" s="114">
        <v>1606</v>
      </c>
      <c r="H100" s="113">
        <v>0</v>
      </c>
      <c r="I100" s="114">
        <v>0</v>
      </c>
      <c r="J100" s="113">
        <v>0</v>
      </c>
      <c r="K100" s="114">
        <v>0</v>
      </c>
      <c r="L100" s="113">
        <v>1236.459716796875</v>
      </c>
      <c r="M100" s="114">
        <v>1236.459716796875</v>
      </c>
      <c r="N100" s="113">
        <v>0</v>
      </c>
      <c r="O100" s="114">
        <v>0</v>
      </c>
      <c r="P100" s="113">
        <v>0</v>
      </c>
      <c r="Q100" s="114">
        <v>0</v>
      </c>
      <c r="R100" s="113">
        <v>0</v>
      </c>
      <c r="S100" s="114">
        <v>0</v>
      </c>
      <c r="T100" s="113">
        <v>0</v>
      </c>
      <c r="U100" s="115">
        <v>0</v>
      </c>
    </row>
    <row r="101" spans="1:21" x14ac:dyDescent="0.25">
      <c r="A101" s="14" t="s">
        <v>1286</v>
      </c>
      <c r="B101" s="116" t="s">
        <v>1287</v>
      </c>
      <c r="C101" s="116" t="s">
        <v>1288</v>
      </c>
      <c r="D101" s="117">
        <v>0</v>
      </c>
      <c r="E101" s="120">
        <v>0</v>
      </c>
      <c r="F101" s="117">
        <v>0</v>
      </c>
      <c r="G101" s="120">
        <v>0</v>
      </c>
      <c r="H101" s="117">
        <v>0</v>
      </c>
      <c r="I101" s="120">
        <v>-0.51274001598358154</v>
      </c>
      <c r="J101" s="117">
        <v>0</v>
      </c>
      <c r="K101" s="120">
        <v>-0.51274001598358154</v>
      </c>
      <c r="L101" s="117">
        <v>0</v>
      </c>
      <c r="M101" s="120">
        <v>-0.51274001598358154</v>
      </c>
      <c r="N101" s="117">
        <v>0</v>
      </c>
      <c r="O101" s="120">
        <v>0</v>
      </c>
      <c r="P101" s="117">
        <v>0</v>
      </c>
      <c r="Q101" s="120">
        <v>0</v>
      </c>
      <c r="R101" s="117">
        <v>0</v>
      </c>
      <c r="S101" s="120">
        <v>0</v>
      </c>
      <c r="T101" s="117">
        <v>0</v>
      </c>
      <c r="U101" s="119">
        <v>0</v>
      </c>
    </row>
    <row r="102" spans="1:21" x14ac:dyDescent="0.25">
      <c r="A102" s="111" t="s">
        <v>1289</v>
      </c>
      <c r="B102" s="112" t="s">
        <v>1290</v>
      </c>
      <c r="C102" s="112" t="s">
        <v>1291</v>
      </c>
      <c r="D102" s="113">
        <v>0</v>
      </c>
      <c r="E102" s="114">
        <v>0</v>
      </c>
      <c r="F102" s="113">
        <v>0</v>
      </c>
      <c r="G102" s="114">
        <v>0</v>
      </c>
      <c r="H102" s="113">
        <v>0</v>
      </c>
      <c r="I102" s="114">
        <v>0</v>
      </c>
      <c r="J102" s="113">
        <v>0</v>
      </c>
      <c r="K102" s="114">
        <v>0</v>
      </c>
      <c r="L102" s="113">
        <v>0</v>
      </c>
      <c r="M102" s="114">
        <v>0</v>
      </c>
      <c r="N102" s="113">
        <v>0</v>
      </c>
      <c r="O102" s="114">
        <v>0</v>
      </c>
      <c r="P102" s="113">
        <v>0</v>
      </c>
      <c r="Q102" s="114">
        <v>0</v>
      </c>
      <c r="R102" s="113">
        <v>0</v>
      </c>
      <c r="S102" s="114">
        <v>0</v>
      </c>
      <c r="T102" s="113">
        <v>0</v>
      </c>
      <c r="U102" s="115">
        <v>0</v>
      </c>
    </row>
    <row r="103" spans="1:21" x14ac:dyDescent="0.25">
      <c r="A103" s="14" t="s">
        <v>703</v>
      </c>
      <c r="B103" s="116" t="s">
        <v>322</v>
      </c>
      <c r="C103" s="116" t="s">
        <v>1292</v>
      </c>
      <c r="D103" s="117">
        <v>0</v>
      </c>
      <c r="E103" s="120">
        <v>0</v>
      </c>
      <c r="F103" s="117">
        <v>0</v>
      </c>
      <c r="G103" s="120">
        <v>59</v>
      </c>
      <c r="H103" s="117">
        <v>0</v>
      </c>
      <c r="I103" s="120">
        <v>58.640060424804688</v>
      </c>
      <c r="J103" s="117">
        <v>0</v>
      </c>
      <c r="K103" s="120">
        <v>58.640060424804688</v>
      </c>
      <c r="L103" s="117">
        <v>0</v>
      </c>
      <c r="M103" s="120">
        <v>58.640060424804688</v>
      </c>
      <c r="N103" s="117">
        <v>0</v>
      </c>
      <c r="O103" s="120">
        <v>0</v>
      </c>
      <c r="P103" s="117">
        <v>0</v>
      </c>
      <c r="Q103" s="120">
        <v>0</v>
      </c>
      <c r="R103" s="117">
        <v>0</v>
      </c>
      <c r="S103" s="120">
        <v>0</v>
      </c>
      <c r="T103" s="117">
        <v>0</v>
      </c>
      <c r="U103" s="119">
        <v>0</v>
      </c>
    </row>
    <row r="104" spans="1:21" x14ac:dyDescent="0.25">
      <c r="A104" s="111" t="s">
        <v>1293</v>
      </c>
      <c r="B104" s="112" t="s">
        <v>1294</v>
      </c>
      <c r="C104" s="112" t="s">
        <v>1295</v>
      </c>
      <c r="D104" s="113">
        <v>0</v>
      </c>
      <c r="E104" s="114">
        <v>0</v>
      </c>
      <c r="F104" s="113">
        <v>0</v>
      </c>
      <c r="G104" s="114">
        <v>0</v>
      </c>
      <c r="H104" s="113">
        <v>0</v>
      </c>
      <c r="I104" s="114">
        <v>0</v>
      </c>
      <c r="J104" s="113">
        <v>0</v>
      </c>
      <c r="K104" s="114">
        <v>0</v>
      </c>
      <c r="L104" s="113">
        <v>0</v>
      </c>
      <c r="M104" s="114">
        <v>0</v>
      </c>
      <c r="N104" s="113">
        <v>0</v>
      </c>
      <c r="O104" s="114">
        <v>0</v>
      </c>
      <c r="P104" s="113">
        <v>0</v>
      </c>
      <c r="Q104" s="114">
        <v>0</v>
      </c>
      <c r="R104" s="113">
        <v>0</v>
      </c>
      <c r="S104" s="114">
        <v>0</v>
      </c>
      <c r="T104" s="113">
        <v>0</v>
      </c>
      <c r="U104" s="115">
        <v>0</v>
      </c>
    </row>
    <row r="105" spans="1:21" x14ac:dyDescent="0.25">
      <c r="A105" s="14" t="s">
        <v>1296</v>
      </c>
      <c r="B105" s="116" t="s">
        <v>1297</v>
      </c>
      <c r="C105" s="116" t="s">
        <v>1298</v>
      </c>
      <c r="D105" s="117">
        <v>0</v>
      </c>
      <c r="E105" s="120">
        <v>0</v>
      </c>
      <c r="F105" s="117">
        <v>0</v>
      </c>
      <c r="G105" s="120">
        <v>0</v>
      </c>
      <c r="H105" s="117">
        <v>0</v>
      </c>
      <c r="I105" s="120">
        <v>0</v>
      </c>
      <c r="J105" s="117">
        <v>0</v>
      </c>
      <c r="K105" s="120">
        <v>0</v>
      </c>
      <c r="L105" s="117">
        <v>0</v>
      </c>
      <c r="M105" s="120">
        <v>0</v>
      </c>
      <c r="N105" s="117">
        <v>0</v>
      </c>
      <c r="O105" s="120">
        <v>0</v>
      </c>
      <c r="P105" s="117">
        <v>0</v>
      </c>
      <c r="Q105" s="120">
        <v>0</v>
      </c>
      <c r="R105" s="117">
        <v>0</v>
      </c>
      <c r="S105" s="120">
        <v>0</v>
      </c>
      <c r="T105" s="117">
        <v>0</v>
      </c>
      <c r="U105" s="119">
        <v>0</v>
      </c>
    </row>
    <row r="106" spans="1:21" x14ac:dyDescent="0.25">
      <c r="A106" s="111" t="s">
        <v>696</v>
      </c>
      <c r="B106" s="112" t="s">
        <v>304</v>
      </c>
      <c r="C106" s="112" t="s">
        <v>1299</v>
      </c>
      <c r="D106" s="113">
        <v>0</v>
      </c>
      <c r="E106" s="114">
        <v>0</v>
      </c>
      <c r="F106" s="113">
        <v>0</v>
      </c>
      <c r="G106" s="114">
        <v>846</v>
      </c>
      <c r="H106" s="113">
        <v>0</v>
      </c>
      <c r="I106" s="114">
        <v>812</v>
      </c>
      <c r="J106" s="113">
        <v>0</v>
      </c>
      <c r="K106" s="114">
        <v>812</v>
      </c>
      <c r="L106" s="113">
        <v>0</v>
      </c>
      <c r="M106" s="114">
        <v>812</v>
      </c>
      <c r="N106" s="113">
        <v>0</v>
      </c>
      <c r="O106" s="114">
        <v>0</v>
      </c>
      <c r="P106" s="113">
        <v>0</v>
      </c>
      <c r="Q106" s="114">
        <v>0</v>
      </c>
      <c r="R106" s="113">
        <v>0</v>
      </c>
      <c r="S106" s="114">
        <v>0</v>
      </c>
      <c r="T106" s="113">
        <v>0</v>
      </c>
      <c r="U106" s="115">
        <v>0</v>
      </c>
    </row>
    <row r="107" spans="1:21" x14ac:dyDescent="0.25">
      <c r="A107" s="14" t="s">
        <v>707</v>
      </c>
      <c r="B107" s="116" t="s">
        <v>1300</v>
      </c>
      <c r="C107" s="116" t="s">
        <v>1301</v>
      </c>
      <c r="D107" s="117">
        <v>0</v>
      </c>
      <c r="E107" s="120">
        <v>0</v>
      </c>
      <c r="F107" s="117">
        <v>0</v>
      </c>
      <c r="G107" s="120">
        <v>0</v>
      </c>
      <c r="H107" s="117">
        <v>0</v>
      </c>
      <c r="I107" s="120">
        <v>0</v>
      </c>
      <c r="J107" s="117">
        <v>0</v>
      </c>
      <c r="K107" s="120">
        <v>0</v>
      </c>
      <c r="L107" s="117">
        <v>0</v>
      </c>
      <c r="M107" s="120">
        <v>0</v>
      </c>
      <c r="N107" s="117">
        <v>0</v>
      </c>
      <c r="O107" s="120">
        <v>0</v>
      </c>
      <c r="P107" s="117">
        <v>0</v>
      </c>
      <c r="Q107" s="120">
        <v>0</v>
      </c>
      <c r="R107" s="117">
        <v>0</v>
      </c>
      <c r="S107" s="120">
        <v>0</v>
      </c>
      <c r="T107" s="117">
        <v>0</v>
      </c>
      <c r="U107" s="119">
        <v>0</v>
      </c>
    </row>
    <row r="108" spans="1:21" x14ac:dyDescent="0.25">
      <c r="A108" s="111" t="s">
        <v>518</v>
      </c>
      <c r="B108" s="112" t="s">
        <v>1302</v>
      </c>
      <c r="C108" s="112" t="s">
        <v>1303</v>
      </c>
      <c r="D108" s="113">
        <v>0</v>
      </c>
      <c r="E108" s="114">
        <v>0</v>
      </c>
      <c r="F108" s="113">
        <v>0</v>
      </c>
      <c r="G108" s="114">
        <v>70</v>
      </c>
      <c r="H108" s="113">
        <v>0</v>
      </c>
      <c r="I108" s="114">
        <v>0</v>
      </c>
      <c r="J108" s="113">
        <v>0</v>
      </c>
      <c r="K108" s="114">
        <v>0</v>
      </c>
      <c r="L108" s="113">
        <v>0</v>
      </c>
      <c r="M108" s="114">
        <v>0</v>
      </c>
      <c r="N108" s="113">
        <v>0</v>
      </c>
      <c r="O108" s="114">
        <v>0</v>
      </c>
      <c r="P108" s="113">
        <v>0</v>
      </c>
      <c r="Q108" s="114">
        <v>0</v>
      </c>
      <c r="R108" s="113">
        <v>0</v>
      </c>
      <c r="S108" s="114">
        <v>0</v>
      </c>
      <c r="T108" s="113">
        <v>0</v>
      </c>
      <c r="U108" s="115">
        <v>0</v>
      </c>
    </row>
    <row r="109" spans="1:21" x14ac:dyDescent="0.25">
      <c r="A109" s="14" t="s">
        <v>711</v>
      </c>
      <c r="B109" s="116" t="s">
        <v>712</v>
      </c>
      <c r="C109" s="116" t="s">
        <v>1304</v>
      </c>
      <c r="D109" s="117">
        <v>0</v>
      </c>
      <c r="E109" s="120">
        <v>0</v>
      </c>
      <c r="F109" s="117">
        <v>0</v>
      </c>
      <c r="G109" s="120">
        <v>0</v>
      </c>
      <c r="H109" s="117">
        <v>0</v>
      </c>
      <c r="I109" s="120">
        <v>0</v>
      </c>
      <c r="J109" s="117">
        <v>0</v>
      </c>
      <c r="K109" s="120">
        <v>0</v>
      </c>
      <c r="L109" s="117">
        <v>0</v>
      </c>
      <c r="M109" s="120">
        <v>0</v>
      </c>
      <c r="N109" s="117">
        <v>0</v>
      </c>
      <c r="O109" s="120">
        <v>0</v>
      </c>
      <c r="P109" s="117">
        <v>0</v>
      </c>
      <c r="Q109" s="120">
        <v>0</v>
      </c>
      <c r="R109" s="117">
        <v>0</v>
      </c>
      <c r="S109" s="120">
        <v>0</v>
      </c>
      <c r="T109" s="117">
        <v>0</v>
      </c>
      <c r="U109" s="119">
        <v>0</v>
      </c>
    </row>
    <row r="110" spans="1:21" x14ac:dyDescent="0.25">
      <c r="A110" s="111" t="s">
        <v>698</v>
      </c>
      <c r="B110" s="112" t="s">
        <v>1305</v>
      </c>
      <c r="C110" s="112" t="s">
        <v>1306</v>
      </c>
      <c r="D110" s="113">
        <v>0</v>
      </c>
      <c r="E110" s="114">
        <v>0</v>
      </c>
      <c r="F110" s="113">
        <v>0</v>
      </c>
      <c r="G110" s="114">
        <v>0</v>
      </c>
      <c r="H110" s="113">
        <v>0</v>
      </c>
      <c r="I110" s="114">
        <v>0</v>
      </c>
      <c r="J110" s="113">
        <v>0</v>
      </c>
      <c r="K110" s="114">
        <v>0</v>
      </c>
      <c r="L110" s="113">
        <v>0</v>
      </c>
      <c r="M110" s="114">
        <v>0</v>
      </c>
      <c r="N110" s="113">
        <v>0</v>
      </c>
      <c r="O110" s="114">
        <v>0</v>
      </c>
      <c r="P110" s="113">
        <v>0</v>
      </c>
      <c r="Q110" s="114">
        <v>0</v>
      </c>
      <c r="R110" s="113">
        <v>0</v>
      </c>
      <c r="S110" s="114">
        <v>0</v>
      </c>
      <c r="T110" s="113">
        <v>0</v>
      </c>
      <c r="U110" s="115">
        <v>0</v>
      </c>
    </row>
    <row r="111" spans="1:21" x14ac:dyDescent="0.25">
      <c r="A111" s="14" t="s">
        <v>1307</v>
      </c>
      <c r="B111" s="116" t="s">
        <v>1308</v>
      </c>
      <c r="C111" s="116" t="s">
        <v>1309</v>
      </c>
      <c r="D111" s="117">
        <v>0</v>
      </c>
      <c r="E111" s="120">
        <v>0</v>
      </c>
      <c r="F111" s="117">
        <v>0</v>
      </c>
      <c r="G111" s="120">
        <v>23</v>
      </c>
      <c r="H111" s="117">
        <v>0</v>
      </c>
      <c r="I111" s="120">
        <v>22.68235969543457</v>
      </c>
      <c r="J111" s="117">
        <v>0</v>
      </c>
      <c r="K111" s="120">
        <v>22.68235969543457</v>
      </c>
      <c r="L111" s="117">
        <v>0</v>
      </c>
      <c r="M111" s="120">
        <v>22.68235969543457</v>
      </c>
      <c r="N111" s="117">
        <v>0</v>
      </c>
      <c r="O111" s="120">
        <v>0</v>
      </c>
      <c r="P111" s="117">
        <v>0</v>
      </c>
      <c r="Q111" s="120">
        <v>0</v>
      </c>
      <c r="R111" s="117">
        <v>0</v>
      </c>
      <c r="S111" s="120">
        <v>0</v>
      </c>
      <c r="T111" s="117">
        <v>0</v>
      </c>
      <c r="U111" s="119">
        <v>0</v>
      </c>
    </row>
    <row r="112" spans="1:21" x14ac:dyDescent="0.25">
      <c r="A112" s="111" t="s">
        <v>697</v>
      </c>
      <c r="B112" s="112" t="s">
        <v>1310</v>
      </c>
      <c r="C112" s="112" t="s">
        <v>1311</v>
      </c>
      <c r="D112" s="113">
        <v>0</v>
      </c>
      <c r="E112" s="114">
        <v>0</v>
      </c>
      <c r="F112" s="113">
        <v>0</v>
      </c>
      <c r="G112" s="114">
        <v>0</v>
      </c>
      <c r="H112" s="113">
        <v>0</v>
      </c>
      <c r="I112" s="114">
        <v>0</v>
      </c>
      <c r="J112" s="113">
        <v>0</v>
      </c>
      <c r="K112" s="114">
        <v>0</v>
      </c>
      <c r="L112" s="113">
        <v>0</v>
      </c>
      <c r="M112" s="114">
        <v>0</v>
      </c>
      <c r="N112" s="113">
        <v>0</v>
      </c>
      <c r="O112" s="114">
        <v>0</v>
      </c>
      <c r="P112" s="113">
        <v>0</v>
      </c>
      <c r="Q112" s="114">
        <v>0</v>
      </c>
      <c r="R112" s="113">
        <v>0</v>
      </c>
      <c r="S112" s="114">
        <v>0</v>
      </c>
      <c r="T112" s="113">
        <v>0</v>
      </c>
      <c r="U112" s="115">
        <v>0</v>
      </c>
    </row>
    <row r="113" spans="1:21" x14ac:dyDescent="0.25">
      <c r="A113" s="14" t="s">
        <v>521</v>
      </c>
      <c r="B113" s="116" t="s">
        <v>1312</v>
      </c>
      <c r="C113" s="116" t="s">
        <v>1313</v>
      </c>
      <c r="D113" s="117">
        <v>0</v>
      </c>
      <c r="E113" s="120">
        <v>0</v>
      </c>
      <c r="F113" s="117">
        <v>0</v>
      </c>
      <c r="G113" s="120">
        <v>0</v>
      </c>
      <c r="H113" s="117">
        <v>0</v>
      </c>
      <c r="I113" s="120">
        <v>0</v>
      </c>
      <c r="J113" s="117">
        <v>0</v>
      </c>
      <c r="K113" s="120">
        <v>0</v>
      </c>
      <c r="L113" s="117">
        <v>0</v>
      </c>
      <c r="M113" s="120">
        <v>0</v>
      </c>
      <c r="N113" s="117">
        <v>0</v>
      </c>
      <c r="O113" s="120">
        <v>0</v>
      </c>
      <c r="P113" s="117">
        <v>0</v>
      </c>
      <c r="Q113" s="120">
        <v>0</v>
      </c>
      <c r="R113" s="117">
        <v>0</v>
      </c>
      <c r="S113" s="120">
        <v>0</v>
      </c>
      <c r="T113" s="117">
        <v>0</v>
      </c>
      <c r="U113" s="119">
        <v>0</v>
      </c>
    </row>
    <row r="114" spans="1:21" x14ac:dyDescent="0.25">
      <c r="A114" s="111" t="s">
        <v>523</v>
      </c>
      <c r="B114" s="112" t="s">
        <v>522</v>
      </c>
      <c r="C114" s="112" t="s">
        <v>1314</v>
      </c>
      <c r="D114" s="113">
        <v>0</v>
      </c>
      <c r="E114" s="114">
        <v>0</v>
      </c>
      <c r="F114" s="113">
        <v>0</v>
      </c>
      <c r="G114" s="114">
        <v>0</v>
      </c>
      <c r="H114" s="113">
        <v>0</v>
      </c>
      <c r="I114" s="114">
        <v>0</v>
      </c>
      <c r="J114" s="113">
        <v>0</v>
      </c>
      <c r="K114" s="114">
        <v>0</v>
      </c>
      <c r="L114" s="113">
        <v>0</v>
      </c>
      <c r="M114" s="114">
        <v>0</v>
      </c>
      <c r="N114" s="113">
        <v>0</v>
      </c>
      <c r="O114" s="114">
        <v>0</v>
      </c>
      <c r="P114" s="113">
        <v>0</v>
      </c>
      <c r="Q114" s="114">
        <v>0</v>
      </c>
      <c r="R114" s="113">
        <v>0</v>
      </c>
      <c r="S114" s="114">
        <v>0</v>
      </c>
      <c r="T114" s="113">
        <v>0</v>
      </c>
      <c r="U114" s="115">
        <v>0</v>
      </c>
    </row>
    <row r="115" spans="1:21" x14ac:dyDescent="0.25">
      <c r="A115" s="14" t="s">
        <v>953</v>
      </c>
      <c r="B115" s="116" t="s">
        <v>954</v>
      </c>
      <c r="C115" s="116" t="s">
        <v>1319</v>
      </c>
      <c r="D115" s="117">
        <v>0</v>
      </c>
      <c r="E115" s="120">
        <v>0</v>
      </c>
      <c r="F115" s="117">
        <v>0</v>
      </c>
      <c r="G115" s="120">
        <v>600</v>
      </c>
      <c r="H115" s="117">
        <v>0</v>
      </c>
      <c r="I115" s="120">
        <v>599.97772216796875</v>
      </c>
      <c r="J115" s="117">
        <v>0</v>
      </c>
      <c r="K115" s="120">
        <v>599.97772216796875</v>
      </c>
      <c r="L115" s="117">
        <v>0</v>
      </c>
      <c r="M115" s="120">
        <v>599.97772216796875</v>
      </c>
      <c r="N115" s="117">
        <v>0</v>
      </c>
      <c r="O115" s="120">
        <v>0</v>
      </c>
      <c r="P115" s="117">
        <v>0</v>
      </c>
      <c r="Q115" s="120">
        <v>0</v>
      </c>
      <c r="R115" s="117">
        <v>0</v>
      </c>
      <c r="S115" s="120">
        <v>0</v>
      </c>
      <c r="T115" s="117">
        <v>0</v>
      </c>
      <c r="U115" s="119">
        <v>0</v>
      </c>
    </row>
    <row r="116" spans="1:21" x14ac:dyDescent="0.25">
      <c r="A116" s="111" t="s">
        <v>1102</v>
      </c>
      <c r="B116" s="112" t="s">
        <v>310</v>
      </c>
      <c r="C116" s="112" t="s">
        <v>1320</v>
      </c>
      <c r="D116" s="113">
        <v>0</v>
      </c>
      <c r="E116" s="114">
        <v>0</v>
      </c>
      <c r="F116" s="113">
        <v>0</v>
      </c>
      <c r="G116" s="114">
        <v>0</v>
      </c>
      <c r="H116" s="113">
        <v>0</v>
      </c>
      <c r="I116" s="114">
        <v>0</v>
      </c>
      <c r="J116" s="113">
        <v>0</v>
      </c>
      <c r="K116" s="114">
        <v>0</v>
      </c>
      <c r="L116" s="113">
        <v>0</v>
      </c>
      <c r="M116" s="114">
        <v>0</v>
      </c>
      <c r="N116" s="113">
        <v>0</v>
      </c>
      <c r="O116" s="114">
        <v>0</v>
      </c>
      <c r="P116" s="113">
        <v>0</v>
      </c>
      <c r="Q116" s="114">
        <v>0</v>
      </c>
      <c r="R116" s="113">
        <v>0</v>
      </c>
      <c r="S116" s="114">
        <v>0</v>
      </c>
      <c r="T116" s="113">
        <v>0</v>
      </c>
      <c r="U116" s="115">
        <v>0</v>
      </c>
    </row>
    <row r="117" spans="1:21" x14ac:dyDescent="0.25">
      <c r="A117" s="14" t="s">
        <v>1084</v>
      </c>
      <c r="B117" s="116" t="s">
        <v>1321</v>
      </c>
      <c r="C117" s="116" t="s">
        <v>1322</v>
      </c>
      <c r="D117" s="117">
        <v>0</v>
      </c>
      <c r="E117" s="120">
        <v>0</v>
      </c>
      <c r="F117" s="117">
        <v>0</v>
      </c>
      <c r="G117" s="120">
        <v>0</v>
      </c>
      <c r="H117" s="117">
        <v>0</v>
      </c>
      <c r="I117" s="120">
        <v>0</v>
      </c>
      <c r="J117" s="117">
        <v>0</v>
      </c>
      <c r="K117" s="120">
        <v>0</v>
      </c>
      <c r="L117" s="117">
        <v>0</v>
      </c>
      <c r="M117" s="120">
        <v>0</v>
      </c>
      <c r="N117" s="117">
        <v>0</v>
      </c>
      <c r="O117" s="120">
        <v>0</v>
      </c>
      <c r="P117" s="117">
        <v>0</v>
      </c>
      <c r="Q117" s="120">
        <v>0</v>
      </c>
      <c r="R117" s="117">
        <v>0</v>
      </c>
      <c r="S117" s="120">
        <v>0</v>
      </c>
      <c r="T117" s="117">
        <v>0</v>
      </c>
      <c r="U117" s="119">
        <v>0</v>
      </c>
    </row>
    <row r="118" spans="1:21" x14ac:dyDescent="0.25">
      <c r="A118" s="111" t="s">
        <v>990</v>
      </c>
      <c r="B118" s="112" t="s">
        <v>1277</v>
      </c>
      <c r="C118" s="112" t="s">
        <v>1323</v>
      </c>
      <c r="D118" s="113">
        <v>0</v>
      </c>
      <c r="E118" s="114">
        <v>0</v>
      </c>
      <c r="F118" s="113">
        <v>0</v>
      </c>
      <c r="G118" s="114">
        <v>0</v>
      </c>
      <c r="H118" s="113">
        <v>0</v>
      </c>
      <c r="I118" s="114">
        <v>0</v>
      </c>
      <c r="J118" s="113">
        <v>0</v>
      </c>
      <c r="K118" s="114">
        <v>0</v>
      </c>
      <c r="L118" s="113">
        <v>0</v>
      </c>
      <c r="M118" s="114">
        <v>0</v>
      </c>
      <c r="N118" s="113">
        <v>0</v>
      </c>
      <c r="O118" s="114">
        <v>0</v>
      </c>
      <c r="P118" s="113">
        <v>0</v>
      </c>
      <c r="Q118" s="114">
        <v>0</v>
      </c>
      <c r="R118" s="113">
        <v>0</v>
      </c>
      <c r="S118" s="114">
        <v>0</v>
      </c>
      <c r="T118" s="113">
        <v>0</v>
      </c>
      <c r="U118" s="115">
        <v>0</v>
      </c>
    </row>
    <row r="119" spans="1:21" x14ac:dyDescent="0.25">
      <c r="A119" s="14" t="s">
        <v>992</v>
      </c>
      <c r="B119" s="116" t="s">
        <v>967</v>
      </c>
      <c r="C119" s="116" t="s">
        <v>1324</v>
      </c>
      <c r="D119" s="117">
        <v>0</v>
      </c>
      <c r="E119" s="120">
        <v>0</v>
      </c>
      <c r="F119" s="117">
        <v>0</v>
      </c>
      <c r="G119" s="120">
        <v>0</v>
      </c>
      <c r="H119" s="117">
        <v>0</v>
      </c>
      <c r="I119" s="120">
        <v>0</v>
      </c>
      <c r="J119" s="117">
        <v>0</v>
      </c>
      <c r="K119" s="120">
        <v>0</v>
      </c>
      <c r="L119" s="117">
        <v>0</v>
      </c>
      <c r="M119" s="120">
        <v>0</v>
      </c>
      <c r="N119" s="117">
        <v>0</v>
      </c>
      <c r="O119" s="120">
        <v>0</v>
      </c>
      <c r="P119" s="117">
        <v>0</v>
      </c>
      <c r="Q119" s="120">
        <v>0</v>
      </c>
      <c r="R119" s="117">
        <v>0</v>
      </c>
      <c r="S119" s="120">
        <v>0</v>
      </c>
      <c r="T119" s="117">
        <v>0</v>
      </c>
      <c r="U119" s="119">
        <v>0</v>
      </c>
    </row>
    <row r="120" spans="1:21" x14ac:dyDescent="0.25">
      <c r="A120" s="111" t="s">
        <v>1080</v>
      </c>
      <c r="B120" s="112" t="s">
        <v>1325</v>
      </c>
      <c r="C120" s="112" t="s">
        <v>1326</v>
      </c>
      <c r="D120" s="113">
        <v>0</v>
      </c>
      <c r="E120" s="114">
        <v>0</v>
      </c>
      <c r="F120" s="113">
        <v>0</v>
      </c>
      <c r="G120" s="114">
        <v>259</v>
      </c>
      <c r="H120" s="113">
        <v>0</v>
      </c>
      <c r="I120" s="114">
        <v>0</v>
      </c>
      <c r="J120" s="113">
        <v>0</v>
      </c>
      <c r="K120" s="114">
        <v>0</v>
      </c>
      <c r="L120" s="113">
        <v>0</v>
      </c>
      <c r="M120" s="114">
        <v>0</v>
      </c>
      <c r="N120" s="113">
        <v>0</v>
      </c>
      <c r="O120" s="114">
        <v>0</v>
      </c>
      <c r="P120" s="113">
        <v>0</v>
      </c>
      <c r="Q120" s="114">
        <v>0</v>
      </c>
      <c r="R120" s="113">
        <v>0</v>
      </c>
      <c r="S120" s="114">
        <v>0</v>
      </c>
      <c r="T120" s="113">
        <v>0</v>
      </c>
      <c r="U120" s="115">
        <v>0</v>
      </c>
    </row>
    <row r="121" spans="1:21" x14ac:dyDescent="0.25">
      <c r="A121" s="14" t="s">
        <v>1087</v>
      </c>
      <c r="B121" s="116" t="s">
        <v>966</v>
      </c>
      <c r="C121" s="116" t="s">
        <v>1327</v>
      </c>
      <c r="D121" s="117">
        <v>0</v>
      </c>
      <c r="E121" s="120">
        <v>0</v>
      </c>
      <c r="F121" s="117">
        <v>0</v>
      </c>
      <c r="G121" s="120">
        <v>0</v>
      </c>
      <c r="H121" s="117">
        <v>0</v>
      </c>
      <c r="I121" s="120">
        <v>0</v>
      </c>
      <c r="J121" s="117">
        <v>0</v>
      </c>
      <c r="K121" s="120">
        <v>0</v>
      </c>
      <c r="L121" s="117">
        <v>0</v>
      </c>
      <c r="M121" s="120">
        <v>0</v>
      </c>
      <c r="N121" s="117">
        <v>0</v>
      </c>
      <c r="O121" s="120">
        <v>0</v>
      </c>
      <c r="P121" s="117">
        <v>0</v>
      </c>
      <c r="Q121" s="120">
        <v>0</v>
      </c>
      <c r="R121" s="117">
        <v>0</v>
      </c>
      <c r="S121" s="120">
        <v>0</v>
      </c>
      <c r="T121" s="117">
        <v>0</v>
      </c>
      <c r="U121" s="119">
        <v>0</v>
      </c>
    </row>
    <row r="122" spans="1:21" x14ac:dyDescent="0.25">
      <c r="A122" s="111" t="s">
        <v>991</v>
      </c>
      <c r="B122" s="112" t="s">
        <v>965</v>
      </c>
      <c r="C122" s="112" t="s">
        <v>1328</v>
      </c>
      <c r="D122" s="113">
        <v>0</v>
      </c>
      <c r="E122" s="114">
        <v>0</v>
      </c>
      <c r="F122" s="113">
        <v>0</v>
      </c>
      <c r="G122" s="114">
        <v>0</v>
      </c>
      <c r="H122" s="113">
        <v>0</v>
      </c>
      <c r="I122" s="114">
        <v>0</v>
      </c>
      <c r="J122" s="113">
        <v>0</v>
      </c>
      <c r="K122" s="114">
        <v>0</v>
      </c>
      <c r="L122" s="113">
        <v>0</v>
      </c>
      <c r="M122" s="114">
        <v>0</v>
      </c>
      <c r="N122" s="113">
        <v>0</v>
      </c>
      <c r="O122" s="114">
        <v>0</v>
      </c>
      <c r="P122" s="113">
        <v>0</v>
      </c>
      <c r="Q122" s="114">
        <v>0</v>
      </c>
      <c r="R122" s="113">
        <v>0</v>
      </c>
      <c r="S122" s="114">
        <v>0</v>
      </c>
      <c r="T122" s="113">
        <v>0</v>
      </c>
      <c r="U122" s="115">
        <v>0</v>
      </c>
    </row>
    <row r="123" spans="1:21" x14ac:dyDescent="0.25">
      <c r="A123" s="14" t="s">
        <v>1083</v>
      </c>
      <c r="B123" s="116" t="s">
        <v>1329</v>
      </c>
      <c r="C123" s="116" t="s">
        <v>1330</v>
      </c>
      <c r="D123" s="117">
        <v>0</v>
      </c>
      <c r="E123" s="120">
        <v>0</v>
      </c>
      <c r="F123" s="117">
        <v>0</v>
      </c>
      <c r="G123" s="120">
        <v>871</v>
      </c>
      <c r="H123" s="117">
        <v>0</v>
      </c>
      <c r="I123" s="120">
        <v>0</v>
      </c>
      <c r="J123" s="117">
        <v>0</v>
      </c>
      <c r="K123" s="120">
        <v>0</v>
      </c>
      <c r="L123" s="117">
        <v>384.39999389648437</v>
      </c>
      <c r="M123" s="120">
        <v>384.39999389648437</v>
      </c>
      <c r="N123" s="117">
        <v>0</v>
      </c>
      <c r="O123" s="120">
        <v>0</v>
      </c>
      <c r="P123" s="117">
        <v>0</v>
      </c>
      <c r="Q123" s="120">
        <v>0</v>
      </c>
      <c r="R123" s="117">
        <v>0</v>
      </c>
      <c r="S123" s="120">
        <v>0</v>
      </c>
      <c r="T123" s="117">
        <v>0</v>
      </c>
      <c r="U123" s="119">
        <v>0</v>
      </c>
    </row>
    <row r="124" spans="1:21" x14ac:dyDescent="0.25">
      <c r="A124" s="111" t="s">
        <v>1133</v>
      </c>
      <c r="B124" s="112" t="s">
        <v>1331</v>
      </c>
      <c r="C124" s="112" t="s">
        <v>57</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row>
    <row r="125" spans="1:21" x14ac:dyDescent="0.25">
      <c r="A125" s="14" t="s">
        <v>1135</v>
      </c>
      <c r="B125" s="116" t="s">
        <v>1136</v>
      </c>
      <c r="C125" s="116" t="s">
        <v>57</v>
      </c>
      <c r="D125" s="117">
        <v>0</v>
      </c>
      <c r="E125" s="120">
        <v>0</v>
      </c>
      <c r="F125" s="117">
        <v>0</v>
      </c>
      <c r="G125" s="120">
        <v>0</v>
      </c>
      <c r="H125" s="117">
        <v>0</v>
      </c>
      <c r="I125" s="120">
        <v>0</v>
      </c>
      <c r="J125" s="117">
        <v>0</v>
      </c>
      <c r="K125" s="120">
        <v>0</v>
      </c>
      <c r="L125" s="117">
        <v>0</v>
      </c>
      <c r="M125" s="120">
        <v>0</v>
      </c>
      <c r="N125" s="117">
        <v>0</v>
      </c>
      <c r="O125" s="120">
        <v>0</v>
      </c>
      <c r="P125" s="117">
        <v>0</v>
      </c>
      <c r="Q125" s="120">
        <v>0</v>
      </c>
      <c r="R125" s="117">
        <v>0</v>
      </c>
      <c r="S125" s="120">
        <v>0</v>
      </c>
      <c r="T125" s="117">
        <v>0</v>
      </c>
      <c r="U125" s="119">
        <v>0</v>
      </c>
    </row>
    <row r="126" spans="1:21" x14ac:dyDescent="0.25">
      <c r="A126" s="111" t="s">
        <v>1332</v>
      </c>
      <c r="B126" s="112" t="s">
        <v>1333</v>
      </c>
      <c r="C126" s="112" t="s">
        <v>1334</v>
      </c>
      <c r="D126" s="113">
        <v>0</v>
      </c>
      <c r="E126" s="114">
        <v>0</v>
      </c>
      <c r="F126" s="113">
        <v>0</v>
      </c>
      <c r="G126" s="114">
        <v>0</v>
      </c>
      <c r="H126" s="113">
        <v>0</v>
      </c>
      <c r="I126" s="114">
        <v>0</v>
      </c>
      <c r="J126" s="113">
        <v>0</v>
      </c>
      <c r="K126" s="114">
        <v>0</v>
      </c>
      <c r="L126" s="113">
        <v>0</v>
      </c>
      <c r="M126" s="114">
        <v>0</v>
      </c>
      <c r="N126" s="113">
        <v>0</v>
      </c>
      <c r="O126" s="114">
        <v>0</v>
      </c>
      <c r="P126" s="113">
        <v>0</v>
      </c>
      <c r="Q126" s="114">
        <v>0</v>
      </c>
      <c r="R126" s="113">
        <v>0</v>
      </c>
      <c r="S126" s="114">
        <v>0</v>
      </c>
      <c r="T126" s="113">
        <v>0</v>
      </c>
      <c r="U126" s="115">
        <v>0</v>
      </c>
    </row>
    <row r="127" spans="1:21" x14ac:dyDescent="0.25">
      <c r="A127" s="14" t="s">
        <v>520</v>
      </c>
      <c r="B127" s="116" t="s">
        <v>1137</v>
      </c>
      <c r="C127" s="116" t="s">
        <v>57</v>
      </c>
      <c r="D127" s="117">
        <v>0</v>
      </c>
      <c r="E127" s="120">
        <v>0</v>
      </c>
      <c r="F127" s="117">
        <v>0</v>
      </c>
      <c r="G127" s="120">
        <v>0</v>
      </c>
      <c r="H127" s="117">
        <v>0</v>
      </c>
      <c r="I127" s="120">
        <v>0</v>
      </c>
      <c r="J127" s="117">
        <v>0</v>
      </c>
      <c r="K127" s="120">
        <v>0</v>
      </c>
      <c r="L127" s="117">
        <v>0</v>
      </c>
      <c r="M127" s="120">
        <v>0</v>
      </c>
      <c r="N127" s="117">
        <v>0</v>
      </c>
      <c r="O127" s="120">
        <v>0</v>
      </c>
      <c r="P127" s="117">
        <v>0</v>
      </c>
      <c r="Q127" s="120">
        <v>0</v>
      </c>
      <c r="R127" s="117">
        <v>0</v>
      </c>
      <c r="S127" s="120">
        <v>0</v>
      </c>
      <c r="T127" s="117">
        <v>0</v>
      </c>
      <c r="U127" s="119">
        <v>0</v>
      </c>
    </row>
    <row r="128" spans="1:21" x14ac:dyDescent="0.25">
      <c r="A128" s="111" t="s">
        <v>1138</v>
      </c>
      <c r="B128" s="112" t="s">
        <v>1139</v>
      </c>
      <c r="C128" s="112" t="s">
        <v>57</v>
      </c>
      <c r="D128" s="113">
        <v>0</v>
      </c>
      <c r="E128" s="114">
        <v>0</v>
      </c>
      <c r="F128" s="113">
        <v>0</v>
      </c>
      <c r="G128" s="114">
        <v>0</v>
      </c>
      <c r="H128" s="113">
        <v>0</v>
      </c>
      <c r="I128" s="114">
        <v>0</v>
      </c>
      <c r="J128" s="113">
        <v>0</v>
      </c>
      <c r="K128" s="114">
        <v>0</v>
      </c>
      <c r="L128" s="113">
        <v>0</v>
      </c>
      <c r="M128" s="114">
        <v>0</v>
      </c>
      <c r="N128" s="113">
        <v>0</v>
      </c>
      <c r="O128" s="114">
        <v>0</v>
      </c>
      <c r="P128" s="113">
        <v>0</v>
      </c>
      <c r="Q128" s="114">
        <v>0</v>
      </c>
      <c r="R128" s="113">
        <v>0</v>
      </c>
      <c r="S128" s="114">
        <v>0</v>
      </c>
      <c r="T128" s="113">
        <v>0</v>
      </c>
      <c r="U128" s="115">
        <v>0</v>
      </c>
    </row>
    <row r="129" spans="1:21" x14ac:dyDescent="0.25">
      <c r="A129" s="14" t="s">
        <v>1133</v>
      </c>
      <c r="B129" s="116" t="s">
        <v>1254</v>
      </c>
      <c r="C129" s="116" t="s">
        <v>57</v>
      </c>
      <c r="D129" s="117">
        <v>0</v>
      </c>
      <c r="E129" s="120">
        <v>0</v>
      </c>
      <c r="F129" s="117">
        <v>0</v>
      </c>
      <c r="G129" s="120">
        <v>0</v>
      </c>
      <c r="H129" s="117">
        <v>0</v>
      </c>
      <c r="I129" s="120">
        <v>0</v>
      </c>
      <c r="J129" s="117">
        <v>0</v>
      </c>
      <c r="K129" s="120">
        <v>0</v>
      </c>
      <c r="L129" s="117">
        <v>0</v>
      </c>
      <c r="M129" s="120">
        <v>0</v>
      </c>
      <c r="N129" s="117">
        <v>0</v>
      </c>
      <c r="O129" s="120">
        <v>0</v>
      </c>
      <c r="P129" s="117">
        <v>0</v>
      </c>
      <c r="Q129" s="120">
        <v>0</v>
      </c>
      <c r="R129" s="117">
        <v>0</v>
      </c>
      <c r="S129" s="120">
        <v>0</v>
      </c>
      <c r="T129" s="117">
        <v>0</v>
      </c>
      <c r="U129" s="119">
        <v>0</v>
      </c>
    </row>
    <row r="130" spans="1:21" x14ac:dyDescent="0.25">
      <c r="A130" s="111" t="s">
        <v>1135</v>
      </c>
      <c r="B130" s="112" t="s">
        <v>1136</v>
      </c>
      <c r="C130" s="112" t="s">
        <v>57</v>
      </c>
      <c r="D130" s="113">
        <v>0</v>
      </c>
      <c r="E130" s="114">
        <v>0</v>
      </c>
      <c r="F130" s="113">
        <v>0</v>
      </c>
      <c r="G130" s="114">
        <v>0</v>
      </c>
      <c r="H130" s="113">
        <v>0</v>
      </c>
      <c r="I130" s="114">
        <v>0</v>
      </c>
      <c r="J130" s="113">
        <v>0</v>
      </c>
      <c r="K130" s="114">
        <v>0</v>
      </c>
      <c r="L130" s="113">
        <v>0</v>
      </c>
      <c r="M130" s="114">
        <v>0</v>
      </c>
      <c r="N130" s="113">
        <v>0</v>
      </c>
      <c r="O130" s="114">
        <v>0</v>
      </c>
      <c r="P130" s="113">
        <v>0</v>
      </c>
      <c r="Q130" s="114">
        <v>0</v>
      </c>
      <c r="R130" s="113">
        <v>0</v>
      </c>
      <c r="S130" s="114">
        <v>0</v>
      </c>
      <c r="T130" s="113">
        <v>0</v>
      </c>
      <c r="U130" s="115">
        <v>0</v>
      </c>
    </row>
    <row r="131" spans="1:21" x14ac:dyDescent="0.25">
      <c r="A131" s="14" t="s">
        <v>520</v>
      </c>
      <c r="B131" s="116" t="s">
        <v>1335</v>
      </c>
      <c r="C131" s="116" t="s">
        <v>57</v>
      </c>
      <c r="D131" s="117">
        <v>0</v>
      </c>
      <c r="E131" s="120">
        <v>0</v>
      </c>
      <c r="F131" s="117">
        <v>0</v>
      </c>
      <c r="G131" s="120">
        <v>0</v>
      </c>
      <c r="H131" s="117">
        <v>0</v>
      </c>
      <c r="I131" s="120">
        <v>0</v>
      </c>
      <c r="J131" s="117">
        <v>0</v>
      </c>
      <c r="K131" s="120">
        <v>0</v>
      </c>
      <c r="L131" s="117">
        <v>0</v>
      </c>
      <c r="M131" s="120">
        <v>0</v>
      </c>
      <c r="N131" s="117">
        <v>0</v>
      </c>
      <c r="O131" s="120">
        <v>0</v>
      </c>
      <c r="P131" s="117">
        <v>0</v>
      </c>
      <c r="Q131" s="120">
        <v>0</v>
      </c>
      <c r="R131" s="117">
        <v>0</v>
      </c>
      <c r="S131" s="120">
        <v>0</v>
      </c>
      <c r="T131" s="117">
        <v>0</v>
      </c>
      <c r="U131" s="119">
        <v>0</v>
      </c>
    </row>
    <row r="132" spans="1:21" x14ac:dyDescent="0.25">
      <c r="A132" s="111" t="s">
        <v>1138</v>
      </c>
      <c r="B132" s="112" t="s">
        <v>1139</v>
      </c>
      <c r="C132" s="112" t="s">
        <v>57</v>
      </c>
      <c r="D132" s="113">
        <v>0</v>
      </c>
      <c r="E132" s="114">
        <v>0</v>
      </c>
      <c r="F132" s="113">
        <v>0</v>
      </c>
      <c r="G132" s="114">
        <v>0</v>
      </c>
      <c r="H132" s="113">
        <v>0</v>
      </c>
      <c r="I132" s="114">
        <v>0</v>
      </c>
      <c r="J132" s="113">
        <v>0</v>
      </c>
      <c r="K132" s="114">
        <v>0</v>
      </c>
      <c r="L132" s="113">
        <v>0</v>
      </c>
      <c r="M132" s="114">
        <v>0</v>
      </c>
      <c r="N132" s="113">
        <v>0</v>
      </c>
      <c r="O132" s="114">
        <v>0</v>
      </c>
      <c r="P132" s="113">
        <v>0</v>
      </c>
      <c r="Q132" s="114">
        <v>0</v>
      </c>
      <c r="R132" s="113">
        <v>0</v>
      </c>
      <c r="S132" s="114">
        <v>0</v>
      </c>
      <c r="T132" s="113">
        <v>0</v>
      </c>
      <c r="U132" s="115">
        <v>0</v>
      </c>
    </row>
    <row r="133" spans="1:21" x14ac:dyDescent="0.25">
      <c r="A133" s="14" t="s">
        <v>1133</v>
      </c>
      <c r="B133" s="116" t="s">
        <v>1339</v>
      </c>
      <c r="C133" s="116" t="s">
        <v>57</v>
      </c>
      <c r="D133" s="117">
        <v>0</v>
      </c>
      <c r="E133" s="120">
        <v>0</v>
      </c>
      <c r="F133" s="117">
        <v>0</v>
      </c>
      <c r="G133" s="120">
        <v>0</v>
      </c>
      <c r="H133" s="117">
        <v>0</v>
      </c>
      <c r="I133" s="120">
        <v>0</v>
      </c>
      <c r="J133" s="117">
        <v>0</v>
      </c>
      <c r="K133" s="120">
        <v>0</v>
      </c>
      <c r="L133" s="117">
        <v>0</v>
      </c>
      <c r="M133" s="120">
        <v>0</v>
      </c>
      <c r="N133" s="117">
        <v>0</v>
      </c>
      <c r="O133" s="120">
        <v>0</v>
      </c>
      <c r="P133" s="117">
        <v>0</v>
      </c>
      <c r="Q133" s="120">
        <v>0</v>
      </c>
      <c r="R133" s="117">
        <v>0</v>
      </c>
      <c r="S133" s="120">
        <v>0</v>
      </c>
      <c r="T133" s="117">
        <v>0</v>
      </c>
      <c r="U133" s="119">
        <v>0</v>
      </c>
    </row>
    <row r="134" spans="1:21" x14ac:dyDescent="0.25">
      <c r="A134" s="111" t="s">
        <v>1135</v>
      </c>
      <c r="B134" s="112" t="s">
        <v>1136</v>
      </c>
      <c r="C134" s="112" t="s">
        <v>57</v>
      </c>
      <c r="D134" s="113">
        <v>0</v>
      </c>
      <c r="E134" s="114">
        <v>0</v>
      </c>
      <c r="F134" s="113">
        <v>0</v>
      </c>
      <c r="G134" s="114">
        <v>0</v>
      </c>
      <c r="H134" s="113">
        <v>0</v>
      </c>
      <c r="I134" s="114">
        <v>0</v>
      </c>
      <c r="J134" s="113">
        <v>0</v>
      </c>
      <c r="K134" s="114">
        <v>0</v>
      </c>
      <c r="L134" s="113">
        <v>0</v>
      </c>
      <c r="M134" s="114">
        <v>0</v>
      </c>
      <c r="N134" s="113">
        <v>0</v>
      </c>
      <c r="O134" s="114">
        <v>0</v>
      </c>
      <c r="P134" s="113">
        <v>0</v>
      </c>
      <c r="Q134" s="114">
        <v>0</v>
      </c>
      <c r="R134" s="113">
        <v>0</v>
      </c>
      <c r="S134" s="114">
        <v>0</v>
      </c>
      <c r="T134" s="113">
        <v>0</v>
      </c>
      <c r="U134" s="115">
        <v>0</v>
      </c>
    </row>
    <row r="135" spans="1:21" x14ac:dyDescent="0.25">
      <c r="A135" s="14" t="s">
        <v>520</v>
      </c>
      <c r="B135" s="116" t="s">
        <v>1340</v>
      </c>
      <c r="C135" s="116" t="s">
        <v>57</v>
      </c>
      <c r="D135" s="117">
        <v>0</v>
      </c>
      <c r="E135" s="120">
        <v>0</v>
      </c>
      <c r="F135" s="117">
        <v>0</v>
      </c>
      <c r="G135" s="120">
        <v>0</v>
      </c>
      <c r="H135" s="117">
        <v>0</v>
      </c>
      <c r="I135" s="120">
        <v>0</v>
      </c>
      <c r="J135" s="117">
        <v>0</v>
      </c>
      <c r="K135" s="120">
        <v>0</v>
      </c>
      <c r="L135" s="117">
        <v>0</v>
      </c>
      <c r="M135" s="120">
        <v>0</v>
      </c>
      <c r="N135" s="117">
        <v>0</v>
      </c>
      <c r="O135" s="120">
        <v>0</v>
      </c>
      <c r="P135" s="117">
        <v>0</v>
      </c>
      <c r="Q135" s="120">
        <v>0</v>
      </c>
      <c r="R135" s="117">
        <v>0</v>
      </c>
      <c r="S135" s="120">
        <v>0</v>
      </c>
      <c r="T135" s="117">
        <v>0</v>
      </c>
      <c r="U135" s="119">
        <v>0</v>
      </c>
    </row>
    <row r="136" spans="1:21" x14ac:dyDescent="0.25">
      <c r="A136" s="111" t="s">
        <v>1138</v>
      </c>
      <c r="B136" s="112" t="s">
        <v>1139</v>
      </c>
      <c r="C136" s="112" t="s">
        <v>57</v>
      </c>
      <c r="D136" s="113">
        <v>0</v>
      </c>
      <c r="E136" s="114">
        <v>0</v>
      </c>
      <c r="F136" s="113">
        <v>0</v>
      </c>
      <c r="G136" s="114">
        <v>0</v>
      </c>
      <c r="H136" s="113">
        <v>0</v>
      </c>
      <c r="I136" s="114">
        <v>0</v>
      </c>
      <c r="J136" s="113">
        <v>0</v>
      </c>
      <c r="K136" s="114">
        <v>0</v>
      </c>
      <c r="L136" s="113">
        <v>0</v>
      </c>
      <c r="M136" s="114">
        <v>0</v>
      </c>
      <c r="N136" s="113">
        <v>0</v>
      </c>
      <c r="O136" s="114">
        <v>0</v>
      </c>
      <c r="P136" s="113">
        <v>0</v>
      </c>
      <c r="Q136" s="114">
        <v>0</v>
      </c>
      <c r="R136" s="113">
        <v>0</v>
      </c>
      <c r="S136" s="114">
        <v>0</v>
      </c>
      <c r="T136" s="113">
        <v>0</v>
      </c>
      <c r="U136" s="115">
        <v>0</v>
      </c>
    </row>
    <row r="137" spans="1:21" x14ac:dyDescent="0.25">
      <c r="A137" s="14" t="s">
        <v>1341</v>
      </c>
      <c r="B137" s="116" t="s">
        <v>1342</v>
      </c>
      <c r="C137" s="116" t="s">
        <v>1343</v>
      </c>
      <c r="D137" s="117">
        <v>0</v>
      </c>
      <c r="E137" s="120">
        <v>0</v>
      </c>
      <c r="F137" s="117">
        <v>0</v>
      </c>
      <c r="G137" s="120">
        <v>0</v>
      </c>
      <c r="H137" s="117">
        <v>0</v>
      </c>
      <c r="I137" s="120">
        <v>0</v>
      </c>
      <c r="J137" s="117">
        <v>0</v>
      </c>
      <c r="K137" s="120">
        <v>0</v>
      </c>
      <c r="L137" s="117">
        <v>0</v>
      </c>
      <c r="M137" s="120">
        <v>0</v>
      </c>
      <c r="N137" s="117">
        <v>0</v>
      </c>
      <c r="O137" s="120">
        <v>0</v>
      </c>
      <c r="P137" s="117">
        <v>0</v>
      </c>
      <c r="Q137" s="120">
        <v>0</v>
      </c>
      <c r="R137" s="117">
        <v>0</v>
      </c>
      <c r="S137" s="120">
        <v>0</v>
      </c>
      <c r="T137" s="117">
        <v>0</v>
      </c>
      <c r="U137" s="119">
        <v>0</v>
      </c>
    </row>
    <row r="138" spans="1:21" x14ac:dyDescent="0.25">
      <c r="A138" s="111" t="s">
        <v>745</v>
      </c>
      <c r="B138" s="112" t="s">
        <v>1344</v>
      </c>
      <c r="C138" s="112" t="s">
        <v>1345</v>
      </c>
      <c r="D138" s="113">
        <v>0</v>
      </c>
      <c r="E138" s="114">
        <v>0</v>
      </c>
      <c r="F138" s="113">
        <v>0</v>
      </c>
      <c r="G138" s="114">
        <v>0</v>
      </c>
      <c r="H138" s="113">
        <v>0</v>
      </c>
      <c r="I138" s="114">
        <v>-660.04498291015625</v>
      </c>
      <c r="J138" s="113">
        <v>0</v>
      </c>
      <c r="K138" s="114">
        <v>-660.04498291015625</v>
      </c>
      <c r="L138" s="113">
        <v>0</v>
      </c>
      <c r="M138" s="114">
        <v>-660.04498291015625</v>
      </c>
      <c r="N138" s="113">
        <v>0</v>
      </c>
      <c r="O138" s="114">
        <v>0</v>
      </c>
      <c r="P138" s="113">
        <v>0</v>
      </c>
      <c r="Q138" s="114">
        <v>0</v>
      </c>
      <c r="R138" s="113">
        <v>0</v>
      </c>
      <c r="S138" s="114">
        <v>0</v>
      </c>
      <c r="T138" s="113">
        <v>0</v>
      </c>
      <c r="U138" s="115">
        <v>0</v>
      </c>
    </row>
    <row r="139" spans="1:21" s="288" customFormat="1" ht="18.75" x14ac:dyDescent="0.3">
      <c r="D139" s="288">
        <f t="shared" ref="D139:U139" si="0">SUBTOTAL(9,D4:D138)</f>
        <v>0</v>
      </c>
      <c r="E139" s="288">
        <f t="shared" si="0"/>
        <v>0</v>
      </c>
      <c r="F139" s="288">
        <f t="shared" si="0"/>
        <v>0</v>
      </c>
      <c r="G139" s="288">
        <f t="shared" si="0"/>
        <v>5839</v>
      </c>
      <c r="H139" s="288">
        <f t="shared" si="0"/>
        <v>0</v>
      </c>
      <c r="I139" s="287">
        <f t="shared" si="0"/>
        <v>1029.0590935945511</v>
      </c>
      <c r="J139" s="288">
        <f t="shared" si="0"/>
        <v>0</v>
      </c>
      <c r="K139" s="288">
        <f t="shared" si="0"/>
        <v>1029.0590935945511</v>
      </c>
      <c r="L139" s="288">
        <f t="shared" si="0"/>
        <v>2641.0619888305664</v>
      </c>
      <c r="M139" s="288">
        <f t="shared" si="0"/>
        <v>3670.1210824251175</v>
      </c>
      <c r="N139" s="288">
        <f t="shared" si="0"/>
        <v>0</v>
      </c>
      <c r="O139" s="288">
        <f t="shared" si="0"/>
        <v>0</v>
      </c>
      <c r="P139" s="288">
        <f t="shared" si="0"/>
        <v>0</v>
      </c>
      <c r="Q139" s="288">
        <f t="shared" si="0"/>
        <v>0</v>
      </c>
      <c r="R139" s="288">
        <f t="shared" si="0"/>
        <v>0</v>
      </c>
      <c r="S139" s="288">
        <f t="shared" si="0"/>
        <v>0</v>
      </c>
      <c r="T139" s="288">
        <f t="shared" si="0"/>
        <v>0</v>
      </c>
      <c r="U139" s="288">
        <f t="shared" si="0"/>
        <v>0</v>
      </c>
    </row>
  </sheetData>
  <autoFilter ref="A2:V13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showGridLines="0" topLeftCell="C1" workbookViewId="0">
      <pane ySplit="3" topLeftCell="A102" activePane="bottomLeft" state="frozen"/>
      <selection pane="bottomLeft" activeCell="G133" sqref="G133"/>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468" t="s">
        <v>1348</v>
      </c>
      <c r="B2" s="468" t="s">
        <v>1349</v>
      </c>
      <c r="C2" s="468" t="s">
        <v>1350</v>
      </c>
      <c r="D2" s="470" t="s">
        <v>1351</v>
      </c>
      <c r="E2" s="291" t="s">
        <v>1352</v>
      </c>
      <c r="F2" s="122"/>
      <c r="G2" s="123"/>
      <c r="H2" s="122"/>
      <c r="I2" s="124" t="s">
        <v>1353</v>
      </c>
      <c r="J2" s="125">
        <f>[2]Capa!$K$3</f>
        <v>43251</v>
      </c>
      <c r="K2" s="124"/>
      <c r="L2" s="124"/>
      <c r="M2" s="126"/>
      <c r="N2" s="127"/>
      <c r="O2" s="124"/>
      <c r="P2" s="124" t="s">
        <v>1354</v>
      </c>
      <c r="Q2" s="124"/>
      <c r="R2" s="124"/>
      <c r="S2" s="124"/>
      <c r="T2" s="124"/>
      <c r="U2" s="128"/>
    </row>
    <row r="3" spans="1:21"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1"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row>
    <row r="5" spans="1:21"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row>
    <row r="6" spans="1:21" x14ac:dyDescent="0.25">
      <c r="A6" s="111" t="s">
        <v>520</v>
      </c>
      <c r="B6" s="112" t="s">
        <v>1137</v>
      </c>
      <c r="C6" s="112" t="s">
        <v>57</v>
      </c>
      <c r="D6" s="113">
        <v>0</v>
      </c>
      <c r="E6" s="114">
        <v>0</v>
      </c>
      <c r="F6" s="113">
        <v>0</v>
      </c>
      <c r="G6" s="114">
        <v>0</v>
      </c>
      <c r="H6" s="113">
        <v>0</v>
      </c>
      <c r="I6" s="114">
        <v>0</v>
      </c>
      <c r="J6" s="113">
        <v>0</v>
      </c>
      <c r="K6" s="114">
        <v>0</v>
      </c>
      <c r="L6" s="113">
        <v>0</v>
      </c>
      <c r="M6" s="114">
        <v>0</v>
      </c>
      <c r="N6" s="113">
        <v>0</v>
      </c>
      <c r="O6" s="114">
        <v>0</v>
      </c>
      <c r="P6" s="113">
        <v>0</v>
      </c>
      <c r="Q6" s="114">
        <v>0</v>
      </c>
      <c r="R6" s="113">
        <v>0</v>
      </c>
      <c r="S6" s="114">
        <v>0</v>
      </c>
      <c r="T6" s="113">
        <v>0</v>
      </c>
      <c r="U6" s="115">
        <v>0</v>
      </c>
    </row>
    <row r="7" spans="1:21" x14ac:dyDescent="0.25">
      <c r="A7" s="14" t="s">
        <v>1138</v>
      </c>
      <c r="B7" s="116" t="s">
        <v>1139</v>
      </c>
      <c r="C7" s="116" t="s">
        <v>57</v>
      </c>
      <c r="D7" s="117">
        <v>0</v>
      </c>
      <c r="E7" s="120">
        <v>0</v>
      </c>
      <c r="F7" s="117">
        <v>0</v>
      </c>
      <c r="G7" s="120">
        <v>0</v>
      </c>
      <c r="H7" s="117">
        <v>0</v>
      </c>
      <c r="I7" s="120">
        <v>0</v>
      </c>
      <c r="J7" s="117">
        <v>0</v>
      </c>
      <c r="K7" s="120">
        <v>0</v>
      </c>
      <c r="L7" s="117">
        <v>0</v>
      </c>
      <c r="M7" s="120">
        <v>0</v>
      </c>
      <c r="N7" s="117">
        <v>0</v>
      </c>
      <c r="O7" s="120">
        <v>0</v>
      </c>
      <c r="P7" s="117">
        <v>0</v>
      </c>
      <c r="Q7" s="120">
        <v>0</v>
      </c>
      <c r="R7" s="117">
        <v>0</v>
      </c>
      <c r="S7" s="120">
        <v>0</v>
      </c>
      <c r="T7" s="117">
        <v>0</v>
      </c>
      <c r="U7" s="119">
        <v>0</v>
      </c>
    </row>
    <row r="8" spans="1:21" x14ac:dyDescent="0.25">
      <c r="A8" s="111" t="s">
        <v>1133</v>
      </c>
      <c r="B8" s="112" t="s">
        <v>1140</v>
      </c>
      <c r="C8" s="112" t="s">
        <v>57</v>
      </c>
      <c r="D8" s="113">
        <v>0</v>
      </c>
      <c r="E8" s="114">
        <v>0</v>
      </c>
      <c r="F8" s="113">
        <v>0</v>
      </c>
      <c r="G8" s="114">
        <v>0</v>
      </c>
      <c r="H8" s="113">
        <v>0</v>
      </c>
      <c r="I8" s="114">
        <v>0</v>
      </c>
      <c r="J8" s="113">
        <v>0</v>
      </c>
      <c r="K8" s="114">
        <v>0</v>
      </c>
      <c r="L8" s="113">
        <v>0</v>
      </c>
      <c r="M8" s="114">
        <v>0</v>
      </c>
      <c r="N8" s="113">
        <v>0</v>
      </c>
      <c r="O8" s="114">
        <v>0</v>
      </c>
      <c r="P8" s="113">
        <v>0</v>
      </c>
      <c r="Q8" s="114">
        <v>0</v>
      </c>
      <c r="R8" s="113">
        <v>0</v>
      </c>
      <c r="S8" s="114">
        <v>0</v>
      </c>
      <c r="T8" s="113">
        <v>0</v>
      </c>
      <c r="U8" s="115">
        <v>0</v>
      </c>
    </row>
    <row r="9" spans="1:21" x14ac:dyDescent="0.25">
      <c r="A9" s="14" t="s">
        <v>1135</v>
      </c>
      <c r="B9" s="116" t="s">
        <v>1136</v>
      </c>
      <c r="C9" s="116" t="s">
        <v>57</v>
      </c>
      <c r="D9" s="117">
        <v>0</v>
      </c>
      <c r="E9" s="120">
        <v>0</v>
      </c>
      <c r="F9" s="117">
        <v>0</v>
      </c>
      <c r="G9" s="120">
        <v>0</v>
      </c>
      <c r="H9" s="117">
        <v>0</v>
      </c>
      <c r="I9" s="120">
        <v>0</v>
      </c>
      <c r="J9" s="117">
        <v>0</v>
      </c>
      <c r="K9" s="120">
        <v>0</v>
      </c>
      <c r="L9" s="117">
        <v>0</v>
      </c>
      <c r="M9" s="120">
        <v>0</v>
      </c>
      <c r="N9" s="117">
        <v>0</v>
      </c>
      <c r="O9" s="120">
        <v>0</v>
      </c>
      <c r="P9" s="117">
        <v>0</v>
      </c>
      <c r="Q9" s="120">
        <v>0</v>
      </c>
      <c r="R9" s="117">
        <v>0</v>
      </c>
      <c r="S9" s="120">
        <v>0</v>
      </c>
      <c r="T9" s="117">
        <v>0</v>
      </c>
      <c r="U9" s="119">
        <v>0</v>
      </c>
    </row>
    <row r="10" spans="1:21" x14ac:dyDescent="0.25">
      <c r="A10" s="111" t="s">
        <v>520</v>
      </c>
      <c r="B10" s="112" t="s">
        <v>1137</v>
      </c>
      <c r="C10" s="112" t="s">
        <v>57</v>
      </c>
      <c r="D10" s="113">
        <v>0</v>
      </c>
      <c r="E10" s="114">
        <v>0</v>
      </c>
      <c r="F10" s="113">
        <v>0</v>
      </c>
      <c r="G10" s="114">
        <v>0</v>
      </c>
      <c r="H10" s="113">
        <v>0</v>
      </c>
      <c r="I10" s="114">
        <v>0</v>
      </c>
      <c r="J10" s="113">
        <v>0</v>
      </c>
      <c r="K10" s="114">
        <v>0</v>
      </c>
      <c r="L10" s="113">
        <v>0</v>
      </c>
      <c r="M10" s="114">
        <v>0</v>
      </c>
      <c r="N10" s="113">
        <v>0</v>
      </c>
      <c r="O10" s="114">
        <v>0</v>
      </c>
      <c r="P10" s="113">
        <v>0</v>
      </c>
      <c r="Q10" s="114">
        <v>0</v>
      </c>
      <c r="R10" s="113">
        <v>0</v>
      </c>
      <c r="S10" s="114">
        <v>0</v>
      </c>
      <c r="T10" s="113">
        <v>0</v>
      </c>
      <c r="U10" s="115">
        <v>0</v>
      </c>
    </row>
    <row r="11" spans="1:21" x14ac:dyDescent="0.25">
      <c r="A11" s="14" t="s">
        <v>1138</v>
      </c>
      <c r="B11" s="116" t="s">
        <v>1139</v>
      </c>
      <c r="C11" s="116" t="s">
        <v>57</v>
      </c>
      <c r="D11" s="117">
        <v>0</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row>
    <row r="12" spans="1:21" x14ac:dyDescent="0.25">
      <c r="A12" s="111" t="s">
        <v>1133</v>
      </c>
      <c r="B12" s="112" t="s">
        <v>1144</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row>
    <row r="13" spans="1:21" x14ac:dyDescent="0.25">
      <c r="A13" s="14" t="s">
        <v>1135</v>
      </c>
      <c r="B13" s="116" t="s">
        <v>1136</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row>
    <row r="14" spans="1:21" x14ac:dyDescent="0.25">
      <c r="A14" s="111" t="s">
        <v>520</v>
      </c>
      <c r="B14" s="112" t="s">
        <v>1137</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row>
    <row r="15" spans="1:21" x14ac:dyDescent="0.25">
      <c r="A15" s="14" t="s">
        <v>1138</v>
      </c>
      <c r="B15" s="116" t="s">
        <v>1139</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row>
    <row r="16" spans="1:21" x14ac:dyDescent="0.25">
      <c r="A16" s="111" t="s">
        <v>1133</v>
      </c>
      <c r="B16" s="112" t="s">
        <v>1148</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row>
    <row r="17" spans="1:21" x14ac:dyDescent="0.25">
      <c r="A17" s="14" t="s">
        <v>1135</v>
      </c>
      <c r="B17" s="116" t="s">
        <v>1136</v>
      </c>
      <c r="C17" s="116" t="s">
        <v>57</v>
      </c>
      <c r="D17" s="117">
        <v>0</v>
      </c>
      <c r="E17" s="120">
        <v>0</v>
      </c>
      <c r="F17" s="117">
        <v>0</v>
      </c>
      <c r="G17" s="120">
        <v>0</v>
      </c>
      <c r="H17" s="117">
        <v>0</v>
      </c>
      <c r="I17" s="120">
        <v>0</v>
      </c>
      <c r="J17" s="117">
        <v>0</v>
      </c>
      <c r="K17" s="120">
        <v>0</v>
      </c>
      <c r="L17" s="117">
        <v>0</v>
      </c>
      <c r="M17" s="120">
        <v>0</v>
      </c>
      <c r="N17" s="117">
        <v>0</v>
      </c>
      <c r="O17" s="120">
        <v>0</v>
      </c>
      <c r="P17" s="117">
        <v>0</v>
      </c>
      <c r="Q17" s="120">
        <v>0</v>
      </c>
      <c r="R17" s="117">
        <v>0</v>
      </c>
      <c r="S17" s="120">
        <v>0</v>
      </c>
      <c r="T17" s="117">
        <v>0</v>
      </c>
      <c r="U17" s="119">
        <v>0</v>
      </c>
    </row>
    <row r="18" spans="1:21" x14ac:dyDescent="0.25">
      <c r="A18" s="111" t="s">
        <v>520</v>
      </c>
      <c r="B18" s="112" t="s">
        <v>1137</v>
      </c>
      <c r="C18" s="112" t="s">
        <v>57</v>
      </c>
      <c r="D18" s="113">
        <v>0</v>
      </c>
      <c r="E18" s="114">
        <v>0</v>
      </c>
      <c r="F18" s="113">
        <v>0</v>
      </c>
      <c r="G18" s="114">
        <v>0</v>
      </c>
      <c r="H18" s="113">
        <v>0</v>
      </c>
      <c r="I18" s="114">
        <v>0</v>
      </c>
      <c r="J18" s="113">
        <v>0</v>
      </c>
      <c r="K18" s="114">
        <v>0</v>
      </c>
      <c r="L18" s="113">
        <v>0</v>
      </c>
      <c r="M18" s="114">
        <v>0</v>
      </c>
      <c r="N18" s="113">
        <v>0</v>
      </c>
      <c r="O18" s="114">
        <v>0</v>
      </c>
      <c r="P18" s="113">
        <v>0</v>
      </c>
      <c r="Q18" s="114">
        <v>0</v>
      </c>
      <c r="R18" s="113">
        <v>0</v>
      </c>
      <c r="S18" s="114">
        <v>0</v>
      </c>
      <c r="T18" s="113">
        <v>0</v>
      </c>
      <c r="U18" s="115">
        <v>0</v>
      </c>
    </row>
    <row r="19" spans="1:21" x14ac:dyDescent="0.25">
      <c r="A19" s="14" t="s">
        <v>1138</v>
      </c>
      <c r="B19" s="116" t="s">
        <v>1139</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row>
    <row r="20" spans="1:21" x14ac:dyDescent="0.25">
      <c r="A20" s="111" t="s">
        <v>1058</v>
      </c>
      <c r="B20" s="112" t="s">
        <v>1149</v>
      </c>
      <c r="C20" s="112" t="s">
        <v>1150</v>
      </c>
      <c r="D20" s="113">
        <v>0</v>
      </c>
      <c r="E20" s="114">
        <v>0</v>
      </c>
      <c r="F20" s="113">
        <v>0</v>
      </c>
      <c r="G20" s="114">
        <v>119</v>
      </c>
      <c r="H20" s="113">
        <v>0</v>
      </c>
      <c r="I20" s="114">
        <v>0</v>
      </c>
      <c r="J20" s="113">
        <v>0</v>
      </c>
      <c r="K20" s="114">
        <v>0</v>
      </c>
      <c r="L20" s="113">
        <v>119.11103057861328</v>
      </c>
      <c r="M20" s="114">
        <v>119.11103057861328</v>
      </c>
      <c r="N20" s="113">
        <v>0</v>
      </c>
      <c r="O20" s="114">
        <v>0</v>
      </c>
      <c r="P20" s="113">
        <v>0</v>
      </c>
      <c r="Q20" s="114">
        <v>0</v>
      </c>
      <c r="R20" s="113">
        <v>0</v>
      </c>
      <c r="S20" s="114">
        <v>0</v>
      </c>
      <c r="T20" s="113">
        <v>0</v>
      </c>
      <c r="U20" s="115">
        <v>0</v>
      </c>
    </row>
    <row r="21" spans="1:21" x14ac:dyDescent="0.25">
      <c r="A21" s="14" t="s">
        <v>744</v>
      </c>
      <c r="B21" s="116" t="s">
        <v>378</v>
      </c>
      <c r="C21" s="116" t="s">
        <v>1151</v>
      </c>
      <c r="D21" s="117">
        <v>0</v>
      </c>
      <c r="E21" s="120">
        <v>0</v>
      </c>
      <c r="F21" s="117">
        <v>0</v>
      </c>
      <c r="G21" s="120">
        <v>0</v>
      </c>
      <c r="H21" s="117">
        <v>0</v>
      </c>
      <c r="I21" s="120">
        <v>0</v>
      </c>
      <c r="J21" s="117">
        <v>0</v>
      </c>
      <c r="K21" s="120">
        <v>0</v>
      </c>
      <c r="L21" s="117">
        <v>0</v>
      </c>
      <c r="M21" s="120">
        <v>0</v>
      </c>
      <c r="N21" s="117">
        <v>0</v>
      </c>
      <c r="O21" s="120">
        <v>0</v>
      </c>
      <c r="P21" s="117">
        <v>0</v>
      </c>
      <c r="Q21" s="120">
        <v>0</v>
      </c>
      <c r="R21" s="117">
        <v>0</v>
      </c>
      <c r="S21" s="120">
        <v>0</v>
      </c>
      <c r="T21" s="117">
        <v>0</v>
      </c>
      <c r="U21" s="119">
        <v>0</v>
      </c>
    </row>
    <row r="22" spans="1:21" x14ac:dyDescent="0.25">
      <c r="A22" s="111" t="s">
        <v>1133</v>
      </c>
      <c r="B22" s="112" t="s">
        <v>1157</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row>
    <row r="23" spans="1:21" x14ac:dyDescent="0.25">
      <c r="A23" s="14" t="s">
        <v>1135</v>
      </c>
      <c r="B23" s="116" t="s">
        <v>1136</v>
      </c>
      <c r="C23" s="116" t="s">
        <v>57</v>
      </c>
      <c r="D23" s="117">
        <v>0</v>
      </c>
      <c r="E23" s="120">
        <v>0</v>
      </c>
      <c r="F23" s="117">
        <v>0</v>
      </c>
      <c r="G23" s="120">
        <v>0</v>
      </c>
      <c r="H23" s="117">
        <v>0</v>
      </c>
      <c r="I23" s="120">
        <v>0</v>
      </c>
      <c r="J23" s="117">
        <v>0</v>
      </c>
      <c r="K23" s="120">
        <v>0</v>
      </c>
      <c r="L23" s="117">
        <v>0</v>
      </c>
      <c r="M23" s="120">
        <v>0</v>
      </c>
      <c r="N23" s="117">
        <v>0</v>
      </c>
      <c r="O23" s="120">
        <v>0</v>
      </c>
      <c r="P23" s="117">
        <v>0</v>
      </c>
      <c r="Q23" s="120">
        <v>0</v>
      </c>
      <c r="R23" s="117">
        <v>0</v>
      </c>
      <c r="S23" s="120">
        <v>0</v>
      </c>
      <c r="T23" s="117">
        <v>0</v>
      </c>
      <c r="U23" s="119">
        <v>0</v>
      </c>
    </row>
    <row r="24" spans="1:21" x14ac:dyDescent="0.25">
      <c r="A24" s="111" t="s">
        <v>520</v>
      </c>
      <c r="B24" s="112" t="s">
        <v>1137</v>
      </c>
      <c r="C24" s="112" t="s">
        <v>57</v>
      </c>
      <c r="D24" s="113">
        <v>0</v>
      </c>
      <c r="E24" s="114">
        <v>0</v>
      </c>
      <c r="F24" s="113">
        <v>0</v>
      </c>
      <c r="G24" s="114">
        <v>0</v>
      </c>
      <c r="H24" s="113">
        <v>0</v>
      </c>
      <c r="I24" s="114">
        <v>0</v>
      </c>
      <c r="J24" s="113">
        <v>0</v>
      </c>
      <c r="K24" s="114">
        <v>0</v>
      </c>
      <c r="L24" s="113">
        <v>0</v>
      </c>
      <c r="M24" s="114">
        <v>0</v>
      </c>
      <c r="N24" s="113">
        <v>0</v>
      </c>
      <c r="O24" s="114">
        <v>0</v>
      </c>
      <c r="P24" s="113">
        <v>0</v>
      </c>
      <c r="Q24" s="114">
        <v>0</v>
      </c>
      <c r="R24" s="113">
        <v>0</v>
      </c>
      <c r="S24" s="114">
        <v>0</v>
      </c>
      <c r="T24" s="113">
        <v>0</v>
      </c>
      <c r="U24" s="115">
        <v>0</v>
      </c>
    </row>
    <row r="25" spans="1:21" x14ac:dyDescent="0.25">
      <c r="A25" s="14" t="s">
        <v>1138</v>
      </c>
      <c r="B25" s="116" t="s">
        <v>1139</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row>
    <row r="26" spans="1:21" x14ac:dyDescent="0.25">
      <c r="A26" s="111" t="s">
        <v>1133</v>
      </c>
      <c r="B26" s="112" t="s">
        <v>1134</v>
      </c>
      <c r="C26" s="112" t="s">
        <v>57</v>
      </c>
      <c r="D26" s="113">
        <v>0</v>
      </c>
      <c r="E26" s="114">
        <v>0</v>
      </c>
      <c r="F26" s="113">
        <v>0</v>
      </c>
      <c r="G26" s="114">
        <v>0</v>
      </c>
      <c r="H26" s="113">
        <v>0</v>
      </c>
      <c r="I26" s="114">
        <v>0</v>
      </c>
      <c r="J26" s="113">
        <v>0</v>
      </c>
      <c r="K26" s="114">
        <v>0</v>
      </c>
      <c r="L26" s="113">
        <v>0</v>
      </c>
      <c r="M26" s="114">
        <v>0</v>
      </c>
      <c r="N26" s="113">
        <v>0</v>
      </c>
      <c r="O26" s="114">
        <v>0</v>
      </c>
      <c r="P26" s="113">
        <v>0</v>
      </c>
      <c r="Q26" s="114">
        <v>0</v>
      </c>
      <c r="R26" s="113">
        <v>0</v>
      </c>
      <c r="S26" s="114">
        <v>0</v>
      </c>
      <c r="T26" s="113">
        <v>0</v>
      </c>
      <c r="U26" s="115">
        <v>0</v>
      </c>
    </row>
    <row r="27" spans="1:21" x14ac:dyDescent="0.25">
      <c r="A27" s="14" t="s">
        <v>1135</v>
      </c>
      <c r="B27" s="116" t="s">
        <v>1136</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row>
    <row r="28" spans="1:21" x14ac:dyDescent="0.25">
      <c r="A28" s="111" t="s">
        <v>520</v>
      </c>
      <c r="B28" s="112" t="s">
        <v>1137</v>
      </c>
      <c r="C28" s="112" t="s">
        <v>57</v>
      </c>
      <c r="D28" s="113">
        <v>0</v>
      </c>
      <c r="E28" s="114">
        <v>0</v>
      </c>
      <c r="F28" s="113">
        <v>0</v>
      </c>
      <c r="G28" s="114">
        <v>0</v>
      </c>
      <c r="H28" s="113">
        <v>0</v>
      </c>
      <c r="I28" s="114">
        <v>0</v>
      </c>
      <c r="J28" s="113">
        <v>0</v>
      </c>
      <c r="K28" s="114">
        <v>0</v>
      </c>
      <c r="L28" s="113">
        <v>0</v>
      </c>
      <c r="M28" s="114">
        <v>0</v>
      </c>
      <c r="N28" s="113">
        <v>0</v>
      </c>
      <c r="O28" s="114">
        <v>0</v>
      </c>
      <c r="P28" s="113">
        <v>0</v>
      </c>
      <c r="Q28" s="114">
        <v>0</v>
      </c>
      <c r="R28" s="113">
        <v>0</v>
      </c>
      <c r="S28" s="114">
        <v>0</v>
      </c>
      <c r="T28" s="113">
        <v>0</v>
      </c>
      <c r="U28" s="115">
        <v>0</v>
      </c>
    </row>
    <row r="29" spans="1:21" x14ac:dyDescent="0.25">
      <c r="A29" s="14" t="s">
        <v>1138</v>
      </c>
      <c r="B29" s="116" t="s">
        <v>1139</v>
      </c>
      <c r="C29" s="116" t="s">
        <v>57</v>
      </c>
      <c r="D29" s="117">
        <v>0</v>
      </c>
      <c r="E29" s="120">
        <v>0</v>
      </c>
      <c r="F29" s="117">
        <v>0</v>
      </c>
      <c r="G29" s="120">
        <v>0</v>
      </c>
      <c r="H29" s="117">
        <v>0</v>
      </c>
      <c r="I29" s="120">
        <v>0</v>
      </c>
      <c r="J29" s="117">
        <v>0</v>
      </c>
      <c r="K29" s="120">
        <v>0</v>
      </c>
      <c r="L29" s="117">
        <v>0</v>
      </c>
      <c r="M29" s="120">
        <v>0</v>
      </c>
      <c r="N29" s="117">
        <v>0</v>
      </c>
      <c r="O29" s="120">
        <v>0</v>
      </c>
      <c r="P29" s="117">
        <v>0</v>
      </c>
      <c r="Q29" s="120">
        <v>0</v>
      </c>
      <c r="R29" s="117">
        <v>0</v>
      </c>
      <c r="S29" s="120">
        <v>0</v>
      </c>
      <c r="T29" s="117">
        <v>0</v>
      </c>
      <c r="U29" s="119">
        <v>0</v>
      </c>
    </row>
    <row r="30" spans="1:21" x14ac:dyDescent="0.25">
      <c r="A30" s="111" t="s">
        <v>1175</v>
      </c>
      <c r="B30" s="112" t="s">
        <v>1176</v>
      </c>
      <c r="C30" s="112" t="s">
        <v>1177</v>
      </c>
      <c r="D30" s="113">
        <v>0</v>
      </c>
      <c r="E30" s="114">
        <v>0</v>
      </c>
      <c r="F30" s="113">
        <v>0</v>
      </c>
      <c r="G30" s="114">
        <v>0</v>
      </c>
      <c r="H30" s="113">
        <v>0</v>
      </c>
      <c r="I30" s="114">
        <v>0</v>
      </c>
      <c r="J30" s="113">
        <v>0</v>
      </c>
      <c r="K30" s="114">
        <v>0</v>
      </c>
      <c r="L30" s="113">
        <v>0</v>
      </c>
      <c r="M30" s="114">
        <v>0</v>
      </c>
      <c r="N30" s="113">
        <v>0</v>
      </c>
      <c r="O30" s="114">
        <v>0</v>
      </c>
      <c r="P30" s="113">
        <v>0</v>
      </c>
      <c r="Q30" s="114">
        <v>0</v>
      </c>
      <c r="R30" s="113">
        <v>0</v>
      </c>
      <c r="S30" s="114">
        <v>0</v>
      </c>
      <c r="T30" s="113">
        <v>0</v>
      </c>
      <c r="U30" s="115">
        <v>0</v>
      </c>
    </row>
    <row r="31" spans="1:21" x14ac:dyDescent="0.25">
      <c r="A31" s="14" t="s">
        <v>1178</v>
      </c>
      <c r="B31" s="116" t="s">
        <v>1179</v>
      </c>
      <c r="C31" s="116" t="s">
        <v>1180</v>
      </c>
      <c r="D31" s="117">
        <v>0</v>
      </c>
      <c r="E31" s="120">
        <v>0</v>
      </c>
      <c r="F31" s="117">
        <v>0</v>
      </c>
      <c r="G31" s="120">
        <v>0</v>
      </c>
      <c r="H31" s="117">
        <v>0</v>
      </c>
      <c r="I31" s="120">
        <v>0</v>
      </c>
      <c r="J31" s="117">
        <v>0</v>
      </c>
      <c r="K31" s="120">
        <v>0</v>
      </c>
      <c r="L31" s="117">
        <v>0</v>
      </c>
      <c r="M31" s="120">
        <v>0</v>
      </c>
      <c r="N31" s="117">
        <v>0</v>
      </c>
      <c r="O31" s="120">
        <v>0</v>
      </c>
      <c r="P31" s="117">
        <v>0</v>
      </c>
      <c r="Q31" s="120">
        <v>0</v>
      </c>
      <c r="R31" s="117">
        <v>0</v>
      </c>
      <c r="S31" s="120">
        <v>0</v>
      </c>
      <c r="T31" s="117">
        <v>0</v>
      </c>
      <c r="U31" s="119">
        <v>0</v>
      </c>
    </row>
    <row r="32" spans="1:21" x14ac:dyDescent="0.25">
      <c r="A32" s="111" t="s">
        <v>1133</v>
      </c>
      <c r="B32" s="112" t="s">
        <v>1140</v>
      </c>
      <c r="C32" s="112" t="s">
        <v>57</v>
      </c>
      <c r="D32" s="113">
        <v>0</v>
      </c>
      <c r="E32" s="114">
        <v>0</v>
      </c>
      <c r="F32" s="113">
        <v>0</v>
      </c>
      <c r="G32" s="114">
        <v>0</v>
      </c>
      <c r="H32" s="113">
        <v>0</v>
      </c>
      <c r="I32" s="114">
        <v>0</v>
      </c>
      <c r="J32" s="113">
        <v>0</v>
      </c>
      <c r="K32" s="114">
        <v>0</v>
      </c>
      <c r="L32" s="113">
        <v>0</v>
      </c>
      <c r="M32" s="114">
        <v>0</v>
      </c>
      <c r="N32" s="113">
        <v>0</v>
      </c>
      <c r="O32" s="114">
        <v>0</v>
      </c>
      <c r="P32" s="113">
        <v>0</v>
      </c>
      <c r="Q32" s="114">
        <v>0</v>
      </c>
      <c r="R32" s="113">
        <v>0</v>
      </c>
      <c r="S32" s="114">
        <v>0</v>
      </c>
      <c r="T32" s="113">
        <v>0</v>
      </c>
      <c r="U32" s="115">
        <v>0</v>
      </c>
    </row>
    <row r="33" spans="1:21" x14ac:dyDescent="0.25">
      <c r="A33" s="14" t="s">
        <v>1135</v>
      </c>
      <c r="B33" s="116" t="s">
        <v>1136</v>
      </c>
      <c r="C33" s="116" t="s">
        <v>57</v>
      </c>
      <c r="D33" s="117">
        <v>0</v>
      </c>
      <c r="E33" s="120">
        <v>0</v>
      </c>
      <c r="F33" s="117">
        <v>0</v>
      </c>
      <c r="G33" s="120">
        <v>0</v>
      </c>
      <c r="H33" s="117">
        <v>0</v>
      </c>
      <c r="I33" s="120">
        <v>0</v>
      </c>
      <c r="J33" s="117">
        <v>0</v>
      </c>
      <c r="K33" s="120">
        <v>0</v>
      </c>
      <c r="L33" s="117">
        <v>0</v>
      </c>
      <c r="M33" s="120">
        <v>0</v>
      </c>
      <c r="N33" s="117">
        <v>0</v>
      </c>
      <c r="O33" s="120">
        <v>0</v>
      </c>
      <c r="P33" s="117">
        <v>0</v>
      </c>
      <c r="Q33" s="120">
        <v>0</v>
      </c>
      <c r="R33" s="117">
        <v>0</v>
      </c>
      <c r="S33" s="120">
        <v>0</v>
      </c>
      <c r="T33" s="117">
        <v>0</v>
      </c>
      <c r="U33" s="119">
        <v>0</v>
      </c>
    </row>
    <row r="34" spans="1:21" x14ac:dyDescent="0.25">
      <c r="A34" s="111" t="s">
        <v>520</v>
      </c>
      <c r="B34" s="112" t="s">
        <v>1137</v>
      </c>
      <c r="C34" s="112" t="s">
        <v>57</v>
      </c>
      <c r="D34" s="113">
        <v>0</v>
      </c>
      <c r="E34" s="114">
        <v>0</v>
      </c>
      <c r="F34" s="113">
        <v>0</v>
      </c>
      <c r="G34" s="114">
        <v>0</v>
      </c>
      <c r="H34" s="113">
        <v>0</v>
      </c>
      <c r="I34" s="114">
        <v>0</v>
      </c>
      <c r="J34" s="113">
        <v>0</v>
      </c>
      <c r="K34" s="114">
        <v>0</v>
      </c>
      <c r="L34" s="113">
        <v>0</v>
      </c>
      <c r="M34" s="114">
        <v>0</v>
      </c>
      <c r="N34" s="113">
        <v>0</v>
      </c>
      <c r="O34" s="114">
        <v>0</v>
      </c>
      <c r="P34" s="113">
        <v>0</v>
      </c>
      <c r="Q34" s="114">
        <v>0</v>
      </c>
      <c r="R34" s="113">
        <v>0</v>
      </c>
      <c r="S34" s="114">
        <v>0</v>
      </c>
      <c r="T34" s="113">
        <v>0</v>
      </c>
      <c r="U34" s="115">
        <v>0</v>
      </c>
    </row>
    <row r="35" spans="1:21" x14ac:dyDescent="0.25">
      <c r="A35" s="14" t="s">
        <v>1138</v>
      </c>
      <c r="B35" s="116" t="s">
        <v>1139</v>
      </c>
      <c r="C35" s="116" t="s">
        <v>57</v>
      </c>
      <c r="D35" s="117">
        <v>0</v>
      </c>
      <c r="E35" s="120">
        <v>0</v>
      </c>
      <c r="F35" s="117">
        <v>0</v>
      </c>
      <c r="G35" s="120">
        <v>0</v>
      </c>
      <c r="H35" s="117">
        <v>0</v>
      </c>
      <c r="I35" s="120">
        <v>0</v>
      </c>
      <c r="J35" s="117">
        <v>0</v>
      </c>
      <c r="K35" s="120">
        <v>0</v>
      </c>
      <c r="L35" s="117">
        <v>0</v>
      </c>
      <c r="M35" s="120">
        <v>0</v>
      </c>
      <c r="N35" s="117">
        <v>0</v>
      </c>
      <c r="O35" s="120">
        <v>0</v>
      </c>
      <c r="P35" s="117">
        <v>0</v>
      </c>
      <c r="Q35" s="120">
        <v>0</v>
      </c>
      <c r="R35" s="117">
        <v>0</v>
      </c>
      <c r="S35" s="120">
        <v>0</v>
      </c>
      <c r="T35" s="117">
        <v>0</v>
      </c>
      <c r="U35" s="119">
        <v>0</v>
      </c>
    </row>
    <row r="36" spans="1:21" x14ac:dyDescent="0.25">
      <c r="A36" s="111" t="s">
        <v>1133</v>
      </c>
      <c r="B36" s="112" t="s">
        <v>1184</v>
      </c>
      <c r="C36" s="112" t="s">
        <v>57</v>
      </c>
      <c r="D36" s="113">
        <v>0</v>
      </c>
      <c r="E36" s="114">
        <v>0</v>
      </c>
      <c r="F36" s="113">
        <v>0</v>
      </c>
      <c r="G36" s="114">
        <v>0</v>
      </c>
      <c r="H36" s="113">
        <v>0</v>
      </c>
      <c r="I36" s="114">
        <v>0</v>
      </c>
      <c r="J36" s="113">
        <v>0</v>
      </c>
      <c r="K36" s="114">
        <v>0</v>
      </c>
      <c r="L36" s="113">
        <v>0</v>
      </c>
      <c r="M36" s="114">
        <v>0</v>
      </c>
      <c r="N36" s="113">
        <v>0</v>
      </c>
      <c r="O36" s="114">
        <v>0</v>
      </c>
      <c r="P36" s="113">
        <v>0</v>
      </c>
      <c r="Q36" s="114">
        <v>0</v>
      </c>
      <c r="R36" s="113">
        <v>0</v>
      </c>
      <c r="S36" s="114">
        <v>0</v>
      </c>
      <c r="T36" s="113">
        <v>0</v>
      </c>
      <c r="U36" s="115">
        <v>0</v>
      </c>
    </row>
    <row r="37" spans="1:21" x14ac:dyDescent="0.25">
      <c r="A37" s="14" t="s">
        <v>1135</v>
      </c>
      <c r="B37" s="116" t="s">
        <v>1136</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row>
    <row r="38" spans="1:21" x14ac:dyDescent="0.25">
      <c r="A38" s="111" t="s">
        <v>520</v>
      </c>
      <c r="B38" s="112" t="s">
        <v>1137</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row>
    <row r="39" spans="1:21" x14ac:dyDescent="0.25">
      <c r="A39" s="14" t="s">
        <v>1138</v>
      </c>
      <c r="B39" s="116" t="s">
        <v>1139</v>
      </c>
      <c r="C39" s="116" t="s">
        <v>57</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row>
    <row r="40" spans="1:21" x14ac:dyDescent="0.25">
      <c r="A40" s="111" t="s">
        <v>1133</v>
      </c>
      <c r="B40" s="112" t="s">
        <v>1148</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row>
    <row r="41" spans="1:21" x14ac:dyDescent="0.25">
      <c r="A41" s="14" t="s">
        <v>1135</v>
      </c>
      <c r="B41" s="116" t="s">
        <v>1136</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row>
    <row r="42" spans="1:21" x14ac:dyDescent="0.25">
      <c r="A42" s="111" t="s">
        <v>520</v>
      </c>
      <c r="B42" s="112" t="s">
        <v>1137</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row>
    <row r="43" spans="1:21" x14ac:dyDescent="0.25">
      <c r="A43" s="14" t="s">
        <v>1138</v>
      </c>
      <c r="B43" s="116" t="s">
        <v>1139</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row>
    <row r="44" spans="1:21" x14ac:dyDescent="0.25">
      <c r="A44" s="111" t="s">
        <v>1133</v>
      </c>
      <c r="B44" s="112" t="s">
        <v>1157</v>
      </c>
      <c r="C44" s="112" t="s">
        <v>57</v>
      </c>
      <c r="D44" s="113">
        <v>0</v>
      </c>
      <c r="E44" s="114">
        <v>0</v>
      </c>
      <c r="F44" s="113">
        <v>0</v>
      </c>
      <c r="G44" s="114">
        <v>0</v>
      </c>
      <c r="H44" s="113">
        <v>0</v>
      </c>
      <c r="I44" s="114">
        <v>0</v>
      </c>
      <c r="J44" s="113">
        <v>0</v>
      </c>
      <c r="K44" s="114">
        <v>0</v>
      </c>
      <c r="L44" s="113">
        <v>0</v>
      </c>
      <c r="M44" s="114">
        <v>0</v>
      </c>
      <c r="N44" s="113">
        <v>0</v>
      </c>
      <c r="O44" s="114">
        <v>0</v>
      </c>
      <c r="P44" s="113">
        <v>0</v>
      </c>
      <c r="Q44" s="114">
        <v>0</v>
      </c>
      <c r="R44" s="113">
        <v>0</v>
      </c>
      <c r="S44" s="114">
        <v>0</v>
      </c>
      <c r="T44" s="113">
        <v>0</v>
      </c>
      <c r="U44" s="115">
        <v>0</v>
      </c>
    </row>
    <row r="45" spans="1:21" x14ac:dyDescent="0.25">
      <c r="A45" s="14" t="s">
        <v>1135</v>
      </c>
      <c r="B45" s="116" t="s">
        <v>1136</v>
      </c>
      <c r="C45" s="116" t="s">
        <v>57</v>
      </c>
      <c r="D45" s="117">
        <v>0</v>
      </c>
      <c r="E45" s="120">
        <v>0</v>
      </c>
      <c r="F45" s="117">
        <v>0</v>
      </c>
      <c r="G45" s="120">
        <v>0</v>
      </c>
      <c r="H45" s="117">
        <v>0</v>
      </c>
      <c r="I45" s="120">
        <v>0</v>
      </c>
      <c r="J45" s="117">
        <v>0</v>
      </c>
      <c r="K45" s="120">
        <v>0</v>
      </c>
      <c r="L45" s="117">
        <v>0</v>
      </c>
      <c r="M45" s="120">
        <v>0</v>
      </c>
      <c r="N45" s="117">
        <v>0</v>
      </c>
      <c r="O45" s="120">
        <v>0</v>
      </c>
      <c r="P45" s="117">
        <v>0</v>
      </c>
      <c r="Q45" s="120">
        <v>0</v>
      </c>
      <c r="R45" s="117">
        <v>0</v>
      </c>
      <c r="S45" s="120">
        <v>0</v>
      </c>
      <c r="T45" s="117">
        <v>0</v>
      </c>
      <c r="U45" s="119">
        <v>0</v>
      </c>
    </row>
    <row r="46" spans="1:21" x14ac:dyDescent="0.25">
      <c r="A46" s="111" t="s">
        <v>520</v>
      </c>
      <c r="B46" s="112" t="s">
        <v>1137</v>
      </c>
      <c r="C46" s="112" t="s">
        <v>57</v>
      </c>
      <c r="D46" s="113">
        <v>0</v>
      </c>
      <c r="E46" s="114">
        <v>0</v>
      </c>
      <c r="F46" s="113">
        <v>0</v>
      </c>
      <c r="G46" s="114">
        <v>0</v>
      </c>
      <c r="H46" s="113">
        <v>0</v>
      </c>
      <c r="I46" s="114">
        <v>0</v>
      </c>
      <c r="J46" s="113">
        <v>0</v>
      </c>
      <c r="K46" s="114">
        <v>0</v>
      </c>
      <c r="L46" s="113">
        <v>0</v>
      </c>
      <c r="M46" s="114">
        <v>0</v>
      </c>
      <c r="N46" s="113">
        <v>0</v>
      </c>
      <c r="O46" s="114">
        <v>0</v>
      </c>
      <c r="P46" s="113">
        <v>0</v>
      </c>
      <c r="Q46" s="114">
        <v>0</v>
      </c>
      <c r="R46" s="113">
        <v>0</v>
      </c>
      <c r="S46" s="114">
        <v>0</v>
      </c>
      <c r="T46" s="113">
        <v>0</v>
      </c>
      <c r="U46" s="115">
        <v>0</v>
      </c>
    </row>
    <row r="47" spans="1:21" x14ac:dyDescent="0.25">
      <c r="A47" s="14" t="s">
        <v>1138</v>
      </c>
      <c r="B47" s="116" t="s">
        <v>1139</v>
      </c>
      <c r="C47" s="116" t="s">
        <v>57</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row>
    <row r="48" spans="1:21" x14ac:dyDescent="0.25">
      <c r="A48" s="111" t="s">
        <v>1202</v>
      </c>
      <c r="B48" s="112" t="s">
        <v>1203</v>
      </c>
      <c r="C48" s="112" t="s">
        <v>1204</v>
      </c>
      <c r="D48" s="113">
        <v>0</v>
      </c>
      <c r="E48" s="114">
        <v>0</v>
      </c>
      <c r="F48" s="113">
        <v>0</v>
      </c>
      <c r="G48" s="114">
        <v>0</v>
      </c>
      <c r="H48" s="113">
        <v>0</v>
      </c>
      <c r="I48" s="114">
        <v>0</v>
      </c>
      <c r="J48" s="113">
        <v>0</v>
      </c>
      <c r="K48" s="114">
        <v>0</v>
      </c>
      <c r="L48" s="113">
        <v>0</v>
      </c>
      <c r="M48" s="114">
        <v>0</v>
      </c>
      <c r="N48" s="113">
        <v>0</v>
      </c>
      <c r="O48" s="114">
        <v>0</v>
      </c>
      <c r="P48" s="113">
        <v>0</v>
      </c>
      <c r="Q48" s="114">
        <v>0</v>
      </c>
      <c r="R48" s="113">
        <v>0</v>
      </c>
      <c r="S48" s="114">
        <v>0</v>
      </c>
      <c r="T48" s="113">
        <v>0</v>
      </c>
      <c r="U48" s="115">
        <v>0</v>
      </c>
    </row>
    <row r="49" spans="1:21" x14ac:dyDescent="0.25">
      <c r="A49" s="14" t="s">
        <v>1205</v>
      </c>
      <c r="B49" s="116" t="s">
        <v>1206</v>
      </c>
      <c r="C49" s="116" t="s">
        <v>1207</v>
      </c>
      <c r="D49" s="117">
        <v>0</v>
      </c>
      <c r="E49" s="120">
        <v>0</v>
      </c>
      <c r="F49" s="117">
        <v>0</v>
      </c>
      <c r="G49" s="120">
        <v>0</v>
      </c>
      <c r="H49" s="117">
        <v>0</v>
      </c>
      <c r="I49" s="120">
        <v>0</v>
      </c>
      <c r="J49" s="117">
        <v>0</v>
      </c>
      <c r="K49" s="120">
        <v>0</v>
      </c>
      <c r="L49" s="117">
        <v>0</v>
      </c>
      <c r="M49" s="120">
        <v>0</v>
      </c>
      <c r="N49" s="117">
        <v>0</v>
      </c>
      <c r="O49" s="120">
        <v>0</v>
      </c>
      <c r="P49" s="117">
        <v>0</v>
      </c>
      <c r="Q49" s="120">
        <v>0</v>
      </c>
      <c r="R49" s="117">
        <v>0</v>
      </c>
      <c r="S49" s="120">
        <v>0</v>
      </c>
      <c r="T49" s="117">
        <v>0</v>
      </c>
      <c r="U49" s="119">
        <v>0</v>
      </c>
    </row>
    <row r="50" spans="1:21" x14ac:dyDescent="0.25">
      <c r="A50" s="111" t="s">
        <v>1208</v>
      </c>
      <c r="B50" s="112" t="s">
        <v>1209</v>
      </c>
      <c r="C50" s="112" t="s">
        <v>1210</v>
      </c>
      <c r="D50" s="113">
        <v>0</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row>
    <row r="51" spans="1:21" x14ac:dyDescent="0.25">
      <c r="A51" s="14" t="s">
        <v>1211</v>
      </c>
      <c r="B51" s="116" t="s">
        <v>1212</v>
      </c>
      <c r="C51" s="116" t="s">
        <v>1213</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row>
    <row r="52" spans="1:21" x14ac:dyDescent="0.25">
      <c r="A52" s="111" t="s">
        <v>1214</v>
      </c>
      <c r="B52" s="112" t="s">
        <v>1215</v>
      </c>
      <c r="C52" s="112" t="s">
        <v>1216</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row>
    <row r="53" spans="1:21" x14ac:dyDescent="0.25">
      <c r="A53" s="14" t="s">
        <v>1217</v>
      </c>
      <c r="B53" s="116" t="s">
        <v>1218</v>
      </c>
      <c r="C53" s="116" t="s">
        <v>1219</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row>
    <row r="54" spans="1:21" x14ac:dyDescent="0.25">
      <c r="A54" s="111" t="s">
        <v>1220</v>
      </c>
      <c r="B54" s="112" t="s">
        <v>1221</v>
      </c>
      <c r="C54" s="112" t="s">
        <v>1222</v>
      </c>
      <c r="D54" s="113">
        <v>0</v>
      </c>
      <c r="E54" s="114">
        <v>0</v>
      </c>
      <c r="F54" s="113">
        <v>0</v>
      </c>
      <c r="G54" s="114">
        <v>0</v>
      </c>
      <c r="H54" s="113">
        <v>0</v>
      </c>
      <c r="I54" s="114">
        <v>0</v>
      </c>
      <c r="J54" s="113">
        <v>0</v>
      </c>
      <c r="K54" s="114">
        <v>0</v>
      </c>
      <c r="L54" s="113">
        <v>0</v>
      </c>
      <c r="M54" s="114">
        <v>0</v>
      </c>
      <c r="N54" s="113">
        <v>0</v>
      </c>
      <c r="O54" s="114">
        <v>0</v>
      </c>
      <c r="P54" s="113">
        <v>0</v>
      </c>
      <c r="Q54" s="114">
        <v>0</v>
      </c>
      <c r="R54" s="113">
        <v>0</v>
      </c>
      <c r="S54" s="114">
        <v>0</v>
      </c>
      <c r="T54" s="113">
        <v>0</v>
      </c>
      <c r="U54" s="115">
        <v>0</v>
      </c>
    </row>
    <row r="55" spans="1:21" x14ac:dyDescent="0.25">
      <c r="A55" s="14" t="s">
        <v>1223</v>
      </c>
      <c r="B55" s="116" t="s">
        <v>1224</v>
      </c>
      <c r="C55" s="116" t="s">
        <v>1225</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row>
    <row r="56" spans="1:21" x14ac:dyDescent="0.25">
      <c r="A56" s="111" t="s">
        <v>1133</v>
      </c>
      <c r="B56" s="112" t="s">
        <v>1226</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row>
    <row r="57" spans="1:21" x14ac:dyDescent="0.25">
      <c r="A57" s="14" t="s">
        <v>1227</v>
      </c>
      <c r="B57" s="116" t="s">
        <v>1228</v>
      </c>
      <c r="C57" s="116" t="s">
        <v>1229</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row>
    <row r="58" spans="1:21" x14ac:dyDescent="0.25">
      <c r="A58" s="111" t="s">
        <v>1230</v>
      </c>
      <c r="B58" s="112" t="s">
        <v>1231</v>
      </c>
      <c r="C58" s="112" t="s">
        <v>1232</v>
      </c>
      <c r="D58" s="113">
        <v>0</v>
      </c>
      <c r="E58" s="114">
        <v>0</v>
      </c>
      <c r="F58" s="113">
        <v>0</v>
      </c>
      <c r="G58" s="114">
        <v>0</v>
      </c>
      <c r="H58" s="113">
        <v>0</v>
      </c>
      <c r="I58" s="114">
        <v>10.184720039367676</v>
      </c>
      <c r="J58" s="113">
        <v>0</v>
      </c>
      <c r="K58" s="114">
        <v>10.184720039367676</v>
      </c>
      <c r="L58" s="113">
        <v>0</v>
      </c>
      <c r="M58" s="114">
        <v>10.184720039367676</v>
      </c>
      <c r="N58" s="113">
        <v>0</v>
      </c>
      <c r="O58" s="114">
        <v>0</v>
      </c>
      <c r="P58" s="113">
        <v>0</v>
      </c>
      <c r="Q58" s="114">
        <v>0</v>
      </c>
      <c r="R58" s="113">
        <v>0</v>
      </c>
      <c r="S58" s="114">
        <v>0</v>
      </c>
      <c r="T58" s="113">
        <v>0</v>
      </c>
      <c r="U58" s="115">
        <v>0</v>
      </c>
    </row>
    <row r="59" spans="1:21" x14ac:dyDescent="0.25">
      <c r="A59" s="14" t="s">
        <v>1135</v>
      </c>
      <c r="B59" s="116" t="s">
        <v>1136</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row>
    <row r="60" spans="1:21" x14ac:dyDescent="0.25">
      <c r="A60" s="111" t="s">
        <v>520</v>
      </c>
      <c r="B60" s="112" t="s">
        <v>1137</v>
      </c>
      <c r="C60" s="112" t="s">
        <v>57</v>
      </c>
      <c r="D60" s="113">
        <v>0</v>
      </c>
      <c r="E60" s="114">
        <v>0</v>
      </c>
      <c r="F60" s="113">
        <v>0</v>
      </c>
      <c r="G60" s="114">
        <v>0</v>
      </c>
      <c r="H60" s="113">
        <v>0</v>
      </c>
      <c r="I60" s="114">
        <v>0</v>
      </c>
      <c r="J60" s="113">
        <v>0</v>
      </c>
      <c r="K60" s="114">
        <v>0</v>
      </c>
      <c r="L60" s="113">
        <v>0</v>
      </c>
      <c r="M60" s="114">
        <v>0</v>
      </c>
      <c r="N60" s="113">
        <v>0</v>
      </c>
      <c r="O60" s="114">
        <v>0</v>
      </c>
      <c r="P60" s="113">
        <v>0</v>
      </c>
      <c r="Q60" s="114">
        <v>0</v>
      </c>
      <c r="R60" s="113">
        <v>0</v>
      </c>
      <c r="S60" s="114">
        <v>0</v>
      </c>
      <c r="T60" s="113">
        <v>0</v>
      </c>
      <c r="U60" s="115">
        <v>0</v>
      </c>
    </row>
    <row r="61" spans="1:21" x14ac:dyDescent="0.25">
      <c r="A61" s="14" t="s">
        <v>1138</v>
      </c>
      <c r="B61" s="116" t="s">
        <v>1139</v>
      </c>
      <c r="C61" s="116" t="s">
        <v>57</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row>
    <row r="62" spans="1:21" x14ac:dyDescent="0.25">
      <c r="A62" s="111" t="s">
        <v>1133</v>
      </c>
      <c r="B62" s="112" t="s">
        <v>1134</v>
      </c>
      <c r="C62" s="112" t="s">
        <v>57</v>
      </c>
      <c r="D62" s="113">
        <v>0</v>
      </c>
      <c r="E62" s="114">
        <v>0</v>
      </c>
      <c r="F62" s="113">
        <v>0</v>
      </c>
      <c r="G62" s="114">
        <v>0</v>
      </c>
      <c r="H62" s="113">
        <v>0</v>
      </c>
      <c r="I62" s="114">
        <v>0</v>
      </c>
      <c r="J62" s="113">
        <v>0</v>
      </c>
      <c r="K62" s="114">
        <v>0</v>
      </c>
      <c r="L62" s="113">
        <v>0</v>
      </c>
      <c r="M62" s="114">
        <v>0</v>
      </c>
      <c r="N62" s="113">
        <v>0</v>
      </c>
      <c r="O62" s="114">
        <v>0</v>
      </c>
      <c r="P62" s="113">
        <v>0</v>
      </c>
      <c r="Q62" s="114">
        <v>0</v>
      </c>
      <c r="R62" s="113">
        <v>0</v>
      </c>
      <c r="S62" s="114">
        <v>0</v>
      </c>
      <c r="T62" s="113">
        <v>0</v>
      </c>
      <c r="U62" s="115">
        <v>0</v>
      </c>
    </row>
    <row r="63" spans="1:21" x14ac:dyDescent="0.25">
      <c r="A63" s="14" t="s">
        <v>1236</v>
      </c>
      <c r="B63" s="116" t="s">
        <v>1237</v>
      </c>
      <c r="C63" s="116" t="s">
        <v>1238</v>
      </c>
      <c r="D63" s="117">
        <v>0</v>
      </c>
      <c r="E63" s="120">
        <v>0</v>
      </c>
      <c r="F63" s="117">
        <v>0</v>
      </c>
      <c r="G63" s="120">
        <v>0</v>
      </c>
      <c r="H63" s="117">
        <v>0</v>
      </c>
      <c r="I63" s="120">
        <v>0</v>
      </c>
      <c r="J63" s="117">
        <v>0</v>
      </c>
      <c r="K63" s="120">
        <v>0</v>
      </c>
      <c r="L63" s="117">
        <v>0</v>
      </c>
      <c r="M63" s="120">
        <v>0</v>
      </c>
      <c r="N63" s="117">
        <v>0</v>
      </c>
      <c r="O63" s="120">
        <v>0</v>
      </c>
      <c r="P63" s="117">
        <v>0</v>
      </c>
      <c r="Q63" s="120">
        <v>0</v>
      </c>
      <c r="R63" s="117">
        <v>0</v>
      </c>
      <c r="S63" s="120">
        <v>0</v>
      </c>
      <c r="T63" s="117">
        <v>0</v>
      </c>
      <c r="U63" s="119">
        <v>0</v>
      </c>
    </row>
    <row r="64" spans="1:21" x14ac:dyDescent="0.25">
      <c r="A64" s="111" t="s">
        <v>1096</v>
      </c>
      <c r="B64" s="112" t="s">
        <v>1239</v>
      </c>
      <c r="C64" s="112" t="s">
        <v>1097</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row>
    <row r="65" spans="1:21" x14ac:dyDescent="0.25">
      <c r="A65" s="14" t="s">
        <v>1135</v>
      </c>
      <c r="B65" s="116" t="s">
        <v>1136</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row>
    <row r="66" spans="1:21" x14ac:dyDescent="0.25">
      <c r="A66" s="111" t="s">
        <v>520</v>
      </c>
      <c r="B66" s="112" t="s">
        <v>1137</v>
      </c>
      <c r="C66" s="112" t="s">
        <v>57</v>
      </c>
      <c r="D66" s="113">
        <v>0</v>
      </c>
      <c r="E66" s="114">
        <v>0</v>
      </c>
      <c r="F66" s="113">
        <v>0</v>
      </c>
      <c r="G66" s="114">
        <v>0</v>
      </c>
      <c r="H66" s="113">
        <v>0</v>
      </c>
      <c r="I66" s="114">
        <v>0</v>
      </c>
      <c r="J66" s="113">
        <v>0</v>
      </c>
      <c r="K66" s="114">
        <v>0</v>
      </c>
      <c r="L66" s="113">
        <v>0</v>
      </c>
      <c r="M66" s="114">
        <v>0</v>
      </c>
      <c r="N66" s="113">
        <v>0</v>
      </c>
      <c r="O66" s="114">
        <v>0</v>
      </c>
      <c r="P66" s="113">
        <v>0</v>
      </c>
      <c r="Q66" s="114">
        <v>0</v>
      </c>
      <c r="R66" s="113">
        <v>0</v>
      </c>
      <c r="S66" s="114">
        <v>0</v>
      </c>
      <c r="T66" s="113">
        <v>0</v>
      </c>
      <c r="U66" s="115">
        <v>0</v>
      </c>
    </row>
    <row r="67" spans="1:21" x14ac:dyDescent="0.25">
      <c r="A67" s="14" t="s">
        <v>1138</v>
      </c>
      <c r="B67" s="116" t="s">
        <v>1139</v>
      </c>
      <c r="C67" s="116" t="s">
        <v>57</v>
      </c>
      <c r="D67" s="117">
        <v>0</v>
      </c>
      <c r="E67" s="120">
        <v>0</v>
      </c>
      <c r="F67" s="117">
        <v>0</v>
      </c>
      <c r="G67" s="120">
        <v>0</v>
      </c>
      <c r="H67" s="117">
        <v>0</v>
      </c>
      <c r="I67" s="120">
        <v>0</v>
      </c>
      <c r="J67" s="117">
        <v>0</v>
      </c>
      <c r="K67" s="120">
        <v>0</v>
      </c>
      <c r="L67" s="117">
        <v>0</v>
      </c>
      <c r="M67" s="120">
        <v>0</v>
      </c>
      <c r="N67" s="117">
        <v>0</v>
      </c>
      <c r="O67" s="120">
        <v>0</v>
      </c>
      <c r="P67" s="117">
        <v>0</v>
      </c>
      <c r="Q67" s="120">
        <v>0</v>
      </c>
      <c r="R67" s="117">
        <v>0</v>
      </c>
      <c r="S67" s="120">
        <v>0</v>
      </c>
      <c r="T67" s="117">
        <v>0</v>
      </c>
      <c r="U67" s="119">
        <v>0</v>
      </c>
    </row>
    <row r="68" spans="1:21" x14ac:dyDescent="0.25">
      <c r="A68" s="111" t="s">
        <v>1133</v>
      </c>
      <c r="B68" s="112" t="s">
        <v>1246</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row>
    <row r="69" spans="1:21" x14ac:dyDescent="0.25">
      <c r="A69" s="14" t="s">
        <v>1135</v>
      </c>
      <c r="B69" s="116" t="s">
        <v>1136</v>
      </c>
      <c r="C69" s="116" t="s">
        <v>57</v>
      </c>
      <c r="D69" s="117">
        <v>0</v>
      </c>
      <c r="E69" s="120">
        <v>0</v>
      </c>
      <c r="F69" s="117">
        <v>0</v>
      </c>
      <c r="G69" s="120">
        <v>0</v>
      </c>
      <c r="H69" s="117">
        <v>0</v>
      </c>
      <c r="I69" s="120">
        <v>0</v>
      </c>
      <c r="J69" s="117">
        <v>0</v>
      </c>
      <c r="K69" s="120">
        <v>0</v>
      </c>
      <c r="L69" s="117">
        <v>0</v>
      </c>
      <c r="M69" s="120">
        <v>0</v>
      </c>
      <c r="N69" s="117">
        <v>0</v>
      </c>
      <c r="O69" s="120">
        <v>0</v>
      </c>
      <c r="P69" s="117">
        <v>0</v>
      </c>
      <c r="Q69" s="120">
        <v>0</v>
      </c>
      <c r="R69" s="117">
        <v>0</v>
      </c>
      <c r="S69" s="120">
        <v>0</v>
      </c>
      <c r="T69" s="117">
        <v>0</v>
      </c>
      <c r="U69" s="119">
        <v>0</v>
      </c>
    </row>
    <row r="70" spans="1:21" x14ac:dyDescent="0.25">
      <c r="A70" s="111" t="s">
        <v>520</v>
      </c>
      <c r="B70" s="112" t="s">
        <v>1137</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row>
    <row r="71" spans="1:21" x14ac:dyDescent="0.25">
      <c r="A71" s="14" t="s">
        <v>1138</v>
      </c>
      <c r="B71" s="116" t="s">
        <v>1139</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row>
    <row r="72" spans="1:21" x14ac:dyDescent="0.25">
      <c r="A72" s="111" t="s">
        <v>1133</v>
      </c>
      <c r="B72" s="112" t="s">
        <v>1254</v>
      </c>
      <c r="C72" s="112" t="s">
        <v>57</v>
      </c>
      <c r="D72" s="113">
        <v>0</v>
      </c>
      <c r="E72" s="114">
        <v>0</v>
      </c>
      <c r="F72" s="113">
        <v>0</v>
      </c>
      <c r="G72" s="114">
        <v>0</v>
      </c>
      <c r="H72" s="113">
        <v>0</v>
      </c>
      <c r="I72" s="114">
        <v>0</v>
      </c>
      <c r="J72" s="113">
        <v>0</v>
      </c>
      <c r="K72" s="114">
        <v>0</v>
      </c>
      <c r="L72" s="113">
        <v>0</v>
      </c>
      <c r="M72" s="114">
        <v>0</v>
      </c>
      <c r="N72" s="113">
        <v>0</v>
      </c>
      <c r="O72" s="114">
        <v>0</v>
      </c>
      <c r="P72" s="113">
        <v>0</v>
      </c>
      <c r="Q72" s="114">
        <v>0</v>
      </c>
      <c r="R72" s="113">
        <v>0</v>
      </c>
      <c r="S72" s="114">
        <v>0</v>
      </c>
      <c r="T72" s="113">
        <v>0</v>
      </c>
      <c r="U72" s="115">
        <v>0</v>
      </c>
    </row>
    <row r="73" spans="1:21" x14ac:dyDescent="0.25">
      <c r="A73" s="14" t="s">
        <v>1135</v>
      </c>
      <c r="B73" s="116" t="s">
        <v>1136</v>
      </c>
      <c r="C73" s="116" t="s">
        <v>57</v>
      </c>
      <c r="D73" s="117">
        <v>0</v>
      </c>
      <c r="E73" s="120">
        <v>0</v>
      </c>
      <c r="F73" s="117">
        <v>0</v>
      </c>
      <c r="G73" s="120">
        <v>0</v>
      </c>
      <c r="H73" s="117">
        <v>0</v>
      </c>
      <c r="I73" s="120">
        <v>0</v>
      </c>
      <c r="J73" s="117">
        <v>0</v>
      </c>
      <c r="K73" s="120">
        <v>0</v>
      </c>
      <c r="L73" s="117">
        <v>0</v>
      </c>
      <c r="M73" s="120">
        <v>0</v>
      </c>
      <c r="N73" s="117">
        <v>0</v>
      </c>
      <c r="O73" s="120">
        <v>0</v>
      </c>
      <c r="P73" s="117">
        <v>0</v>
      </c>
      <c r="Q73" s="120">
        <v>0</v>
      </c>
      <c r="R73" s="117">
        <v>0</v>
      </c>
      <c r="S73" s="120">
        <v>0</v>
      </c>
      <c r="T73" s="117">
        <v>0</v>
      </c>
      <c r="U73" s="119">
        <v>0</v>
      </c>
    </row>
    <row r="74" spans="1:21" x14ac:dyDescent="0.25">
      <c r="A74" s="111" t="s">
        <v>520</v>
      </c>
      <c r="B74" s="112" t="s">
        <v>1255</v>
      </c>
      <c r="C74" s="112" t="s">
        <v>57</v>
      </c>
      <c r="D74" s="113">
        <v>0</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row>
    <row r="75" spans="1:21" x14ac:dyDescent="0.25">
      <c r="A75" s="14" t="s">
        <v>1138</v>
      </c>
      <c r="B75" s="116" t="s">
        <v>1139</v>
      </c>
      <c r="C75" s="116" t="s">
        <v>57</v>
      </c>
      <c r="D75" s="117">
        <v>0</v>
      </c>
      <c r="E75" s="120">
        <v>0</v>
      </c>
      <c r="F75" s="117">
        <v>0</v>
      </c>
      <c r="G75" s="120">
        <v>0</v>
      </c>
      <c r="H75" s="117">
        <v>0</v>
      </c>
      <c r="I75" s="120">
        <v>0</v>
      </c>
      <c r="J75" s="117">
        <v>0</v>
      </c>
      <c r="K75" s="120">
        <v>0</v>
      </c>
      <c r="L75" s="117">
        <v>0</v>
      </c>
      <c r="M75" s="120">
        <v>0</v>
      </c>
      <c r="N75" s="117">
        <v>0</v>
      </c>
      <c r="O75" s="120">
        <v>0</v>
      </c>
      <c r="P75" s="117">
        <v>0</v>
      </c>
      <c r="Q75" s="120">
        <v>0</v>
      </c>
      <c r="R75" s="117">
        <v>0</v>
      </c>
      <c r="S75" s="120">
        <v>0</v>
      </c>
      <c r="T75" s="117">
        <v>0</v>
      </c>
      <c r="U75" s="119">
        <v>0</v>
      </c>
    </row>
    <row r="76" spans="1:21" x14ac:dyDescent="0.25">
      <c r="A76" s="111" t="s">
        <v>655</v>
      </c>
      <c r="B76" s="112" t="s">
        <v>1259</v>
      </c>
      <c r="C76" s="112" t="s">
        <v>1260</v>
      </c>
      <c r="D76" s="113">
        <v>0</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row>
    <row r="77" spans="1:21" x14ac:dyDescent="0.25">
      <c r="A77" s="14" t="s">
        <v>1133</v>
      </c>
      <c r="B77" s="116" t="s">
        <v>1261</v>
      </c>
      <c r="C77" s="116" t="s">
        <v>57</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row>
    <row r="78" spans="1:21" x14ac:dyDescent="0.25">
      <c r="A78" s="111" t="s">
        <v>1135</v>
      </c>
      <c r="B78" s="112" t="s">
        <v>1136</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row>
    <row r="79" spans="1:21" x14ac:dyDescent="0.25">
      <c r="A79" s="14" t="s">
        <v>520</v>
      </c>
      <c r="B79" s="116" t="s">
        <v>1262</v>
      </c>
      <c r="C79" s="116" t="s">
        <v>57</v>
      </c>
      <c r="D79" s="117">
        <v>0</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row>
    <row r="80" spans="1:21" x14ac:dyDescent="0.25">
      <c r="A80" s="111" t="s">
        <v>1138</v>
      </c>
      <c r="B80" s="112" t="s">
        <v>1139</v>
      </c>
      <c r="C80" s="112" t="s">
        <v>57</v>
      </c>
      <c r="D80" s="113">
        <v>0</v>
      </c>
      <c r="E80" s="114">
        <v>0</v>
      </c>
      <c r="F80" s="113">
        <v>0</v>
      </c>
      <c r="G80" s="114">
        <v>0</v>
      </c>
      <c r="H80" s="113">
        <v>0</v>
      </c>
      <c r="I80" s="114">
        <v>0</v>
      </c>
      <c r="J80" s="113">
        <v>0</v>
      </c>
      <c r="K80" s="114">
        <v>0</v>
      </c>
      <c r="L80" s="113">
        <v>0</v>
      </c>
      <c r="M80" s="114">
        <v>0</v>
      </c>
      <c r="N80" s="113">
        <v>0</v>
      </c>
      <c r="O80" s="114">
        <v>0</v>
      </c>
      <c r="P80" s="113">
        <v>0</v>
      </c>
      <c r="Q80" s="114">
        <v>0</v>
      </c>
      <c r="R80" s="113">
        <v>0</v>
      </c>
      <c r="S80" s="114">
        <v>0</v>
      </c>
      <c r="T80" s="113">
        <v>0</v>
      </c>
      <c r="U80" s="115">
        <v>0</v>
      </c>
    </row>
    <row r="81" spans="1:21" x14ac:dyDescent="0.25">
      <c r="A81" s="14" t="s">
        <v>1077</v>
      </c>
      <c r="B81" s="116" t="s">
        <v>1149</v>
      </c>
      <c r="C81" s="116" t="s">
        <v>1263</v>
      </c>
      <c r="D81" s="117">
        <v>0</v>
      </c>
      <c r="E81" s="120">
        <v>0</v>
      </c>
      <c r="F81" s="117">
        <v>0</v>
      </c>
      <c r="G81" s="120">
        <v>479</v>
      </c>
      <c r="H81" s="117">
        <v>0</v>
      </c>
      <c r="I81" s="120">
        <v>0</v>
      </c>
      <c r="J81" s="117">
        <v>0</v>
      </c>
      <c r="K81" s="120">
        <v>0</v>
      </c>
      <c r="L81" s="117">
        <v>479.32675170898437</v>
      </c>
      <c r="M81" s="120">
        <v>479.32675170898437</v>
      </c>
      <c r="N81" s="117">
        <v>0</v>
      </c>
      <c r="O81" s="120">
        <v>0</v>
      </c>
      <c r="P81" s="117">
        <v>0</v>
      </c>
      <c r="Q81" s="120">
        <v>0</v>
      </c>
      <c r="R81" s="117">
        <v>0</v>
      </c>
      <c r="S81" s="120">
        <v>0</v>
      </c>
      <c r="T81" s="117">
        <v>0</v>
      </c>
      <c r="U81" s="119">
        <v>0</v>
      </c>
    </row>
    <row r="82" spans="1:21" x14ac:dyDescent="0.25">
      <c r="A82" s="111" t="s">
        <v>1116</v>
      </c>
      <c r="B82" s="112" t="s">
        <v>1118</v>
      </c>
      <c r="C82" s="112" t="s">
        <v>1117</v>
      </c>
      <c r="D82" s="113">
        <v>0</v>
      </c>
      <c r="E82" s="114">
        <v>0</v>
      </c>
      <c r="F82" s="113">
        <v>0</v>
      </c>
      <c r="G82" s="114">
        <v>0</v>
      </c>
      <c r="H82" s="113">
        <v>0</v>
      </c>
      <c r="I82" s="114">
        <v>0</v>
      </c>
      <c r="J82" s="113">
        <v>0</v>
      </c>
      <c r="K82" s="114">
        <v>0</v>
      </c>
      <c r="L82" s="113">
        <v>0</v>
      </c>
      <c r="M82" s="114">
        <v>0</v>
      </c>
      <c r="N82" s="113">
        <v>0</v>
      </c>
      <c r="O82" s="114">
        <v>0</v>
      </c>
      <c r="P82" s="113">
        <v>0</v>
      </c>
      <c r="Q82" s="114">
        <v>0</v>
      </c>
      <c r="R82" s="113">
        <v>0</v>
      </c>
      <c r="S82" s="114">
        <v>0</v>
      </c>
      <c r="T82" s="113">
        <v>0</v>
      </c>
      <c r="U82" s="115">
        <v>0</v>
      </c>
    </row>
    <row r="83" spans="1:21" x14ac:dyDescent="0.25">
      <c r="A83" s="14" t="s">
        <v>1124</v>
      </c>
      <c r="B83" s="116" t="s">
        <v>1126</v>
      </c>
      <c r="C83" s="116" t="s">
        <v>1125</v>
      </c>
      <c r="D83" s="117">
        <v>0</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row>
    <row r="84" spans="1:21" x14ac:dyDescent="0.25">
      <c r="A84" s="111" t="s">
        <v>1120</v>
      </c>
      <c r="B84" s="112" t="s">
        <v>1122</v>
      </c>
      <c r="C84" s="112" t="s">
        <v>1121</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row>
    <row r="85" spans="1:21" x14ac:dyDescent="0.25">
      <c r="A85" s="14" t="s">
        <v>702</v>
      </c>
      <c r="B85" s="116" t="s">
        <v>1264</v>
      </c>
      <c r="C85" s="116" t="s">
        <v>1265</v>
      </c>
      <c r="D85" s="117">
        <v>0</v>
      </c>
      <c r="E85" s="120">
        <v>0</v>
      </c>
      <c r="F85" s="117">
        <v>0</v>
      </c>
      <c r="G85" s="120">
        <v>7</v>
      </c>
      <c r="H85" s="117">
        <v>0</v>
      </c>
      <c r="I85" s="120">
        <v>0</v>
      </c>
      <c r="J85" s="117">
        <v>0</v>
      </c>
      <c r="K85" s="120">
        <v>0</v>
      </c>
      <c r="L85" s="117">
        <v>0</v>
      </c>
      <c r="M85" s="120">
        <v>0</v>
      </c>
      <c r="N85" s="117">
        <v>0</v>
      </c>
      <c r="O85" s="120">
        <v>0</v>
      </c>
      <c r="P85" s="117">
        <v>0</v>
      </c>
      <c r="Q85" s="120">
        <v>0</v>
      </c>
      <c r="R85" s="117">
        <v>0</v>
      </c>
      <c r="S85" s="120">
        <v>0</v>
      </c>
      <c r="T85" s="117">
        <v>0</v>
      </c>
      <c r="U85" s="119">
        <v>0</v>
      </c>
    </row>
    <row r="86" spans="1:21" x14ac:dyDescent="0.25">
      <c r="A86" s="111" t="s">
        <v>1266</v>
      </c>
      <c r="B86" s="112" t="s">
        <v>1267</v>
      </c>
      <c r="C86" s="112" t="s">
        <v>1268</v>
      </c>
      <c r="D86" s="113">
        <v>0</v>
      </c>
      <c r="E86" s="114">
        <v>0</v>
      </c>
      <c r="F86" s="113">
        <v>0</v>
      </c>
      <c r="G86" s="114">
        <v>0</v>
      </c>
      <c r="H86" s="113">
        <v>0</v>
      </c>
      <c r="I86" s="114">
        <v>0</v>
      </c>
      <c r="J86" s="113">
        <v>0</v>
      </c>
      <c r="K86" s="114">
        <v>0</v>
      </c>
      <c r="L86" s="113">
        <v>0</v>
      </c>
      <c r="M86" s="114">
        <v>0</v>
      </c>
      <c r="N86" s="113">
        <v>0</v>
      </c>
      <c r="O86" s="114">
        <v>0</v>
      </c>
      <c r="P86" s="113">
        <v>0</v>
      </c>
      <c r="Q86" s="114">
        <v>0</v>
      </c>
      <c r="R86" s="113">
        <v>0</v>
      </c>
      <c r="S86" s="114">
        <v>0</v>
      </c>
      <c r="T86" s="113">
        <v>0</v>
      </c>
      <c r="U86" s="115">
        <v>0</v>
      </c>
    </row>
    <row r="87" spans="1:21" x14ac:dyDescent="0.25">
      <c r="A87" s="14" t="s">
        <v>701</v>
      </c>
      <c r="B87" s="116" t="s">
        <v>316</v>
      </c>
      <c r="C87" s="116" t="s">
        <v>1269</v>
      </c>
      <c r="D87" s="117">
        <v>0</v>
      </c>
      <c r="E87" s="120">
        <v>0</v>
      </c>
      <c r="F87" s="117">
        <v>0</v>
      </c>
      <c r="G87" s="120">
        <v>1</v>
      </c>
      <c r="H87" s="117">
        <v>0</v>
      </c>
      <c r="I87" s="120">
        <v>0</v>
      </c>
      <c r="J87" s="117">
        <v>0</v>
      </c>
      <c r="K87" s="120">
        <v>0</v>
      </c>
      <c r="L87" s="117">
        <v>0</v>
      </c>
      <c r="M87" s="120">
        <v>0</v>
      </c>
      <c r="N87" s="117">
        <v>0</v>
      </c>
      <c r="O87" s="120">
        <v>0</v>
      </c>
      <c r="P87" s="117">
        <v>0</v>
      </c>
      <c r="Q87" s="120">
        <v>0</v>
      </c>
      <c r="R87" s="117">
        <v>0</v>
      </c>
      <c r="S87" s="120">
        <v>0</v>
      </c>
      <c r="T87" s="117">
        <v>0</v>
      </c>
      <c r="U87" s="119">
        <v>0</v>
      </c>
    </row>
    <row r="88" spans="1:21" x14ac:dyDescent="0.25">
      <c r="A88" s="111" t="s">
        <v>699</v>
      </c>
      <c r="B88" s="112" t="s">
        <v>1270</v>
      </c>
      <c r="C88" s="112" t="s">
        <v>1271</v>
      </c>
      <c r="D88" s="113">
        <v>0</v>
      </c>
      <c r="E88" s="114">
        <v>0</v>
      </c>
      <c r="F88" s="113">
        <v>0</v>
      </c>
      <c r="G88" s="114">
        <v>53</v>
      </c>
      <c r="H88" s="113">
        <v>0</v>
      </c>
      <c r="I88" s="114">
        <v>0</v>
      </c>
      <c r="J88" s="113">
        <v>0</v>
      </c>
      <c r="K88" s="114">
        <v>0</v>
      </c>
      <c r="L88" s="113">
        <v>0</v>
      </c>
      <c r="M88" s="114">
        <v>0</v>
      </c>
      <c r="N88" s="113">
        <v>0</v>
      </c>
      <c r="O88" s="114">
        <v>0</v>
      </c>
      <c r="P88" s="113">
        <v>0</v>
      </c>
      <c r="Q88" s="114">
        <v>0</v>
      </c>
      <c r="R88" s="113">
        <v>0</v>
      </c>
      <c r="S88" s="114">
        <v>0</v>
      </c>
      <c r="T88" s="113">
        <v>0</v>
      </c>
      <c r="U88" s="115">
        <v>0</v>
      </c>
    </row>
    <row r="89" spans="1:21" x14ac:dyDescent="0.25">
      <c r="A89" s="14" t="s">
        <v>1272</v>
      </c>
      <c r="B89" s="116" t="s">
        <v>1273</v>
      </c>
      <c r="C89" s="116" t="s">
        <v>1274</v>
      </c>
      <c r="D89" s="117">
        <v>0</v>
      </c>
      <c r="E89" s="120">
        <v>0</v>
      </c>
      <c r="F89" s="117">
        <v>0</v>
      </c>
      <c r="G89" s="120">
        <v>0</v>
      </c>
      <c r="H89" s="117">
        <v>0</v>
      </c>
      <c r="I89" s="120">
        <v>0</v>
      </c>
      <c r="J89" s="117">
        <v>0</v>
      </c>
      <c r="K89" s="120">
        <v>0</v>
      </c>
      <c r="L89" s="117">
        <v>0</v>
      </c>
      <c r="M89" s="120">
        <v>0</v>
      </c>
      <c r="N89" s="117">
        <v>0</v>
      </c>
      <c r="O89" s="120">
        <v>0</v>
      </c>
      <c r="P89" s="117">
        <v>0</v>
      </c>
      <c r="Q89" s="120">
        <v>0</v>
      </c>
      <c r="R89" s="117">
        <v>0</v>
      </c>
      <c r="S89" s="120">
        <v>0</v>
      </c>
      <c r="T89" s="117">
        <v>0</v>
      </c>
      <c r="U89" s="119">
        <v>0</v>
      </c>
    </row>
    <row r="90" spans="1:21" x14ac:dyDescent="0.25">
      <c r="A90" s="111" t="s">
        <v>1128</v>
      </c>
      <c r="B90" s="112" t="s">
        <v>1277</v>
      </c>
      <c r="C90" s="112" t="s">
        <v>1129</v>
      </c>
      <c r="D90" s="113">
        <v>0</v>
      </c>
      <c r="E90" s="114">
        <v>0</v>
      </c>
      <c r="F90" s="113">
        <v>0</v>
      </c>
      <c r="G90" s="114">
        <v>0</v>
      </c>
      <c r="H90" s="113">
        <v>0</v>
      </c>
      <c r="I90" s="114">
        <v>0</v>
      </c>
      <c r="J90" s="113">
        <v>0</v>
      </c>
      <c r="K90" s="114">
        <v>0</v>
      </c>
      <c r="L90" s="113">
        <v>0</v>
      </c>
      <c r="M90" s="114">
        <v>0</v>
      </c>
      <c r="N90" s="113">
        <v>0</v>
      </c>
      <c r="O90" s="114">
        <v>0</v>
      </c>
      <c r="P90" s="113">
        <v>0</v>
      </c>
      <c r="Q90" s="114">
        <v>0</v>
      </c>
      <c r="R90" s="113">
        <v>0</v>
      </c>
      <c r="S90" s="114">
        <v>0</v>
      </c>
      <c r="T90" s="113">
        <v>0</v>
      </c>
      <c r="U90" s="115">
        <v>0</v>
      </c>
    </row>
    <row r="91" spans="1:21" x14ac:dyDescent="0.25">
      <c r="A91" s="14" t="s">
        <v>519</v>
      </c>
      <c r="B91" s="116" t="s">
        <v>1280</v>
      </c>
      <c r="C91" s="116" t="s">
        <v>1281</v>
      </c>
      <c r="D91" s="117">
        <v>0</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row>
    <row r="92" spans="1:21" x14ac:dyDescent="0.25">
      <c r="A92" s="111" t="s">
        <v>1286</v>
      </c>
      <c r="B92" s="112" t="s">
        <v>1287</v>
      </c>
      <c r="C92" s="112" t="s">
        <v>1288</v>
      </c>
      <c r="D92" s="113">
        <v>0</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row>
    <row r="93" spans="1:21" x14ac:dyDescent="0.25">
      <c r="A93" s="14" t="s">
        <v>703</v>
      </c>
      <c r="B93" s="116" t="s">
        <v>322</v>
      </c>
      <c r="C93" s="116" t="s">
        <v>1292</v>
      </c>
      <c r="D93" s="117">
        <v>0</v>
      </c>
      <c r="E93" s="120">
        <v>0</v>
      </c>
      <c r="F93" s="117">
        <v>0</v>
      </c>
      <c r="G93" s="120">
        <v>29</v>
      </c>
      <c r="H93" s="117">
        <v>0</v>
      </c>
      <c r="I93" s="120">
        <v>28.523290634155273</v>
      </c>
      <c r="J93" s="117">
        <v>0</v>
      </c>
      <c r="K93" s="120">
        <v>28.523290634155273</v>
      </c>
      <c r="L93" s="117">
        <v>0</v>
      </c>
      <c r="M93" s="120">
        <v>28.523290634155273</v>
      </c>
      <c r="N93" s="117">
        <v>0</v>
      </c>
      <c r="O93" s="120">
        <v>0</v>
      </c>
      <c r="P93" s="117">
        <v>0</v>
      </c>
      <c r="Q93" s="120">
        <v>0</v>
      </c>
      <c r="R93" s="117">
        <v>0</v>
      </c>
      <c r="S93" s="120">
        <v>0</v>
      </c>
      <c r="T93" s="117">
        <v>0</v>
      </c>
      <c r="U93" s="119">
        <v>0</v>
      </c>
    </row>
    <row r="94" spans="1:21" x14ac:dyDescent="0.25">
      <c r="A94" s="111" t="s">
        <v>1296</v>
      </c>
      <c r="B94" s="112" t="s">
        <v>1297</v>
      </c>
      <c r="C94" s="112" t="s">
        <v>1298</v>
      </c>
      <c r="D94" s="113">
        <v>0</v>
      </c>
      <c r="E94" s="114">
        <v>0</v>
      </c>
      <c r="F94" s="113">
        <v>0</v>
      </c>
      <c r="G94" s="114">
        <v>0</v>
      </c>
      <c r="H94" s="113">
        <v>0</v>
      </c>
      <c r="I94" s="114">
        <v>0</v>
      </c>
      <c r="J94" s="113">
        <v>0</v>
      </c>
      <c r="K94" s="114">
        <v>0</v>
      </c>
      <c r="L94" s="113">
        <v>0</v>
      </c>
      <c r="M94" s="114">
        <v>0</v>
      </c>
      <c r="N94" s="113">
        <v>0</v>
      </c>
      <c r="O94" s="114">
        <v>0</v>
      </c>
      <c r="P94" s="113">
        <v>0</v>
      </c>
      <c r="Q94" s="114">
        <v>0</v>
      </c>
      <c r="R94" s="113">
        <v>0</v>
      </c>
      <c r="S94" s="114">
        <v>0</v>
      </c>
      <c r="T94" s="113">
        <v>0</v>
      </c>
      <c r="U94" s="115">
        <v>0</v>
      </c>
    </row>
    <row r="95" spans="1:21" x14ac:dyDescent="0.25">
      <c r="A95" s="14" t="s">
        <v>696</v>
      </c>
      <c r="B95" s="116" t="s">
        <v>304</v>
      </c>
      <c r="C95" s="116" t="s">
        <v>1299</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row>
    <row r="96" spans="1:21" x14ac:dyDescent="0.25">
      <c r="A96" s="111" t="s">
        <v>707</v>
      </c>
      <c r="B96" s="112" t="s">
        <v>1300</v>
      </c>
      <c r="C96" s="112" t="s">
        <v>1301</v>
      </c>
      <c r="D96" s="113">
        <v>0</v>
      </c>
      <c r="E96" s="114">
        <v>0</v>
      </c>
      <c r="F96" s="113">
        <v>0</v>
      </c>
      <c r="G96" s="114">
        <v>0</v>
      </c>
      <c r="H96" s="113">
        <v>0</v>
      </c>
      <c r="I96" s="114">
        <v>0</v>
      </c>
      <c r="J96" s="113">
        <v>0</v>
      </c>
      <c r="K96" s="114">
        <v>0</v>
      </c>
      <c r="L96" s="113">
        <v>0</v>
      </c>
      <c r="M96" s="114">
        <v>0</v>
      </c>
      <c r="N96" s="113">
        <v>0</v>
      </c>
      <c r="O96" s="114">
        <v>0</v>
      </c>
      <c r="P96" s="113">
        <v>0</v>
      </c>
      <c r="Q96" s="114">
        <v>0</v>
      </c>
      <c r="R96" s="113">
        <v>0</v>
      </c>
      <c r="S96" s="114">
        <v>0</v>
      </c>
      <c r="T96" s="113">
        <v>0</v>
      </c>
      <c r="U96" s="115">
        <v>0</v>
      </c>
    </row>
    <row r="97" spans="1:21" x14ac:dyDescent="0.25">
      <c r="A97" s="14" t="s">
        <v>518</v>
      </c>
      <c r="B97" s="116" t="s">
        <v>1302</v>
      </c>
      <c r="C97" s="116" t="s">
        <v>1303</v>
      </c>
      <c r="D97" s="117">
        <v>0</v>
      </c>
      <c r="E97" s="120">
        <v>0</v>
      </c>
      <c r="F97" s="117">
        <v>0</v>
      </c>
      <c r="G97" s="120">
        <v>0</v>
      </c>
      <c r="H97" s="117">
        <v>0</v>
      </c>
      <c r="I97" s="120">
        <v>0</v>
      </c>
      <c r="J97" s="117">
        <v>0</v>
      </c>
      <c r="K97" s="120">
        <v>0</v>
      </c>
      <c r="L97" s="117">
        <v>0</v>
      </c>
      <c r="M97" s="120">
        <v>0</v>
      </c>
      <c r="N97" s="117">
        <v>0</v>
      </c>
      <c r="O97" s="120">
        <v>0</v>
      </c>
      <c r="P97" s="117">
        <v>0</v>
      </c>
      <c r="Q97" s="120">
        <v>0</v>
      </c>
      <c r="R97" s="117">
        <v>0</v>
      </c>
      <c r="S97" s="120">
        <v>0</v>
      </c>
      <c r="T97" s="117">
        <v>0</v>
      </c>
      <c r="U97" s="119">
        <v>0</v>
      </c>
    </row>
    <row r="98" spans="1:21" x14ac:dyDescent="0.25">
      <c r="A98" s="111" t="s">
        <v>711</v>
      </c>
      <c r="B98" s="112" t="s">
        <v>712</v>
      </c>
      <c r="C98" s="112" t="s">
        <v>1304</v>
      </c>
      <c r="D98" s="113">
        <v>0</v>
      </c>
      <c r="E98" s="114">
        <v>0</v>
      </c>
      <c r="F98" s="113">
        <v>0</v>
      </c>
      <c r="G98" s="114">
        <v>0</v>
      </c>
      <c r="H98" s="113">
        <v>0</v>
      </c>
      <c r="I98" s="114">
        <v>0</v>
      </c>
      <c r="J98" s="113">
        <v>0</v>
      </c>
      <c r="K98" s="114">
        <v>0</v>
      </c>
      <c r="L98" s="113">
        <v>0</v>
      </c>
      <c r="M98" s="114">
        <v>0</v>
      </c>
      <c r="N98" s="113">
        <v>0</v>
      </c>
      <c r="O98" s="114">
        <v>0</v>
      </c>
      <c r="P98" s="113">
        <v>0</v>
      </c>
      <c r="Q98" s="114">
        <v>0</v>
      </c>
      <c r="R98" s="113">
        <v>0</v>
      </c>
      <c r="S98" s="114">
        <v>0</v>
      </c>
      <c r="T98" s="113">
        <v>0</v>
      </c>
      <c r="U98" s="115">
        <v>0</v>
      </c>
    </row>
    <row r="99" spans="1:21" x14ac:dyDescent="0.25">
      <c r="A99" s="14" t="s">
        <v>698</v>
      </c>
      <c r="B99" s="116" t="s">
        <v>1305</v>
      </c>
      <c r="C99" s="116" t="s">
        <v>1306</v>
      </c>
      <c r="D99" s="117">
        <v>0</v>
      </c>
      <c r="E99" s="120">
        <v>0</v>
      </c>
      <c r="F99" s="117">
        <v>0</v>
      </c>
      <c r="G99" s="120">
        <v>0</v>
      </c>
      <c r="H99" s="117">
        <v>0</v>
      </c>
      <c r="I99" s="120">
        <v>0</v>
      </c>
      <c r="J99" s="117">
        <v>0</v>
      </c>
      <c r="K99" s="120">
        <v>0</v>
      </c>
      <c r="L99" s="117">
        <v>0</v>
      </c>
      <c r="M99" s="120">
        <v>0</v>
      </c>
      <c r="N99" s="117">
        <v>0</v>
      </c>
      <c r="O99" s="120">
        <v>0</v>
      </c>
      <c r="P99" s="117">
        <v>0</v>
      </c>
      <c r="Q99" s="120">
        <v>0</v>
      </c>
      <c r="R99" s="117">
        <v>0</v>
      </c>
      <c r="S99" s="120">
        <v>0</v>
      </c>
      <c r="T99" s="117">
        <v>0</v>
      </c>
      <c r="U99" s="119">
        <v>0</v>
      </c>
    </row>
    <row r="100" spans="1:21" x14ac:dyDescent="0.25">
      <c r="A100" s="111" t="s">
        <v>1307</v>
      </c>
      <c r="B100" s="112" t="s">
        <v>1308</v>
      </c>
      <c r="C100" s="112" t="s">
        <v>1309</v>
      </c>
      <c r="D100" s="113">
        <v>0</v>
      </c>
      <c r="E100" s="114">
        <v>0</v>
      </c>
      <c r="F100" s="113">
        <v>0</v>
      </c>
      <c r="G100" s="114">
        <v>0</v>
      </c>
      <c r="H100" s="113">
        <v>0</v>
      </c>
      <c r="I100" s="114">
        <v>0</v>
      </c>
      <c r="J100" s="113">
        <v>0</v>
      </c>
      <c r="K100" s="114">
        <v>0</v>
      </c>
      <c r="L100" s="113">
        <v>0</v>
      </c>
      <c r="M100" s="114">
        <v>0</v>
      </c>
      <c r="N100" s="113">
        <v>0</v>
      </c>
      <c r="O100" s="114">
        <v>0</v>
      </c>
      <c r="P100" s="113">
        <v>0</v>
      </c>
      <c r="Q100" s="114">
        <v>0</v>
      </c>
      <c r="R100" s="113">
        <v>0</v>
      </c>
      <c r="S100" s="114">
        <v>0</v>
      </c>
      <c r="T100" s="113">
        <v>0</v>
      </c>
      <c r="U100" s="115">
        <v>0</v>
      </c>
    </row>
    <row r="101" spans="1:21" x14ac:dyDescent="0.25">
      <c r="A101" s="14" t="s">
        <v>697</v>
      </c>
      <c r="B101" s="116" t="s">
        <v>1310</v>
      </c>
      <c r="C101" s="116" t="s">
        <v>1311</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row>
    <row r="102" spans="1:21" x14ac:dyDescent="0.25">
      <c r="A102" s="111" t="s">
        <v>521</v>
      </c>
      <c r="B102" s="112" t="s">
        <v>1312</v>
      </c>
      <c r="C102" s="112" t="s">
        <v>1313</v>
      </c>
      <c r="D102" s="113">
        <v>0</v>
      </c>
      <c r="E102" s="114">
        <v>0</v>
      </c>
      <c r="F102" s="113">
        <v>0</v>
      </c>
      <c r="G102" s="114">
        <v>0</v>
      </c>
      <c r="H102" s="113">
        <v>0</v>
      </c>
      <c r="I102" s="114">
        <v>0</v>
      </c>
      <c r="J102" s="113">
        <v>0</v>
      </c>
      <c r="K102" s="114">
        <v>0</v>
      </c>
      <c r="L102" s="113">
        <v>0</v>
      </c>
      <c r="M102" s="114">
        <v>0</v>
      </c>
      <c r="N102" s="113">
        <v>0</v>
      </c>
      <c r="O102" s="114">
        <v>0</v>
      </c>
      <c r="P102" s="113">
        <v>0</v>
      </c>
      <c r="Q102" s="114">
        <v>0</v>
      </c>
      <c r="R102" s="113">
        <v>0</v>
      </c>
      <c r="S102" s="114">
        <v>0</v>
      </c>
      <c r="T102" s="113">
        <v>0</v>
      </c>
      <c r="U102" s="115">
        <v>0</v>
      </c>
    </row>
    <row r="103" spans="1:21" x14ac:dyDescent="0.25">
      <c r="A103" s="14" t="s">
        <v>523</v>
      </c>
      <c r="B103" s="116" t="s">
        <v>522</v>
      </c>
      <c r="C103" s="116" t="s">
        <v>1314</v>
      </c>
      <c r="D103" s="117">
        <v>0</v>
      </c>
      <c r="E103" s="120">
        <v>0</v>
      </c>
      <c r="F103" s="117">
        <v>0</v>
      </c>
      <c r="G103" s="120">
        <v>0</v>
      </c>
      <c r="H103" s="117">
        <v>0</v>
      </c>
      <c r="I103" s="120">
        <v>0</v>
      </c>
      <c r="J103" s="117">
        <v>0</v>
      </c>
      <c r="K103" s="120">
        <v>0</v>
      </c>
      <c r="L103" s="117">
        <v>0</v>
      </c>
      <c r="M103" s="120">
        <v>0</v>
      </c>
      <c r="N103" s="117">
        <v>0</v>
      </c>
      <c r="O103" s="120">
        <v>0</v>
      </c>
      <c r="P103" s="117">
        <v>0</v>
      </c>
      <c r="Q103" s="120">
        <v>0</v>
      </c>
      <c r="R103" s="117">
        <v>0</v>
      </c>
      <c r="S103" s="120">
        <v>0</v>
      </c>
      <c r="T103" s="117">
        <v>0</v>
      </c>
      <c r="U103" s="119">
        <v>0</v>
      </c>
    </row>
    <row r="104" spans="1:21" x14ac:dyDescent="0.25">
      <c r="A104" s="111" t="s">
        <v>953</v>
      </c>
      <c r="B104" s="112" t="s">
        <v>954</v>
      </c>
      <c r="C104" s="112" t="s">
        <v>1319</v>
      </c>
      <c r="D104" s="113">
        <v>0</v>
      </c>
      <c r="E104" s="114">
        <v>0</v>
      </c>
      <c r="F104" s="113">
        <v>0</v>
      </c>
      <c r="G104" s="114">
        <v>380</v>
      </c>
      <c r="H104" s="113">
        <v>0</v>
      </c>
      <c r="I104" s="114">
        <v>379.95736694335937</v>
      </c>
      <c r="J104" s="113">
        <v>0</v>
      </c>
      <c r="K104" s="114">
        <v>379.95736694335937</v>
      </c>
      <c r="L104" s="113">
        <v>0</v>
      </c>
      <c r="M104" s="114">
        <v>379.95736694335937</v>
      </c>
      <c r="N104" s="113">
        <v>0</v>
      </c>
      <c r="O104" s="114">
        <v>0</v>
      </c>
      <c r="P104" s="113">
        <v>0</v>
      </c>
      <c r="Q104" s="114">
        <v>0</v>
      </c>
      <c r="R104" s="113">
        <v>0</v>
      </c>
      <c r="S104" s="114">
        <v>0</v>
      </c>
      <c r="T104" s="113">
        <v>0</v>
      </c>
      <c r="U104" s="115">
        <v>0</v>
      </c>
    </row>
    <row r="105" spans="1:21" x14ac:dyDescent="0.25">
      <c r="A105" s="14" t="s">
        <v>1102</v>
      </c>
      <c r="B105" s="116" t="s">
        <v>310</v>
      </c>
      <c r="C105" s="116" t="s">
        <v>1320</v>
      </c>
      <c r="D105" s="117">
        <v>0</v>
      </c>
      <c r="E105" s="120">
        <v>0</v>
      </c>
      <c r="F105" s="117">
        <v>0</v>
      </c>
      <c r="G105" s="120">
        <v>0</v>
      </c>
      <c r="H105" s="117">
        <v>0</v>
      </c>
      <c r="I105" s="120">
        <v>0</v>
      </c>
      <c r="J105" s="117">
        <v>0</v>
      </c>
      <c r="K105" s="120">
        <v>0</v>
      </c>
      <c r="L105" s="117">
        <v>0</v>
      </c>
      <c r="M105" s="120">
        <v>0</v>
      </c>
      <c r="N105" s="117">
        <v>0</v>
      </c>
      <c r="O105" s="120">
        <v>0</v>
      </c>
      <c r="P105" s="117">
        <v>0</v>
      </c>
      <c r="Q105" s="120">
        <v>0</v>
      </c>
      <c r="R105" s="117">
        <v>0</v>
      </c>
      <c r="S105" s="120">
        <v>0</v>
      </c>
      <c r="T105" s="117">
        <v>0</v>
      </c>
      <c r="U105" s="119">
        <v>0</v>
      </c>
    </row>
    <row r="106" spans="1:21" x14ac:dyDescent="0.25">
      <c r="A106" s="111" t="s">
        <v>1084</v>
      </c>
      <c r="B106" s="112" t="s">
        <v>1321</v>
      </c>
      <c r="C106" s="112" t="s">
        <v>1322</v>
      </c>
      <c r="D106" s="113">
        <v>0</v>
      </c>
      <c r="E106" s="114">
        <v>0</v>
      </c>
      <c r="F106" s="113">
        <v>0</v>
      </c>
      <c r="G106" s="114">
        <v>0</v>
      </c>
      <c r="H106" s="113">
        <v>0</v>
      </c>
      <c r="I106" s="114">
        <v>0</v>
      </c>
      <c r="J106" s="113">
        <v>0</v>
      </c>
      <c r="K106" s="114">
        <v>0</v>
      </c>
      <c r="L106" s="113">
        <v>0</v>
      </c>
      <c r="M106" s="114">
        <v>0</v>
      </c>
      <c r="N106" s="113">
        <v>0</v>
      </c>
      <c r="O106" s="114">
        <v>0</v>
      </c>
      <c r="P106" s="113">
        <v>0</v>
      </c>
      <c r="Q106" s="114">
        <v>0</v>
      </c>
      <c r="R106" s="113">
        <v>0</v>
      </c>
      <c r="S106" s="114">
        <v>0</v>
      </c>
      <c r="T106" s="113">
        <v>0</v>
      </c>
      <c r="U106" s="115">
        <v>0</v>
      </c>
    </row>
    <row r="107" spans="1:21" x14ac:dyDescent="0.25">
      <c r="A107" s="14" t="s">
        <v>990</v>
      </c>
      <c r="B107" s="116" t="s">
        <v>1277</v>
      </c>
      <c r="C107" s="116" t="s">
        <v>1323</v>
      </c>
      <c r="D107" s="117">
        <v>0</v>
      </c>
      <c r="E107" s="120">
        <v>0</v>
      </c>
      <c r="F107" s="117">
        <v>0</v>
      </c>
      <c r="G107" s="120">
        <v>0</v>
      </c>
      <c r="H107" s="117">
        <v>0</v>
      </c>
      <c r="I107" s="120">
        <v>0</v>
      </c>
      <c r="J107" s="117">
        <v>0</v>
      </c>
      <c r="K107" s="120">
        <v>0</v>
      </c>
      <c r="L107" s="117">
        <v>0</v>
      </c>
      <c r="M107" s="120">
        <v>0</v>
      </c>
      <c r="N107" s="117">
        <v>0</v>
      </c>
      <c r="O107" s="120">
        <v>0</v>
      </c>
      <c r="P107" s="117">
        <v>0</v>
      </c>
      <c r="Q107" s="120">
        <v>0</v>
      </c>
      <c r="R107" s="117">
        <v>0</v>
      </c>
      <c r="S107" s="120">
        <v>0</v>
      </c>
      <c r="T107" s="117">
        <v>0</v>
      </c>
      <c r="U107" s="119">
        <v>0</v>
      </c>
    </row>
    <row r="108" spans="1:21" x14ac:dyDescent="0.25">
      <c r="A108" s="111" t="s">
        <v>992</v>
      </c>
      <c r="B108" s="112" t="s">
        <v>967</v>
      </c>
      <c r="C108" s="112" t="s">
        <v>1324</v>
      </c>
      <c r="D108" s="113">
        <v>0</v>
      </c>
      <c r="E108" s="114">
        <v>0</v>
      </c>
      <c r="F108" s="113">
        <v>0</v>
      </c>
      <c r="G108" s="114">
        <v>0</v>
      </c>
      <c r="H108" s="113">
        <v>0</v>
      </c>
      <c r="I108" s="114">
        <v>0</v>
      </c>
      <c r="J108" s="113">
        <v>0</v>
      </c>
      <c r="K108" s="114">
        <v>0</v>
      </c>
      <c r="L108" s="113">
        <v>0</v>
      </c>
      <c r="M108" s="114">
        <v>0</v>
      </c>
      <c r="N108" s="113">
        <v>0</v>
      </c>
      <c r="O108" s="114">
        <v>0</v>
      </c>
      <c r="P108" s="113">
        <v>0</v>
      </c>
      <c r="Q108" s="114">
        <v>0</v>
      </c>
      <c r="R108" s="113">
        <v>0</v>
      </c>
      <c r="S108" s="114">
        <v>0</v>
      </c>
      <c r="T108" s="113">
        <v>0</v>
      </c>
      <c r="U108" s="115">
        <v>0</v>
      </c>
    </row>
    <row r="109" spans="1:21" x14ac:dyDescent="0.25">
      <c r="A109" s="14" t="s">
        <v>1080</v>
      </c>
      <c r="B109" s="116" t="s">
        <v>1325</v>
      </c>
      <c r="C109" s="116" t="s">
        <v>1326</v>
      </c>
      <c r="D109" s="117">
        <v>0</v>
      </c>
      <c r="E109" s="120">
        <v>0</v>
      </c>
      <c r="F109" s="117">
        <v>0</v>
      </c>
      <c r="G109" s="120">
        <v>0</v>
      </c>
      <c r="H109" s="117">
        <v>0</v>
      </c>
      <c r="I109" s="120">
        <v>0</v>
      </c>
      <c r="J109" s="117">
        <v>0</v>
      </c>
      <c r="K109" s="120">
        <v>0</v>
      </c>
      <c r="L109" s="117">
        <v>0</v>
      </c>
      <c r="M109" s="120">
        <v>0</v>
      </c>
      <c r="N109" s="117">
        <v>0</v>
      </c>
      <c r="O109" s="120">
        <v>0</v>
      </c>
      <c r="P109" s="117">
        <v>0</v>
      </c>
      <c r="Q109" s="120">
        <v>0</v>
      </c>
      <c r="R109" s="117">
        <v>0</v>
      </c>
      <c r="S109" s="120">
        <v>0</v>
      </c>
      <c r="T109" s="117">
        <v>0</v>
      </c>
      <c r="U109" s="119">
        <v>0</v>
      </c>
    </row>
    <row r="110" spans="1:21" x14ac:dyDescent="0.25">
      <c r="A110" s="111" t="s">
        <v>1087</v>
      </c>
      <c r="B110" s="112" t="s">
        <v>966</v>
      </c>
      <c r="C110" s="112" t="s">
        <v>1327</v>
      </c>
      <c r="D110" s="113">
        <v>0</v>
      </c>
      <c r="E110" s="114">
        <v>0</v>
      </c>
      <c r="F110" s="113">
        <v>0</v>
      </c>
      <c r="G110" s="114">
        <v>0</v>
      </c>
      <c r="H110" s="113">
        <v>0</v>
      </c>
      <c r="I110" s="114">
        <v>0</v>
      </c>
      <c r="J110" s="113">
        <v>0</v>
      </c>
      <c r="K110" s="114">
        <v>0</v>
      </c>
      <c r="L110" s="113">
        <v>0</v>
      </c>
      <c r="M110" s="114">
        <v>0</v>
      </c>
      <c r="N110" s="113">
        <v>0</v>
      </c>
      <c r="O110" s="114">
        <v>0</v>
      </c>
      <c r="P110" s="113">
        <v>0</v>
      </c>
      <c r="Q110" s="114">
        <v>0</v>
      </c>
      <c r="R110" s="113">
        <v>0</v>
      </c>
      <c r="S110" s="114">
        <v>0</v>
      </c>
      <c r="T110" s="113">
        <v>0</v>
      </c>
      <c r="U110" s="115">
        <v>0</v>
      </c>
    </row>
    <row r="111" spans="1:21" x14ac:dyDescent="0.25">
      <c r="A111" s="14" t="s">
        <v>991</v>
      </c>
      <c r="B111" s="116" t="s">
        <v>965</v>
      </c>
      <c r="C111" s="116" t="s">
        <v>1328</v>
      </c>
      <c r="D111" s="117">
        <v>0</v>
      </c>
      <c r="E111" s="120">
        <v>0</v>
      </c>
      <c r="F111" s="117">
        <v>0</v>
      </c>
      <c r="G111" s="120">
        <v>0</v>
      </c>
      <c r="H111" s="117">
        <v>0</v>
      </c>
      <c r="I111" s="120">
        <v>0</v>
      </c>
      <c r="J111" s="117">
        <v>0</v>
      </c>
      <c r="K111" s="120">
        <v>0</v>
      </c>
      <c r="L111" s="117">
        <v>0</v>
      </c>
      <c r="M111" s="120">
        <v>0</v>
      </c>
      <c r="N111" s="117">
        <v>0</v>
      </c>
      <c r="O111" s="120">
        <v>0</v>
      </c>
      <c r="P111" s="117">
        <v>0</v>
      </c>
      <c r="Q111" s="120">
        <v>0</v>
      </c>
      <c r="R111" s="117">
        <v>0</v>
      </c>
      <c r="S111" s="120">
        <v>0</v>
      </c>
      <c r="T111" s="117">
        <v>0</v>
      </c>
      <c r="U111" s="119">
        <v>0</v>
      </c>
    </row>
    <row r="112" spans="1:21" x14ac:dyDescent="0.25">
      <c r="A112" s="111" t="s">
        <v>1083</v>
      </c>
      <c r="B112" s="112" t="s">
        <v>1329</v>
      </c>
      <c r="C112" s="112" t="s">
        <v>1330</v>
      </c>
      <c r="D112" s="113">
        <v>0</v>
      </c>
      <c r="E112" s="114">
        <v>0</v>
      </c>
      <c r="F112" s="113">
        <v>0</v>
      </c>
      <c r="G112" s="114">
        <v>871</v>
      </c>
      <c r="H112" s="113">
        <v>0</v>
      </c>
      <c r="I112" s="114">
        <v>0</v>
      </c>
      <c r="J112" s="113">
        <v>0</v>
      </c>
      <c r="K112" s="114">
        <v>0</v>
      </c>
      <c r="L112" s="113">
        <v>384.39999389648437</v>
      </c>
      <c r="M112" s="114">
        <v>384.39999389648437</v>
      </c>
      <c r="N112" s="113">
        <v>0</v>
      </c>
      <c r="O112" s="114">
        <v>0</v>
      </c>
      <c r="P112" s="113">
        <v>0</v>
      </c>
      <c r="Q112" s="114">
        <v>0</v>
      </c>
      <c r="R112" s="113">
        <v>0</v>
      </c>
      <c r="S112" s="114">
        <v>0</v>
      </c>
      <c r="T112" s="113">
        <v>0</v>
      </c>
      <c r="U112" s="115">
        <v>0</v>
      </c>
    </row>
    <row r="113" spans="1:21" x14ac:dyDescent="0.25">
      <c r="A113" s="14" t="s">
        <v>1133</v>
      </c>
      <c r="B113" s="116" t="s">
        <v>1331</v>
      </c>
      <c r="C113" s="116" t="s">
        <v>57</v>
      </c>
      <c r="D113" s="117">
        <v>0</v>
      </c>
      <c r="E113" s="120">
        <v>0</v>
      </c>
      <c r="F113" s="117">
        <v>0</v>
      </c>
      <c r="G113" s="120">
        <v>0</v>
      </c>
      <c r="H113" s="117">
        <v>0</v>
      </c>
      <c r="I113" s="120">
        <v>0</v>
      </c>
      <c r="J113" s="117">
        <v>0</v>
      </c>
      <c r="K113" s="120">
        <v>0</v>
      </c>
      <c r="L113" s="117">
        <v>0</v>
      </c>
      <c r="M113" s="120">
        <v>0</v>
      </c>
      <c r="N113" s="117">
        <v>0</v>
      </c>
      <c r="O113" s="120">
        <v>0</v>
      </c>
      <c r="P113" s="117">
        <v>0</v>
      </c>
      <c r="Q113" s="120">
        <v>0</v>
      </c>
      <c r="R113" s="117">
        <v>0</v>
      </c>
      <c r="S113" s="120">
        <v>0</v>
      </c>
      <c r="T113" s="117">
        <v>0</v>
      </c>
      <c r="U113" s="119">
        <v>0</v>
      </c>
    </row>
    <row r="114" spans="1:21" x14ac:dyDescent="0.25">
      <c r="A114" s="111" t="s">
        <v>1135</v>
      </c>
      <c r="B114" s="112" t="s">
        <v>1136</v>
      </c>
      <c r="C114" s="112" t="s">
        <v>57</v>
      </c>
      <c r="D114" s="113">
        <v>0</v>
      </c>
      <c r="E114" s="114">
        <v>0</v>
      </c>
      <c r="F114" s="113">
        <v>0</v>
      </c>
      <c r="G114" s="114">
        <v>0</v>
      </c>
      <c r="H114" s="113">
        <v>0</v>
      </c>
      <c r="I114" s="114">
        <v>0</v>
      </c>
      <c r="J114" s="113">
        <v>0</v>
      </c>
      <c r="K114" s="114">
        <v>0</v>
      </c>
      <c r="L114" s="113">
        <v>0</v>
      </c>
      <c r="M114" s="114">
        <v>0</v>
      </c>
      <c r="N114" s="113">
        <v>0</v>
      </c>
      <c r="O114" s="114">
        <v>0</v>
      </c>
      <c r="P114" s="113">
        <v>0</v>
      </c>
      <c r="Q114" s="114">
        <v>0</v>
      </c>
      <c r="R114" s="113">
        <v>0</v>
      </c>
      <c r="S114" s="114">
        <v>0</v>
      </c>
      <c r="T114" s="113">
        <v>0</v>
      </c>
      <c r="U114" s="115">
        <v>0</v>
      </c>
    </row>
    <row r="115" spans="1:21" x14ac:dyDescent="0.25">
      <c r="A115" s="14" t="s">
        <v>520</v>
      </c>
      <c r="B115" s="116" t="s">
        <v>1137</v>
      </c>
      <c r="C115" s="116" t="s">
        <v>57</v>
      </c>
      <c r="D115" s="117">
        <v>0</v>
      </c>
      <c r="E115" s="120">
        <v>0</v>
      </c>
      <c r="F115" s="117">
        <v>0</v>
      </c>
      <c r="G115" s="120">
        <v>0</v>
      </c>
      <c r="H115" s="117">
        <v>0</v>
      </c>
      <c r="I115" s="120">
        <v>0</v>
      </c>
      <c r="J115" s="117">
        <v>0</v>
      </c>
      <c r="K115" s="120">
        <v>0</v>
      </c>
      <c r="L115" s="117">
        <v>0</v>
      </c>
      <c r="M115" s="120">
        <v>0</v>
      </c>
      <c r="N115" s="117">
        <v>0</v>
      </c>
      <c r="O115" s="120">
        <v>0</v>
      </c>
      <c r="P115" s="117">
        <v>0</v>
      </c>
      <c r="Q115" s="120">
        <v>0</v>
      </c>
      <c r="R115" s="117">
        <v>0</v>
      </c>
      <c r="S115" s="120">
        <v>0</v>
      </c>
      <c r="T115" s="117">
        <v>0</v>
      </c>
      <c r="U115" s="119">
        <v>0</v>
      </c>
    </row>
    <row r="116" spans="1:21" x14ac:dyDescent="0.25">
      <c r="A116" s="111" t="s">
        <v>1138</v>
      </c>
      <c r="B116" s="112" t="s">
        <v>1139</v>
      </c>
      <c r="C116" s="112" t="s">
        <v>57</v>
      </c>
      <c r="D116" s="113">
        <v>0</v>
      </c>
      <c r="E116" s="114">
        <v>0</v>
      </c>
      <c r="F116" s="113">
        <v>0</v>
      </c>
      <c r="G116" s="114">
        <v>0</v>
      </c>
      <c r="H116" s="113">
        <v>0</v>
      </c>
      <c r="I116" s="114">
        <v>0</v>
      </c>
      <c r="J116" s="113">
        <v>0</v>
      </c>
      <c r="K116" s="114">
        <v>0</v>
      </c>
      <c r="L116" s="113">
        <v>0</v>
      </c>
      <c r="M116" s="114">
        <v>0</v>
      </c>
      <c r="N116" s="113">
        <v>0</v>
      </c>
      <c r="O116" s="114">
        <v>0</v>
      </c>
      <c r="P116" s="113">
        <v>0</v>
      </c>
      <c r="Q116" s="114">
        <v>0</v>
      </c>
      <c r="R116" s="113">
        <v>0</v>
      </c>
      <c r="S116" s="114">
        <v>0</v>
      </c>
      <c r="T116" s="113">
        <v>0</v>
      </c>
      <c r="U116" s="115">
        <v>0</v>
      </c>
    </row>
    <row r="117" spans="1:21" x14ac:dyDescent="0.25">
      <c r="A117" s="14" t="s">
        <v>1133</v>
      </c>
      <c r="B117" s="116" t="s">
        <v>1254</v>
      </c>
      <c r="C117" s="116" t="s">
        <v>57</v>
      </c>
      <c r="D117" s="117">
        <v>0</v>
      </c>
      <c r="E117" s="120">
        <v>0</v>
      </c>
      <c r="F117" s="117">
        <v>0</v>
      </c>
      <c r="G117" s="120">
        <v>0</v>
      </c>
      <c r="H117" s="117">
        <v>0</v>
      </c>
      <c r="I117" s="120">
        <v>0</v>
      </c>
      <c r="J117" s="117">
        <v>0</v>
      </c>
      <c r="K117" s="120">
        <v>0</v>
      </c>
      <c r="L117" s="117">
        <v>0</v>
      </c>
      <c r="M117" s="120">
        <v>0</v>
      </c>
      <c r="N117" s="117">
        <v>0</v>
      </c>
      <c r="O117" s="120">
        <v>0</v>
      </c>
      <c r="P117" s="117">
        <v>0</v>
      </c>
      <c r="Q117" s="120">
        <v>0</v>
      </c>
      <c r="R117" s="117">
        <v>0</v>
      </c>
      <c r="S117" s="120">
        <v>0</v>
      </c>
      <c r="T117" s="117">
        <v>0</v>
      </c>
      <c r="U117" s="119">
        <v>0</v>
      </c>
    </row>
    <row r="118" spans="1:21" x14ac:dyDescent="0.25">
      <c r="A118" s="111" t="s">
        <v>1135</v>
      </c>
      <c r="B118" s="112" t="s">
        <v>1136</v>
      </c>
      <c r="C118" s="112" t="s">
        <v>57</v>
      </c>
      <c r="D118" s="113">
        <v>0</v>
      </c>
      <c r="E118" s="114">
        <v>0</v>
      </c>
      <c r="F118" s="113">
        <v>0</v>
      </c>
      <c r="G118" s="114">
        <v>0</v>
      </c>
      <c r="H118" s="113">
        <v>0</v>
      </c>
      <c r="I118" s="114">
        <v>0</v>
      </c>
      <c r="J118" s="113">
        <v>0</v>
      </c>
      <c r="K118" s="114">
        <v>0</v>
      </c>
      <c r="L118" s="113">
        <v>0</v>
      </c>
      <c r="M118" s="114">
        <v>0</v>
      </c>
      <c r="N118" s="113">
        <v>0</v>
      </c>
      <c r="O118" s="114">
        <v>0</v>
      </c>
      <c r="P118" s="113">
        <v>0</v>
      </c>
      <c r="Q118" s="114">
        <v>0</v>
      </c>
      <c r="R118" s="113">
        <v>0</v>
      </c>
      <c r="S118" s="114">
        <v>0</v>
      </c>
      <c r="T118" s="113">
        <v>0</v>
      </c>
      <c r="U118" s="115">
        <v>0</v>
      </c>
    </row>
    <row r="119" spans="1:21" x14ac:dyDescent="0.25">
      <c r="A119" s="14" t="s">
        <v>520</v>
      </c>
      <c r="B119" s="116" t="s">
        <v>1335</v>
      </c>
      <c r="C119" s="116" t="s">
        <v>57</v>
      </c>
      <c r="D119" s="117">
        <v>0</v>
      </c>
      <c r="E119" s="120">
        <v>0</v>
      </c>
      <c r="F119" s="117">
        <v>0</v>
      </c>
      <c r="G119" s="120">
        <v>0</v>
      </c>
      <c r="H119" s="117">
        <v>0</v>
      </c>
      <c r="I119" s="120">
        <v>0</v>
      </c>
      <c r="J119" s="117">
        <v>0</v>
      </c>
      <c r="K119" s="120">
        <v>0</v>
      </c>
      <c r="L119" s="117">
        <v>0</v>
      </c>
      <c r="M119" s="120">
        <v>0</v>
      </c>
      <c r="N119" s="117">
        <v>0</v>
      </c>
      <c r="O119" s="120">
        <v>0</v>
      </c>
      <c r="P119" s="117">
        <v>0</v>
      </c>
      <c r="Q119" s="120">
        <v>0</v>
      </c>
      <c r="R119" s="117">
        <v>0</v>
      </c>
      <c r="S119" s="120">
        <v>0</v>
      </c>
      <c r="T119" s="117">
        <v>0</v>
      </c>
      <c r="U119" s="119">
        <v>0</v>
      </c>
    </row>
    <row r="120" spans="1:21" x14ac:dyDescent="0.25">
      <c r="A120" s="111" t="s">
        <v>1138</v>
      </c>
      <c r="B120" s="112" t="s">
        <v>1139</v>
      </c>
      <c r="C120" s="112" t="s">
        <v>57</v>
      </c>
      <c r="D120" s="113">
        <v>0</v>
      </c>
      <c r="E120" s="114">
        <v>0</v>
      </c>
      <c r="F120" s="113">
        <v>0</v>
      </c>
      <c r="G120" s="114">
        <v>0</v>
      </c>
      <c r="H120" s="113">
        <v>0</v>
      </c>
      <c r="I120" s="114">
        <v>0</v>
      </c>
      <c r="J120" s="113">
        <v>0</v>
      </c>
      <c r="K120" s="114">
        <v>0</v>
      </c>
      <c r="L120" s="113">
        <v>0</v>
      </c>
      <c r="M120" s="114">
        <v>0</v>
      </c>
      <c r="N120" s="113">
        <v>0</v>
      </c>
      <c r="O120" s="114">
        <v>0</v>
      </c>
      <c r="P120" s="113">
        <v>0</v>
      </c>
      <c r="Q120" s="114">
        <v>0</v>
      </c>
      <c r="R120" s="113">
        <v>0</v>
      </c>
      <c r="S120" s="114">
        <v>0</v>
      </c>
      <c r="T120" s="113">
        <v>0</v>
      </c>
      <c r="U120" s="115">
        <v>0</v>
      </c>
    </row>
    <row r="121" spans="1:21" x14ac:dyDescent="0.25">
      <c r="A121" s="14" t="s">
        <v>1133</v>
      </c>
      <c r="B121" s="116" t="s">
        <v>1339</v>
      </c>
      <c r="C121" s="116" t="s">
        <v>57</v>
      </c>
      <c r="D121" s="117">
        <v>0</v>
      </c>
      <c r="E121" s="120">
        <v>0</v>
      </c>
      <c r="F121" s="117">
        <v>0</v>
      </c>
      <c r="G121" s="120">
        <v>0</v>
      </c>
      <c r="H121" s="117">
        <v>0</v>
      </c>
      <c r="I121" s="120">
        <v>0</v>
      </c>
      <c r="J121" s="117">
        <v>0</v>
      </c>
      <c r="K121" s="120">
        <v>0</v>
      </c>
      <c r="L121" s="117">
        <v>0</v>
      </c>
      <c r="M121" s="120">
        <v>0</v>
      </c>
      <c r="N121" s="117">
        <v>0</v>
      </c>
      <c r="O121" s="120">
        <v>0</v>
      </c>
      <c r="P121" s="117">
        <v>0</v>
      </c>
      <c r="Q121" s="120">
        <v>0</v>
      </c>
      <c r="R121" s="117">
        <v>0</v>
      </c>
      <c r="S121" s="120">
        <v>0</v>
      </c>
      <c r="T121" s="117">
        <v>0</v>
      </c>
      <c r="U121" s="119">
        <v>0</v>
      </c>
    </row>
    <row r="122" spans="1:21" x14ac:dyDescent="0.25">
      <c r="A122" s="111" t="s">
        <v>1135</v>
      </c>
      <c r="B122" s="112" t="s">
        <v>1136</v>
      </c>
      <c r="C122" s="112" t="s">
        <v>57</v>
      </c>
      <c r="D122" s="113">
        <v>0</v>
      </c>
      <c r="E122" s="114">
        <v>0</v>
      </c>
      <c r="F122" s="113">
        <v>0</v>
      </c>
      <c r="G122" s="114">
        <v>0</v>
      </c>
      <c r="H122" s="113">
        <v>0</v>
      </c>
      <c r="I122" s="114">
        <v>0</v>
      </c>
      <c r="J122" s="113">
        <v>0</v>
      </c>
      <c r="K122" s="114">
        <v>0</v>
      </c>
      <c r="L122" s="113">
        <v>0</v>
      </c>
      <c r="M122" s="114">
        <v>0</v>
      </c>
      <c r="N122" s="113">
        <v>0</v>
      </c>
      <c r="O122" s="114">
        <v>0</v>
      </c>
      <c r="P122" s="113">
        <v>0</v>
      </c>
      <c r="Q122" s="114">
        <v>0</v>
      </c>
      <c r="R122" s="113">
        <v>0</v>
      </c>
      <c r="S122" s="114">
        <v>0</v>
      </c>
      <c r="T122" s="113">
        <v>0</v>
      </c>
      <c r="U122" s="115">
        <v>0</v>
      </c>
    </row>
    <row r="123" spans="1:21" x14ac:dyDescent="0.25">
      <c r="A123" s="14" t="s">
        <v>520</v>
      </c>
      <c r="B123" s="116" t="s">
        <v>1340</v>
      </c>
      <c r="C123" s="116" t="s">
        <v>57</v>
      </c>
      <c r="D123" s="117">
        <v>0</v>
      </c>
      <c r="E123" s="120">
        <v>0</v>
      </c>
      <c r="F123" s="117">
        <v>0</v>
      </c>
      <c r="G123" s="120">
        <v>0</v>
      </c>
      <c r="H123" s="117">
        <v>0</v>
      </c>
      <c r="I123" s="120">
        <v>0</v>
      </c>
      <c r="J123" s="117">
        <v>0</v>
      </c>
      <c r="K123" s="120">
        <v>0</v>
      </c>
      <c r="L123" s="117">
        <v>0</v>
      </c>
      <c r="M123" s="120">
        <v>0</v>
      </c>
      <c r="N123" s="117">
        <v>0</v>
      </c>
      <c r="O123" s="120">
        <v>0</v>
      </c>
      <c r="P123" s="117">
        <v>0</v>
      </c>
      <c r="Q123" s="120">
        <v>0</v>
      </c>
      <c r="R123" s="117">
        <v>0</v>
      </c>
      <c r="S123" s="120">
        <v>0</v>
      </c>
      <c r="T123" s="117">
        <v>0</v>
      </c>
      <c r="U123" s="119">
        <v>0</v>
      </c>
    </row>
    <row r="124" spans="1:21" x14ac:dyDescent="0.25">
      <c r="A124" s="111" t="s">
        <v>1138</v>
      </c>
      <c r="B124" s="112" t="s">
        <v>1139</v>
      </c>
      <c r="C124" s="112" t="s">
        <v>57</v>
      </c>
      <c r="D124" s="113">
        <v>0</v>
      </c>
      <c r="E124" s="114">
        <v>0</v>
      </c>
      <c r="F124" s="113">
        <v>0</v>
      </c>
      <c r="G124" s="114">
        <v>0</v>
      </c>
      <c r="H124" s="113">
        <v>0</v>
      </c>
      <c r="I124" s="114">
        <v>0</v>
      </c>
      <c r="J124" s="113">
        <v>0</v>
      </c>
      <c r="K124" s="114">
        <v>0</v>
      </c>
      <c r="L124" s="113">
        <v>0</v>
      </c>
      <c r="M124" s="114">
        <v>0</v>
      </c>
      <c r="N124" s="113">
        <v>0</v>
      </c>
      <c r="O124" s="114">
        <v>0</v>
      </c>
      <c r="P124" s="113">
        <v>0</v>
      </c>
      <c r="Q124" s="114">
        <v>0</v>
      </c>
      <c r="R124" s="113">
        <v>0</v>
      </c>
      <c r="S124" s="114">
        <v>0</v>
      </c>
      <c r="T124" s="113">
        <v>0</v>
      </c>
      <c r="U124" s="115">
        <v>0</v>
      </c>
    </row>
    <row r="125" spans="1:21" x14ac:dyDescent="0.25">
      <c r="A125" s="14" t="s">
        <v>1341</v>
      </c>
      <c r="B125" s="116" t="s">
        <v>1342</v>
      </c>
      <c r="C125" s="116" t="s">
        <v>1343</v>
      </c>
      <c r="D125" s="117">
        <v>0</v>
      </c>
      <c r="E125" s="120">
        <v>0</v>
      </c>
      <c r="F125" s="117">
        <v>0</v>
      </c>
      <c r="G125" s="120">
        <v>0</v>
      </c>
      <c r="H125" s="117">
        <v>0</v>
      </c>
      <c r="I125" s="120">
        <v>0</v>
      </c>
      <c r="J125" s="117">
        <v>0</v>
      </c>
      <c r="K125" s="120">
        <v>0</v>
      </c>
      <c r="L125" s="117">
        <v>0</v>
      </c>
      <c r="M125" s="120">
        <v>0</v>
      </c>
      <c r="N125" s="117">
        <v>0</v>
      </c>
      <c r="O125" s="120">
        <v>0</v>
      </c>
      <c r="P125" s="117">
        <v>0</v>
      </c>
      <c r="Q125" s="120">
        <v>0</v>
      </c>
      <c r="R125" s="117">
        <v>0</v>
      </c>
      <c r="S125" s="120">
        <v>0</v>
      </c>
      <c r="T125" s="117">
        <v>0</v>
      </c>
      <c r="U125" s="119">
        <v>0</v>
      </c>
    </row>
    <row r="126" spans="1:21" x14ac:dyDescent="0.25">
      <c r="A126" s="111" t="s">
        <v>745</v>
      </c>
      <c r="B126" s="112" t="s">
        <v>1344</v>
      </c>
      <c r="C126" s="112" t="s">
        <v>1345</v>
      </c>
      <c r="D126" s="113">
        <v>0</v>
      </c>
      <c r="E126" s="114">
        <v>0</v>
      </c>
      <c r="F126" s="113">
        <v>0</v>
      </c>
      <c r="G126" s="114">
        <v>0</v>
      </c>
      <c r="H126" s="113">
        <v>0</v>
      </c>
      <c r="I126" s="114">
        <v>-660.04498291015625</v>
      </c>
      <c r="J126" s="113">
        <v>0</v>
      </c>
      <c r="K126" s="114">
        <v>-660.04498291015625</v>
      </c>
      <c r="L126" s="113">
        <v>0</v>
      </c>
      <c r="M126" s="114">
        <v>-660.04498291015625</v>
      </c>
      <c r="N126" s="113">
        <v>0</v>
      </c>
      <c r="O126" s="114">
        <v>0</v>
      </c>
      <c r="P126" s="113">
        <v>0</v>
      </c>
      <c r="Q126" s="114">
        <v>0</v>
      </c>
      <c r="R126" s="113">
        <v>0</v>
      </c>
      <c r="S126" s="114">
        <v>0</v>
      </c>
      <c r="T126" s="113">
        <v>0</v>
      </c>
      <c r="U126" s="115">
        <v>0</v>
      </c>
    </row>
    <row r="127" spans="1:21" s="288" customFormat="1" ht="18.75" x14ac:dyDescent="0.3">
      <c r="D127" s="288">
        <f t="shared" ref="D127:U127" si="0">SUBTOTAL(9,D4:D126)</f>
        <v>0</v>
      </c>
      <c r="E127" s="288">
        <f t="shared" si="0"/>
        <v>0</v>
      </c>
      <c r="F127" s="288">
        <f t="shared" si="0"/>
        <v>0</v>
      </c>
      <c r="G127" s="288">
        <f t="shared" si="0"/>
        <v>1939</v>
      </c>
      <c r="H127" s="288">
        <f t="shared" si="0"/>
        <v>0</v>
      </c>
      <c r="I127" s="287">
        <f t="shared" si="0"/>
        <v>-241.37960529327393</v>
      </c>
      <c r="J127" s="288">
        <f t="shared" si="0"/>
        <v>0</v>
      </c>
      <c r="K127" s="288">
        <f t="shared" si="0"/>
        <v>-241.37960529327393</v>
      </c>
      <c r="L127" s="288">
        <f t="shared" si="0"/>
        <v>982.83777618408203</v>
      </c>
      <c r="M127" s="288">
        <f t="shared" si="0"/>
        <v>741.45817089080811</v>
      </c>
      <c r="N127" s="288">
        <f t="shared" si="0"/>
        <v>0</v>
      </c>
      <c r="O127" s="288">
        <f t="shared" si="0"/>
        <v>0</v>
      </c>
      <c r="P127" s="288">
        <f t="shared" si="0"/>
        <v>0</v>
      </c>
      <c r="Q127" s="288">
        <f t="shared" si="0"/>
        <v>0</v>
      </c>
      <c r="R127" s="288">
        <f t="shared" si="0"/>
        <v>0</v>
      </c>
      <c r="S127" s="288">
        <f t="shared" si="0"/>
        <v>0</v>
      </c>
      <c r="T127" s="288">
        <f t="shared" si="0"/>
        <v>0</v>
      </c>
      <c r="U127" s="288">
        <f t="shared" si="0"/>
        <v>0</v>
      </c>
    </row>
  </sheetData>
  <autoFilter ref="A2:V126"/>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
  <sheetViews>
    <sheetView showGridLines="0" zoomScale="84" zoomScaleNormal="84" workbookViewId="0">
      <pane ySplit="3" topLeftCell="A226" activePane="bottomLeft" state="frozen"/>
      <selection pane="bottomLeft" activeCell="J18" sqref="J18"/>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468" t="s">
        <v>1348</v>
      </c>
      <c r="B2" s="468" t="s">
        <v>1349</v>
      </c>
      <c r="C2" s="468" t="s">
        <v>1350</v>
      </c>
      <c r="D2" s="470" t="s">
        <v>1351</v>
      </c>
      <c r="E2" s="302" t="s">
        <v>1352</v>
      </c>
      <c r="F2" s="122"/>
      <c r="G2" s="123"/>
      <c r="H2" s="122"/>
      <c r="I2" s="124" t="s">
        <v>1353</v>
      </c>
      <c r="J2" s="125"/>
      <c r="K2" s="124"/>
      <c r="L2" s="124"/>
      <c r="M2" s="126"/>
      <c r="N2" s="127"/>
      <c r="O2" s="124"/>
      <c r="P2" s="124" t="s">
        <v>1354</v>
      </c>
      <c r="Q2" s="124"/>
      <c r="R2" s="124"/>
      <c r="S2" s="124"/>
      <c r="T2" s="124"/>
      <c r="U2" s="128"/>
    </row>
    <row r="3" spans="1:22"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2"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c r="V4" t="e">
        <f>VLOOKUP(A4,Projetos_Ciclo!$H$2:$H$315,1,FALSE)</f>
        <v>#N/A</v>
      </c>
    </row>
    <row r="5" spans="1:22"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c r="V5" t="e">
        <f>VLOOKUP(A5,Projetos_Ciclo!$H$2:$H$315,1,FALSE)</f>
        <v>#N/A</v>
      </c>
    </row>
    <row r="6" spans="1:22" x14ac:dyDescent="0.25">
      <c r="A6" s="111" t="s">
        <v>1383</v>
      </c>
      <c r="B6" s="112" t="s">
        <v>1384</v>
      </c>
      <c r="C6" s="112" t="s">
        <v>1385</v>
      </c>
      <c r="D6" s="113">
        <v>464</v>
      </c>
      <c r="E6" s="114">
        <v>0</v>
      </c>
      <c r="F6" s="113">
        <v>464</v>
      </c>
      <c r="G6" s="114">
        <v>0</v>
      </c>
      <c r="H6" s="113">
        <v>132</v>
      </c>
      <c r="I6" s="114">
        <v>0</v>
      </c>
      <c r="J6" s="113">
        <v>0</v>
      </c>
      <c r="K6" s="114">
        <v>0</v>
      </c>
      <c r="L6" s="113">
        <v>0</v>
      </c>
      <c r="M6" s="114">
        <v>0</v>
      </c>
      <c r="N6" s="113">
        <v>0</v>
      </c>
      <c r="O6" s="114">
        <v>0</v>
      </c>
      <c r="P6" s="113">
        <v>0</v>
      </c>
      <c r="Q6" s="114">
        <v>0</v>
      </c>
      <c r="R6" s="113">
        <v>0</v>
      </c>
      <c r="S6" s="114">
        <v>0</v>
      </c>
      <c r="T6" s="113">
        <v>0</v>
      </c>
      <c r="U6" s="115">
        <v>0</v>
      </c>
      <c r="V6" t="e">
        <f>VLOOKUP(A6,Projetos_Ciclo!$H$2:$H$315,1,FALSE)</f>
        <v>#N/A</v>
      </c>
    </row>
    <row r="7" spans="1:22" x14ac:dyDescent="0.25">
      <c r="A7" s="14" t="s">
        <v>1562</v>
      </c>
      <c r="B7" s="116" t="s">
        <v>1589</v>
      </c>
      <c r="C7" s="116" t="s">
        <v>1563</v>
      </c>
      <c r="D7" s="117">
        <v>0</v>
      </c>
      <c r="E7" s="120">
        <v>0</v>
      </c>
      <c r="F7" s="117">
        <v>0</v>
      </c>
      <c r="G7" s="120">
        <v>51</v>
      </c>
      <c r="H7" s="117">
        <v>0</v>
      </c>
      <c r="I7" s="120">
        <v>0</v>
      </c>
      <c r="J7" s="117">
        <v>0</v>
      </c>
      <c r="K7" s="120">
        <v>0</v>
      </c>
      <c r="L7" s="117">
        <v>47.292760133743286</v>
      </c>
      <c r="M7" s="120">
        <v>47.292760133743286</v>
      </c>
      <c r="N7" s="117">
        <v>0</v>
      </c>
      <c r="O7" s="120">
        <v>0</v>
      </c>
      <c r="P7" s="117">
        <v>0</v>
      </c>
      <c r="Q7" s="120">
        <v>0</v>
      </c>
      <c r="R7" s="117">
        <v>0</v>
      </c>
      <c r="S7" s="120">
        <v>0</v>
      </c>
      <c r="T7" s="117">
        <v>0</v>
      </c>
      <c r="U7" s="119">
        <v>0</v>
      </c>
      <c r="V7" t="str">
        <f>VLOOKUP(A7,Projetos_Ciclo!$H$2:$H$315,1,FALSE)</f>
        <v>MG00818</v>
      </c>
    </row>
    <row r="8" spans="1:22" x14ac:dyDescent="0.25">
      <c r="A8" s="111" t="s">
        <v>520</v>
      </c>
      <c r="B8" s="112" t="s">
        <v>1137</v>
      </c>
      <c r="C8" s="112" t="s">
        <v>57</v>
      </c>
      <c r="D8" s="113">
        <v>1854</v>
      </c>
      <c r="E8" s="114">
        <v>0</v>
      </c>
      <c r="F8" s="113">
        <v>0</v>
      </c>
      <c r="G8" s="114">
        <v>0</v>
      </c>
      <c r="H8" s="113">
        <v>0</v>
      </c>
      <c r="I8" s="114">
        <v>0</v>
      </c>
      <c r="J8" s="113">
        <v>0</v>
      </c>
      <c r="K8" s="114">
        <v>0</v>
      </c>
      <c r="L8" s="113">
        <v>0</v>
      </c>
      <c r="M8" s="114">
        <v>0</v>
      </c>
      <c r="N8" s="113">
        <v>634</v>
      </c>
      <c r="O8" s="114">
        <v>435</v>
      </c>
      <c r="P8" s="113">
        <v>360</v>
      </c>
      <c r="Q8" s="114">
        <v>425</v>
      </c>
      <c r="R8" s="113">
        <v>0</v>
      </c>
      <c r="S8" s="114">
        <v>0</v>
      </c>
      <c r="T8" s="113">
        <v>0</v>
      </c>
      <c r="U8" s="115">
        <v>0</v>
      </c>
      <c r="V8" t="str">
        <f>VLOOKUP(A8,Projetos_Ciclo!$H$2:$H$315,1,FALSE)</f>
        <v>NA</v>
      </c>
    </row>
    <row r="9" spans="1:22" x14ac:dyDescent="0.25">
      <c r="A9" s="14" t="s">
        <v>1469</v>
      </c>
      <c r="B9" s="116" t="s">
        <v>1517</v>
      </c>
      <c r="C9" s="116" t="s">
        <v>1470</v>
      </c>
      <c r="D9" s="117">
        <v>0</v>
      </c>
      <c r="E9" s="120">
        <v>0</v>
      </c>
      <c r="F9" s="117">
        <v>0</v>
      </c>
      <c r="G9" s="120">
        <v>132</v>
      </c>
      <c r="H9" s="117">
        <v>0</v>
      </c>
      <c r="I9" s="120">
        <v>28.784600853919983</v>
      </c>
      <c r="J9" s="117">
        <v>0</v>
      </c>
      <c r="K9" s="120">
        <v>28.784600853919983</v>
      </c>
      <c r="L9" s="117">
        <v>90.727752685546875</v>
      </c>
      <c r="M9" s="120">
        <v>119.51235353946686</v>
      </c>
      <c r="N9" s="117">
        <v>0</v>
      </c>
      <c r="O9" s="120">
        <v>0</v>
      </c>
      <c r="P9" s="117">
        <v>0</v>
      </c>
      <c r="Q9" s="120">
        <v>0</v>
      </c>
      <c r="R9" s="117">
        <v>0</v>
      </c>
      <c r="S9" s="120">
        <v>0</v>
      </c>
      <c r="T9" s="117">
        <v>0</v>
      </c>
      <c r="U9" s="119">
        <v>0</v>
      </c>
      <c r="V9" t="str">
        <f>VLOOKUP(A9,Projetos_Ciclo!$H$2:$H$315,1,FALSE)</f>
        <v>SC00318</v>
      </c>
    </row>
    <row r="10" spans="1:22" x14ac:dyDescent="0.25">
      <c r="A10" s="111" t="s">
        <v>1846</v>
      </c>
      <c r="B10" s="112" t="s">
        <v>1866</v>
      </c>
      <c r="C10" s="112" t="s">
        <v>1867</v>
      </c>
      <c r="D10" s="113">
        <v>0</v>
      </c>
      <c r="E10" s="114">
        <v>0</v>
      </c>
      <c r="F10" s="113">
        <v>0</v>
      </c>
      <c r="G10" s="114">
        <v>60</v>
      </c>
      <c r="H10" s="113">
        <v>0</v>
      </c>
      <c r="I10" s="114">
        <v>0</v>
      </c>
      <c r="J10" s="113">
        <v>0</v>
      </c>
      <c r="K10" s="114">
        <v>0</v>
      </c>
      <c r="L10" s="113">
        <v>0</v>
      </c>
      <c r="M10" s="114">
        <v>0</v>
      </c>
      <c r="N10" s="113">
        <v>0</v>
      </c>
      <c r="O10" s="114">
        <v>0</v>
      </c>
      <c r="P10" s="113">
        <v>0</v>
      </c>
      <c r="Q10" s="114">
        <v>0</v>
      </c>
      <c r="R10" s="113">
        <v>0</v>
      </c>
      <c r="S10" s="114">
        <v>0</v>
      </c>
      <c r="T10" s="113">
        <v>0</v>
      </c>
      <c r="U10" s="115">
        <v>0</v>
      </c>
      <c r="V10" t="str">
        <f>VLOOKUP(A10,Projetos_Ciclo!$H$2:$H$315,1,FALSE)</f>
        <v>SC01018</v>
      </c>
    </row>
    <row r="11" spans="1:22" x14ac:dyDescent="0.25">
      <c r="A11" s="14" t="s">
        <v>1138</v>
      </c>
      <c r="B11" s="116" t="s">
        <v>1139</v>
      </c>
      <c r="C11" s="116" t="s">
        <v>57</v>
      </c>
      <c r="D11" s="117">
        <v>318</v>
      </c>
      <c r="E11" s="120">
        <v>0</v>
      </c>
      <c r="F11" s="117">
        <v>0</v>
      </c>
      <c r="G11" s="120">
        <v>0</v>
      </c>
      <c r="H11" s="117">
        <v>0</v>
      </c>
      <c r="I11" s="120">
        <v>0</v>
      </c>
      <c r="J11" s="117">
        <v>0</v>
      </c>
      <c r="K11" s="120">
        <v>0</v>
      </c>
      <c r="L11" s="117">
        <v>0</v>
      </c>
      <c r="M11" s="120">
        <v>0</v>
      </c>
      <c r="N11" s="117">
        <v>0</v>
      </c>
      <c r="O11" s="120">
        <v>0</v>
      </c>
      <c r="P11" s="117">
        <v>0</v>
      </c>
      <c r="Q11" s="120">
        <v>0</v>
      </c>
      <c r="R11" s="117">
        <v>0</v>
      </c>
      <c r="S11" s="120">
        <v>0</v>
      </c>
      <c r="T11" s="117">
        <v>0</v>
      </c>
      <c r="U11" s="119">
        <v>0</v>
      </c>
      <c r="V11" t="e">
        <f>VLOOKUP(A11,Projetos_Ciclo!$H$2:$H$315,1,FALSE)</f>
        <v>#N/A</v>
      </c>
    </row>
    <row r="12" spans="1:22" x14ac:dyDescent="0.25">
      <c r="A12" s="111" t="s">
        <v>1133</v>
      </c>
      <c r="B12" s="112" t="s">
        <v>1140</v>
      </c>
      <c r="C12" s="112" t="s">
        <v>57</v>
      </c>
      <c r="D12" s="113">
        <v>0</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c r="V12" t="e">
        <f>VLOOKUP(A12,Projetos_Ciclo!$H$2:$H$315,1,FALSE)</f>
        <v>#N/A</v>
      </c>
    </row>
    <row r="13" spans="1:22" x14ac:dyDescent="0.25">
      <c r="A13" s="14" t="s">
        <v>1135</v>
      </c>
      <c r="B13" s="116" t="s">
        <v>1136</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c r="V13" t="e">
        <f>VLOOKUP(A13,Projetos_Ciclo!$H$2:$H$315,1,FALSE)</f>
        <v>#N/A</v>
      </c>
    </row>
    <row r="14" spans="1:22" x14ac:dyDescent="0.25">
      <c r="A14" s="111" t="s">
        <v>520</v>
      </c>
      <c r="B14" s="112" t="s">
        <v>1137</v>
      </c>
      <c r="C14" s="112" t="s">
        <v>57</v>
      </c>
      <c r="D14" s="113">
        <v>139</v>
      </c>
      <c r="E14" s="114">
        <v>0</v>
      </c>
      <c r="F14" s="113">
        <v>0</v>
      </c>
      <c r="G14" s="114">
        <v>0</v>
      </c>
      <c r="H14" s="113">
        <v>0</v>
      </c>
      <c r="I14" s="114">
        <v>0</v>
      </c>
      <c r="J14" s="113">
        <v>0</v>
      </c>
      <c r="K14" s="114">
        <v>0</v>
      </c>
      <c r="L14" s="113">
        <v>0</v>
      </c>
      <c r="M14" s="114">
        <v>0</v>
      </c>
      <c r="N14" s="113">
        <v>16</v>
      </c>
      <c r="O14" s="114">
        <v>30</v>
      </c>
      <c r="P14" s="113">
        <v>50</v>
      </c>
      <c r="Q14" s="114">
        <v>43</v>
      </c>
      <c r="R14" s="113">
        <v>0</v>
      </c>
      <c r="S14" s="114">
        <v>0</v>
      </c>
      <c r="T14" s="113">
        <v>0</v>
      </c>
      <c r="U14" s="115">
        <v>0</v>
      </c>
      <c r="V14" t="str">
        <f>VLOOKUP(A14,Projetos_Ciclo!$H$2:$H$315,1,FALSE)</f>
        <v>NA</v>
      </c>
    </row>
    <row r="15" spans="1:22" x14ac:dyDescent="0.25">
      <c r="A15" s="14" t="s">
        <v>1138</v>
      </c>
      <c r="B15" s="116" t="s">
        <v>1139</v>
      </c>
      <c r="C15" s="116" t="s">
        <v>57</v>
      </c>
      <c r="D15" s="117">
        <v>0</v>
      </c>
      <c r="E15" s="120">
        <v>0</v>
      </c>
      <c r="F15" s="117">
        <v>0</v>
      </c>
      <c r="G15" s="120">
        <v>0</v>
      </c>
      <c r="H15" s="117">
        <v>0</v>
      </c>
      <c r="I15" s="120">
        <v>0</v>
      </c>
      <c r="J15" s="117">
        <v>0</v>
      </c>
      <c r="K15" s="120">
        <v>0</v>
      </c>
      <c r="L15" s="117">
        <v>0</v>
      </c>
      <c r="M15" s="120">
        <v>0</v>
      </c>
      <c r="N15" s="117">
        <v>0</v>
      </c>
      <c r="O15" s="120">
        <v>0</v>
      </c>
      <c r="P15" s="117">
        <v>0</v>
      </c>
      <c r="Q15" s="120">
        <v>0</v>
      </c>
      <c r="R15" s="117">
        <v>0</v>
      </c>
      <c r="S15" s="120">
        <v>0</v>
      </c>
      <c r="T15" s="117">
        <v>0</v>
      </c>
      <c r="U15" s="119">
        <v>0</v>
      </c>
      <c r="V15" t="e">
        <f>VLOOKUP(A15,Projetos_Ciclo!$H$2:$H$315,1,FALSE)</f>
        <v>#N/A</v>
      </c>
    </row>
    <row r="16" spans="1:22" x14ac:dyDescent="0.25">
      <c r="A16" s="111" t="s">
        <v>1141</v>
      </c>
      <c r="B16" s="112" t="s">
        <v>1142</v>
      </c>
      <c r="C16" s="112" t="s">
        <v>1143</v>
      </c>
      <c r="D16" s="113">
        <v>29</v>
      </c>
      <c r="E16" s="114">
        <v>0</v>
      </c>
      <c r="F16" s="113">
        <v>29</v>
      </c>
      <c r="G16" s="114">
        <v>0</v>
      </c>
      <c r="H16" s="113">
        <v>0</v>
      </c>
      <c r="I16" s="114">
        <v>0</v>
      </c>
      <c r="J16" s="113">
        <v>0</v>
      </c>
      <c r="K16" s="114">
        <v>0</v>
      </c>
      <c r="L16" s="113">
        <v>0</v>
      </c>
      <c r="M16" s="114">
        <v>0</v>
      </c>
      <c r="N16" s="113">
        <v>0</v>
      </c>
      <c r="O16" s="114">
        <v>0</v>
      </c>
      <c r="P16" s="113">
        <v>0</v>
      </c>
      <c r="Q16" s="114">
        <v>0</v>
      </c>
      <c r="R16" s="113">
        <v>0</v>
      </c>
      <c r="S16" s="114">
        <v>0</v>
      </c>
      <c r="T16" s="113">
        <v>0</v>
      </c>
      <c r="U16" s="115">
        <v>0</v>
      </c>
      <c r="V16" t="e">
        <f>VLOOKUP(A16,Projetos_Ciclo!$H$2:$H$315,1,FALSE)</f>
        <v>#N/A</v>
      </c>
    </row>
    <row r="17" spans="1:22" x14ac:dyDescent="0.25">
      <c r="A17" s="14" t="s">
        <v>1835</v>
      </c>
      <c r="B17" s="116" t="s">
        <v>1836</v>
      </c>
      <c r="C17" s="116" t="s">
        <v>1837</v>
      </c>
      <c r="D17" s="117">
        <v>0</v>
      </c>
      <c r="E17" s="120">
        <v>0</v>
      </c>
      <c r="F17" s="117">
        <v>0</v>
      </c>
      <c r="G17" s="120">
        <v>10</v>
      </c>
      <c r="H17" s="117">
        <v>0</v>
      </c>
      <c r="I17" s="120">
        <v>2.2655799686908722</v>
      </c>
      <c r="J17" s="117">
        <v>0</v>
      </c>
      <c r="K17" s="120">
        <v>2.2655799686908722</v>
      </c>
      <c r="L17" s="117">
        <v>0</v>
      </c>
      <c r="M17" s="120">
        <v>2.2655799686908722</v>
      </c>
      <c r="N17" s="117">
        <v>0</v>
      </c>
      <c r="O17" s="120">
        <v>0</v>
      </c>
      <c r="P17" s="117">
        <v>0</v>
      </c>
      <c r="Q17" s="120">
        <v>0</v>
      </c>
      <c r="R17" s="117">
        <v>0</v>
      </c>
      <c r="S17" s="120">
        <v>0</v>
      </c>
      <c r="T17" s="117">
        <v>0</v>
      </c>
      <c r="U17" s="119">
        <v>0</v>
      </c>
      <c r="V17" t="str">
        <f>VLOOKUP(A17,Projetos_Ciclo!$H$2:$H$315,1,FALSE)</f>
        <v>TI08018</v>
      </c>
    </row>
    <row r="18" spans="1:22" x14ac:dyDescent="0.25">
      <c r="A18" s="111" t="s">
        <v>1133</v>
      </c>
      <c r="B18" s="112" t="s">
        <v>1144</v>
      </c>
      <c r="C18" s="112" t="s">
        <v>57</v>
      </c>
      <c r="D18" s="113">
        <v>0</v>
      </c>
      <c r="E18" s="114">
        <v>0</v>
      </c>
      <c r="F18" s="113">
        <v>0</v>
      </c>
      <c r="G18" s="114">
        <v>0</v>
      </c>
      <c r="H18" s="113">
        <v>0</v>
      </c>
      <c r="I18" s="114">
        <v>0</v>
      </c>
      <c r="J18" s="113">
        <v>0</v>
      </c>
      <c r="K18" s="114">
        <v>0</v>
      </c>
      <c r="L18" s="113">
        <v>0</v>
      </c>
      <c r="M18" s="114">
        <v>0</v>
      </c>
      <c r="N18" s="113">
        <v>0</v>
      </c>
      <c r="O18" s="114">
        <v>0</v>
      </c>
      <c r="P18" s="113">
        <v>0</v>
      </c>
      <c r="Q18" s="114">
        <v>0</v>
      </c>
      <c r="R18" s="113">
        <v>0</v>
      </c>
      <c r="S18" s="114">
        <v>0</v>
      </c>
      <c r="T18" s="113">
        <v>0</v>
      </c>
      <c r="U18" s="115">
        <v>0</v>
      </c>
      <c r="V18" t="e">
        <f>VLOOKUP(A18,Projetos_Ciclo!$H$2:$H$315,1,FALSE)</f>
        <v>#N/A</v>
      </c>
    </row>
    <row r="19" spans="1:22" x14ac:dyDescent="0.25">
      <c r="A19" s="14" t="s">
        <v>1135</v>
      </c>
      <c r="B19" s="116" t="s">
        <v>1136</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c r="V19" t="e">
        <f>VLOOKUP(A19,Projetos_Ciclo!$H$2:$H$315,1,FALSE)</f>
        <v>#N/A</v>
      </c>
    </row>
    <row r="20" spans="1:22" x14ac:dyDescent="0.25">
      <c r="A20" s="111" t="s">
        <v>520</v>
      </c>
      <c r="B20" s="112" t="s">
        <v>1137</v>
      </c>
      <c r="C20" s="112" t="s">
        <v>57</v>
      </c>
      <c r="D20" s="113">
        <v>896</v>
      </c>
      <c r="E20" s="114">
        <v>0</v>
      </c>
      <c r="F20" s="113">
        <v>0</v>
      </c>
      <c r="G20" s="114">
        <v>0</v>
      </c>
      <c r="H20" s="113">
        <v>0</v>
      </c>
      <c r="I20" s="114">
        <v>0</v>
      </c>
      <c r="J20" s="113">
        <v>0</v>
      </c>
      <c r="K20" s="114">
        <v>0</v>
      </c>
      <c r="L20" s="113">
        <v>0</v>
      </c>
      <c r="M20" s="114">
        <v>0</v>
      </c>
      <c r="N20" s="113">
        <v>351.5</v>
      </c>
      <c r="O20" s="114">
        <v>214.5</v>
      </c>
      <c r="P20" s="113">
        <v>51.5</v>
      </c>
      <c r="Q20" s="114">
        <v>278.5</v>
      </c>
      <c r="R20" s="113">
        <v>0</v>
      </c>
      <c r="S20" s="114">
        <v>0</v>
      </c>
      <c r="T20" s="113">
        <v>0</v>
      </c>
      <c r="U20" s="115">
        <v>0</v>
      </c>
      <c r="V20" t="str">
        <f>VLOOKUP(A20,Projetos_Ciclo!$H$2:$H$315,1,FALSE)</f>
        <v>NA</v>
      </c>
    </row>
    <row r="21" spans="1:22" x14ac:dyDescent="0.25">
      <c r="A21" s="14" t="s">
        <v>1138</v>
      </c>
      <c r="B21" s="116" t="s">
        <v>1139</v>
      </c>
      <c r="C21" s="116" t="s">
        <v>57</v>
      </c>
      <c r="D21" s="117">
        <v>0</v>
      </c>
      <c r="E21" s="120">
        <v>0</v>
      </c>
      <c r="F21" s="117">
        <v>0</v>
      </c>
      <c r="G21" s="120">
        <v>0</v>
      </c>
      <c r="H21" s="117">
        <v>0</v>
      </c>
      <c r="I21" s="120">
        <v>0</v>
      </c>
      <c r="J21" s="117">
        <v>0</v>
      </c>
      <c r="K21" s="120">
        <v>0</v>
      </c>
      <c r="L21" s="117">
        <v>0</v>
      </c>
      <c r="M21" s="120">
        <v>0</v>
      </c>
      <c r="N21" s="117">
        <v>0</v>
      </c>
      <c r="O21" s="120">
        <v>0</v>
      </c>
      <c r="P21" s="117">
        <v>0</v>
      </c>
      <c r="Q21" s="120">
        <v>0</v>
      </c>
      <c r="R21" s="117">
        <v>0</v>
      </c>
      <c r="S21" s="120">
        <v>0</v>
      </c>
      <c r="T21" s="117">
        <v>0</v>
      </c>
      <c r="U21" s="119">
        <v>0</v>
      </c>
      <c r="V21" t="e">
        <f>VLOOKUP(A21,Projetos_Ciclo!$H$2:$H$315,1,FALSE)</f>
        <v>#N/A</v>
      </c>
    </row>
    <row r="22" spans="1:22" x14ac:dyDescent="0.25">
      <c r="A22" s="111" t="s">
        <v>1407</v>
      </c>
      <c r="B22" s="112" t="s">
        <v>1408</v>
      </c>
      <c r="C22" s="112" t="s">
        <v>1409</v>
      </c>
      <c r="D22" s="113">
        <v>0</v>
      </c>
      <c r="E22" s="114">
        <v>0</v>
      </c>
      <c r="F22" s="113">
        <v>0</v>
      </c>
      <c r="G22" s="114">
        <v>59</v>
      </c>
      <c r="H22" s="113">
        <v>0</v>
      </c>
      <c r="I22" s="114">
        <v>0</v>
      </c>
      <c r="J22" s="113">
        <v>0</v>
      </c>
      <c r="K22" s="114">
        <v>0</v>
      </c>
      <c r="L22" s="113">
        <v>47.798999786376953</v>
      </c>
      <c r="M22" s="114">
        <v>47.798999786376953</v>
      </c>
      <c r="N22" s="113">
        <v>0</v>
      </c>
      <c r="O22" s="114">
        <v>0</v>
      </c>
      <c r="P22" s="113">
        <v>0</v>
      </c>
      <c r="Q22" s="114">
        <v>0</v>
      </c>
      <c r="R22" s="113">
        <v>0</v>
      </c>
      <c r="S22" s="114">
        <v>0</v>
      </c>
      <c r="T22" s="113">
        <v>0</v>
      </c>
      <c r="U22" s="115">
        <v>0</v>
      </c>
      <c r="V22" t="str">
        <f>VLOOKUP(A22,Projetos_Ciclo!$H$2:$H$315,1,FALSE)</f>
        <v>TI03218</v>
      </c>
    </row>
    <row r="23" spans="1:22" x14ac:dyDescent="0.25">
      <c r="A23" s="14" t="s">
        <v>1145</v>
      </c>
      <c r="B23" s="116" t="s">
        <v>1146</v>
      </c>
      <c r="C23" s="116" t="s">
        <v>1147</v>
      </c>
      <c r="D23" s="117">
        <v>59</v>
      </c>
      <c r="E23" s="120">
        <v>0</v>
      </c>
      <c r="F23" s="117">
        <v>59</v>
      </c>
      <c r="G23" s="120">
        <v>0</v>
      </c>
      <c r="H23" s="117">
        <v>0</v>
      </c>
      <c r="I23" s="120">
        <v>0</v>
      </c>
      <c r="J23" s="117">
        <v>0</v>
      </c>
      <c r="K23" s="120">
        <v>0</v>
      </c>
      <c r="L23" s="117">
        <v>0</v>
      </c>
      <c r="M23" s="120">
        <v>0</v>
      </c>
      <c r="N23" s="117">
        <v>0</v>
      </c>
      <c r="O23" s="120">
        <v>0</v>
      </c>
      <c r="P23" s="117">
        <v>0</v>
      </c>
      <c r="Q23" s="120">
        <v>0</v>
      </c>
      <c r="R23" s="117">
        <v>0</v>
      </c>
      <c r="S23" s="120">
        <v>0</v>
      </c>
      <c r="T23" s="117">
        <v>0</v>
      </c>
      <c r="U23" s="119">
        <v>0</v>
      </c>
      <c r="V23" t="e">
        <f>VLOOKUP(A23,Projetos_Ciclo!$H$2:$H$315,1,FALSE)</f>
        <v>#N/A</v>
      </c>
    </row>
    <row r="24" spans="1:22" x14ac:dyDescent="0.25">
      <c r="A24" s="111" t="s">
        <v>1133</v>
      </c>
      <c r="B24" s="112" t="s">
        <v>1148</v>
      </c>
      <c r="C24" s="112" t="s">
        <v>57</v>
      </c>
      <c r="D24" s="113">
        <v>0</v>
      </c>
      <c r="E24" s="114">
        <v>0</v>
      </c>
      <c r="F24" s="113">
        <v>0</v>
      </c>
      <c r="G24" s="114">
        <v>0</v>
      </c>
      <c r="H24" s="113">
        <v>0</v>
      </c>
      <c r="I24" s="114">
        <v>0</v>
      </c>
      <c r="J24" s="113">
        <v>0</v>
      </c>
      <c r="K24" s="114">
        <v>0</v>
      </c>
      <c r="L24" s="113">
        <v>0</v>
      </c>
      <c r="M24" s="114">
        <v>0</v>
      </c>
      <c r="N24" s="113">
        <v>0</v>
      </c>
      <c r="O24" s="114">
        <v>0</v>
      </c>
      <c r="P24" s="113">
        <v>0</v>
      </c>
      <c r="Q24" s="114">
        <v>0</v>
      </c>
      <c r="R24" s="113">
        <v>0</v>
      </c>
      <c r="S24" s="114">
        <v>0</v>
      </c>
      <c r="T24" s="113">
        <v>0</v>
      </c>
      <c r="U24" s="115">
        <v>0</v>
      </c>
      <c r="V24" t="e">
        <f>VLOOKUP(A24,Projetos_Ciclo!$H$2:$H$315,1,FALSE)</f>
        <v>#N/A</v>
      </c>
    </row>
    <row r="25" spans="1:22" x14ac:dyDescent="0.25">
      <c r="A25" s="14" t="s">
        <v>1135</v>
      </c>
      <c r="B25" s="116" t="s">
        <v>1136</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c r="V25" t="e">
        <f>VLOOKUP(A25,Projetos_Ciclo!$H$2:$H$315,1,FALSE)</f>
        <v>#N/A</v>
      </c>
    </row>
    <row r="26" spans="1:22" x14ac:dyDescent="0.25">
      <c r="A26" s="111" t="s">
        <v>520</v>
      </c>
      <c r="B26" s="112" t="s">
        <v>1137</v>
      </c>
      <c r="C26" s="112" t="s">
        <v>57</v>
      </c>
      <c r="D26" s="113">
        <v>4002</v>
      </c>
      <c r="E26" s="114">
        <v>0</v>
      </c>
      <c r="F26" s="113">
        <v>0</v>
      </c>
      <c r="G26" s="114">
        <v>0</v>
      </c>
      <c r="H26" s="113">
        <v>0</v>
      </c>
      <c r="I26" s="114">
        <v>0</v>
      </c>
      <c r="J26" s="113">
        <v>0</v>
      </c>
      <c r="K26" s="114">
        <v>0</v>
      </c>
      <c r="L26" s="113">
        <v>0</v>
      </c>
      <c r="M26" s="114">
        <v>0</v>
      </c>
      <c r="N26" s="113">
        <v>928</v>
      </c>
      <c r="O26" s="114">
        <v>1188</v>
      </c>
      <c r="P26" s="113">
        <v>1123</v>
      </c>
      <c r="Q26" s="114">
        <v>763</v>
      </c>
      <c r="R26" s="113">
        <v>0</v>
      </c>
      <c r="S26" s="114">
        <v>0</v>
      </c>
      <c r="T26" s="113">
        <v>0</v>
      </c>
      <c r="U26" s="115">
        <v>0</v>
      </c>
      <c r="V26" t="str">
        <f>VLOOKUP(A26,Projetos_Ciclo!$H$2:$H$315,1,FALSE)</f>
        <v>NA</v>
      </c>
    </row>
    <row r="27" spans="1:22" x14ac:dyDescent="0.25">
      <c r="A27" s="14" t="s">
        <v>1138</v>
      </c>
      <c r="B27" s="116" t="s">
        <v>1139</v>
      </c>
      <c r="C27" s="116" t="s">
        <v>57</v>
      </c>
      <c r="D27" s="117">
        <v>0</v>
      </c>
      <c r="E27" s="120">
        <v>0</v>
      </c>
      <c r="F27" s="117">
        <v>0</v>
      </c>
      <c r="G27" s="120">
        <v>0</v>
      </c>
      <c r="H27" s="117">
        <v>0</v>
      </c>
      <c r="I27" s="120">
        <v>0</v>
      </c>
      <c r="J27" s="117">
        <v>0</v>
      </c>
      <c r="K27" s="120">
        <v>0</v>
      </c>
      <c r="L27" s="117">
        <v>0</v>
      </c>
      <c r="M27" s="120">
        <v>0</v>
      </c>
      <c r="N27" s="117">
        <v>0</v>
      </c>
      <c r="O27" s="120">
        <v>0</v>
      </c>
      <c r="P27" s="117">
        <v>0</v>
      </c>
      <c r="Q27" s="120">
        <v>0</v>
      </c>
      <c r="R27" s="117">
        <v>0</v>
      </c>
      <c r="S27" s="120">
        <v>0</v>
      </c>
      <c r="T27" s="117">
        <v>0</v>
      </c>
      <c r="U27" s="119">
        <v>0</v>
      </c>
      <c r="V27" t="e">
        <f>VLOOKUP(A27,Projetos_Ciclo!$H$2:$H$315,1,FALSE)</f>
        <v>#N/A</v>
      </c>
    </row>
    <row r="28" spans="1:22" x14ac:dyDescent="0.25">
      <c r="A28" s="111" t="s">
        <v>1058</v>
      </c>
      <c r="B28" s="112" t="s">
        <v>1149</v>
      </c>
      <c r="C28" s="112" t="s">
        <v>1150</v>
      </c>
      <c r="D28" s="113">
        <v>0</v>
      </c>
      <c r="E28" s="114">
        <v>0</v>
      </c>
      <c r="F28" s="113">
        <v>0</v>
      </c>
      <c r="G28" s="114">
        <v>119</v>
      </c>
      <c r="H28" s="113">
        <v>0</v>
      </c>
      <c r="I28" s="114">
        <v>119.11103057861328</v>
      </c>
      <c r="J28" s="113">
        <v>0</v>
      </c>
      <c r="K28" s="114">
        <v>119.11103057861328</v>
      </c>
      <c r="L28" s="113">
        <v>0</v>
      </c>
      <c r="M28" s="114">
        <v>119.11103057861328</v>
      </c>
      <c r="N28" s="113">
        <v>0</v>
      </c>
      <c r="O28" s="114">
        <v>0</v>
      </c>
      <c r="P28" s="113">
        <v>0</v>
      </c>
      <c r="Q28" s="114">
        <v>0</v>
      </c>
      <c r="R28" s="113">
        <v>0</v>
      </c>
      <c r="S28" s="114">
        <v>0</v>
      </c>
      <c r="T28" s="113">
        <v>0</v>
      </c>
      <c r="U28" s="115">
        <v>0</v>
      </c>
      <c r="V28" t="str">
        <f>VLOOKUP(A28,Projetos_Ciclo!$H$2:$H$315,1,FALSE)</f>
        <v>TI00218</v>
      </c>
    </row>
    <row r="29" spans="1:22" x14ac:dyDescent="0.25">
      <c r="A29" s="14" t="s">
        <v>744</v>
      </c>
      <c r="B29" s="116" t="s">
        <v>378</v>
      </c>
      <c r="C29" s="116" t="s">
        <v>1151</v>
      </c>
      <c r="D29" s="117">
        <v>0</v>
      </c>
      <c r="E29" s="120">
        <v>0</v>
      </c>
      <c r="F29" s="117">
        <v>0</v>
      </c>
      <c r="G29" s="120">
        <v>490</v>
      </c>
      <c r="H29" s="117">
        <v>0</v>
      </c>
      <c r="I29" s="120">
        <v>199.49535179138184</v>
      </c>
      <c r="J29" s="117">
        <v>0</v>
      </c>
      <c r="K29" s="120">
        <v>199.49535179138184</v>
      </c>
      <c r="L29" s="117">
        <v>284.27999877929687</v>
      </c>
      <c r="M29" s="120">
        <v>483.77535057067871</v>
      </c>
      <c r="N29" s="117">
        <v>0</v>
      </c>
      <c r="O29" s="120">
        <v>0</v>
      </c>
      <c r="P29" s="117">
        <v>0</v>
      </c>
      <c r="Q29" s="120">
        <v>0</v>
      </c>
      <c r="R29" s="117">
        <v>0</v>
      </c>
      <c r="S29" s="120">
        <v>0</v>
      </c>
      <c r="T29" s="117">
        <v>0</v>
      </c>
      <c r="U29" s="119">
        <v>0</v>
      </c>
      <c r="V29" t="str">
        <f>VLOOKUP(A29,Projetos_Ciclo!$H$2:$H$315,1,FALSE)</f>
        <v>TI02216</v>
      </c>
    </row>
    <row r="30" spans="1:22" x14ac:dyDescent="0.25">
      <c r="A30" s="111" t="s">
        <v>1152</v>
      </c>
      <c r="B30" s="112" t="s">
        <v>1149</v>
      </c>
      <c r="C30" s="112" t="s">
        <v>1153</v>
      </c>
      <c r="D30" s="113">
        <v>0</v>
      </c>
      <c r="E30" s="114">
        <v>0</v>
      </c>
      <c r="F30" s="113">
        <v>0</v>
      </c>
      <c r="G30" s="114">
        <v>115</v>
      </c>
      <c r="H30" s="113">
        <v>0</v>
      </c>
      <c r="I30" s="114">
        <v>0</v>
      </c>
      <c r="J30" s="113">
        <v>0</v>
      </c>
      <c r="K30" s="114">
        <v>0</v>
      </c>
      <c r="L30" s="113">
        <v>115.19999694824219</v>
      </c>
      <c r="M30" s="114">
        <v>115.19999694824219</v>
      </c>
      <c r="N30" s="113">
        <v>0</v>
      </c>
      <c r="O30" s="114">
        <v>0</v>
      </c>
      <c r="P30" s="113">
        <v>0</v>
      </c>
      <c r="Q30" s="114">
        <v>0</v>
      </c>
      <c r="R30" s="113">
        <v>0</v>
      </c>
      <c r="S30" s="114">
        <v>0</v>
      </c>
      <c r="T30" s="113">
        <v>0</v>
      </c>
      <c r="U30" s="115">
        <v>0</v>
      </c>
      <c r="V30" t="str">
        <f>VLOOKUP(A30,Projetos_Ciclo!$H$2:$H$315,1,FALSE)</f>
        <v>TI03018</v>
      </c>
    </row>
    <row r="31" spans="1:22" x14ac:dyDescent="0.25">
      <c r="A31" s="14" t="s">
        <v>1154</v>
      </c>
      <c r="B31" s="116" t="s">
        <v>1155</v>
      </c>
      <c r="C31" s="116" t="s">
        <v>1156</v>
      </c>
      <c r="D31" s="117">
        <v>2118</v>
      </c>
      <c r="E31" s="120">
        <v>0</v>
      </c>
      <c r="F31" s="117">
        <v>1886</v>
      </c>
      <c r="G31" s="120">
        <v>0</v>
      </c>
      <c r="H31" s="117">
        <v>448</v>
      </c>
      <c r="I31" s="120">
        <v>0</v>
      </c>
      <c r="J31" s="117">
        <v>0</v>
      </c>
      <c r="K31" s="120">
        <v>0</v>
      </c>
      <c r="L31" s="117">
        <v>0</v>
      </c>
      <c r="M31" s="120">
        <v>0</v>
      </c>
      <c r="N31" s="117">
        <v>210</v>
      </c>
      <c r="O31" s="120">
        <v>22</v>
      </c>
      <c r="P31" s="117">
        <v>0</v>
      </c>
      <c r="Q31" s="120">
        <v>0</v>
      </c>
      <c r="R31" s="117">
        <v>0</v>
      </c>
      <c r="S31" s="120">
        <v>0</v>
      </c>
      <c r="T31" s="117">
        <v>0</v>
      </c>
      <c r="U31" s="119">
        <v>0</v>
      </c>
      <c r="V31" t="e">
        <f>VLOOKUP(A31,Projetos_Ciclo!$H$2:$H$315,1,FALSE)</f>
        <v>#N/A</v>
      </c>
    </row>
    <row r="32" spans="1:22" x14ac:dyDescent="0.25">
      <c r="A32" s="111" t="s">
        <v>1410</v>
      </c>
      <c r="B32" s="112" t="s">
        <v>1411</v>
      </c>
      <c r="C32" s="112" t="s">
        <v>1412</v>
      </c>
      <c r="D32" s="113">
        <v>0</v>
      </c>
      <c r="E32" s="114">
        <v>0</v>
      </c>
      <c r="F32" s="113">
        <v>0</v>
      </c>
      <c r="G32" s="114">
        <v>27</v>
      </c>
      <c r="H32" s="113">
        <v>0</v>
      </c>
      <c r="I32" s="114">
        <v>0</v>
      </c>
      <c r="J32" s="113">
        <v>0</v>
      </c>
      <c r="K32" s="114">
        <v>0</v>
      </c>
      <c r="L32" s="113">
        <v>21.477760314941406</v>
      </c>
      <c r="M32" s="114">
        <v>21.477760314941406</v>
      </c>
      <c r="N32" s="113">
        <v>0</v>
      </c>
      <c r="O32" s="114">
        <v>0</v>
      </c>
      <c r="P32" s="113">
        <v>0</v>
      </c>
      <c r="Q32" s="114">
        <v>0</v>
      </c>
      <c r="R32" s="113">
        <v>0</v>
      </c>
      <c r="S32" s="114">
        <v>0</v>
      </c>
      <c r="T32" s="113">
        <v>0</v>
      </c>
      <c r="U32" s="115">
        <v>0</v>
      </c>
      <c r="V32" t="str">
        <f>VLOOKUP(A32,Projetos_Ciclo!$H$2:$H$315,1,FALSE)</f>
        <v>TI04818</v>
      </c>
    </row>
    <row r="33" spans="1:22" x14ac:dyDescent="0.25">
      <c r="A33" s="14" t="s">
        <v>1413</v>
      </c>
      <c r="B33" s="116" t="s">
        <v>1414</v>
      </c>
      <c r="C33" s="116" t="s">
        <v>1415</v>
      </c>
      <c r="D33" s="117">
        <v>0</v>
      </c>
      <c r="E33" s="120">
        <v>0</v>
      </c>
      <c r="F33" s="117">
        <v>0</v>
      </c>
      <c r="G33" s="120">
        <v>32</v>
      </c>
      <c r="H33" s="117">
        <v>0</v>
      </c>
      <c r="I33" s="120">
        <v>0</v>
      </c>
      <c r="J33" s="117">
        <v>0</v>
      </c>
      <c r="K33" s="120">
        <v>0</v>
      </c>
      <c r="L33" s="117">
        <v>28.65779972076416</v>
      </c>
      <c r="M33" s="120">
        <v>28.65779972076416</v>
      </c>
      <c r="N33" s="117">
        <v>0</v>
      </c>
      <c r="O33" s="120">
        <v>0</v>
      </c>
      <c r="P33" s="117">
        <v>0</v>
      </c>
      <c r="Q33" s="120">
        <v>0</v>
      </c>
      <c r="R33" s="117">
        <v>0</v>
      </c>
      <c r="S33" s="120">
        <v>0</v>
      </c>
      <c r="T33" s="117">
        <v>0</v>
      </c>
      <c r="U33" s="119">
        <v>0</v>
      </c>
      <c r="V33" t="str">
        <f>VLOOKUP(A33,Projetos_Ciclo!$H$2:$H$315,1,FALSE)</f>
        <v>TI04918</v>
      </c>
    </row>
    <row r="34" spans="1:22" x14ac:dyDescent="0.25">
      <c r="A34" s="111" t="s">
        <v>1565</v>
      </c>
      <c r="B34" s="112" t="s">
        <v>972</v>
      </c>
      <c r="C34" s="112" t="s">
        <v>1566</v>
      </c>
      <c r="D34" s="113">
        <v>0</v>
      </c>
      <c r="E34" s="114">
        <v>0</v>
      </c>
      <c r="F34" s="113">
        <v>0</v>
      </c>
      <c r="G34" s="114">
        <v>318</v>
      </c>
      <c r="H34" s="113">
        <v>0</v>
      </c>
      <c r="I34" s="114">
        <v>0</v>
      </c>
      <c r="J34" s="113">
        <v>0</v>
      </c>
      <c r="K34" s="114">
        <v>0</v>
      </c>
      <c r="L34" s="113">
        <v>0</v>
      </c>
      <c r="M34" s="114">
        <v>0</v>
      </c>
      <c r="N34" s="113">
        <v>0</v>
      </c>
      <c r="O34" s="114">
        <v>0</v>
      </c>
      <c r="P34" s="113">
        <v>0</v>
      </c>
      <c r="Q34" s="114">
        <v>0</v>
      </c>
      <c r="R34" s="113">
        <v>0</v>
      </c>
      <c r="S34" s="114">
        <v>0</v>
      </c>
      <c r="T34" s="113">
        <v>0</v>
      </c>
      <c r="U34" s="115">
        <v>0</v>
      </c>
      <c r="V34" t="str">
        <f>VLOOKUP(A34,Projetos_Ciclo!$H$2:$H$315,1,FALSE)</f>
        <v>TI05818</v>
      </c>
    </row>
    <row r="35" spans="1:22" x14ac:dyDescent="0.25">
      <c r="A35" s="14" t="s">
        <v>1703</v>
      </c>
      <c r="B35" s="116" t="s">
        <v>789</v>
      </c>
      <c r="C35" s="116" t="s">
        <v>1704</v>
      </c>
      <c r="D35" s="117">
        <v>0</v>
      </c>
      <c r="E35" s="120">
        <v>0</v>
      </c>
      <c r="F35" s="117">
        <v>0</v>
      </c>
      <c r="G35" s="120">
        <v>420</v>
      </c>
      <c r="H35" s="117">
        <v>0</v>
      </c>
      <c r="I35" s="120">
        <v>0</v>
      </c>
      <c r="J35" s="117">
        <v>0</v>
      </c>
      <c r="K35" s="120">
        <v>0</v>
      </c>
      <c r="L35" s="117">
        <v>420</v>
      </c>
      <c r="M35" s="120">
        <v>420</v>
      </c>
      <c r="N35" s="117">
        <v>0</v>
      </c>
      <c r="O35" s="120">
        <v>0</v>
      </c>
      <c r="P35" s="117">
        <v>0</v>
      </c>
      <c r="Q35" s="120">
        <v>0</v>
      </c>
      <c r="R35" s="117">
        <v>0</v>
      </c>
      <c r="S35" s="120">
        <v>0</v>
      </c>
      <c r="T35" s="117">
        <v>0</v>
      </c>
      <c r="U35" s="119">
        <v>0</v>
      </c>
      <c r="V35" t="str">
        <f>VLOOKUP(A35,Projetos_Ciclo!$H$2:$H$315,1,FALSE)</f>
        <v>TI06818</v>
      </c>
    </row>
    <row r="36" spans="1:22" x14ac:dyDescent="0.25">
      <c r="A36" s="111" t="s">
        <v>1705</v>
      </c>
      <c r="B36" s="112" t="s">
        <v>1706</v>
      </c>
      <c r="C36" s="112" t="s">
        <v>1707</v>
      </c>
      <c r="D36" s="113">
        <v>0</v>
      </c>
      <c r="E36" s="114">
        <v>0</v>
      </c>
      <c r="F36" s="113">
        <v>0</v>
      </c>
      <c r="G36" s="114">
        <v>22</v>
      </c>
      <c r="H36" s="113">
        <v>0</v>
      </c>
      <c r="I36" s="114">
        <v>0</v>
      </c>
      <c r="J36" s="113">
        <v>0</v>
      </c>
      <c r="K36" s="114">
        <v>0</v>
      </c>
      <c r="L36" s="113">
        <v>21.861900329589844</v>
      </c>
      <c r="M36" s="114">
        <v>21.861900329589844</v>
      </c>
      <c r="N36" s="113">
        <v>0</v>
      </c>
      <c r="O36" s="114">
        <v>0</v>
      </c>
      <c r="P36" s="113">
        <v>0</v>
      </c>
      <c r="Q36" s="114">
        <v>0</v>
      </c>
      <c r="R36" s="113">
        <v>0</v>
      </c>
      <c r="S36" s="114">
        <v>0</v>
      </c>
      <c r="T36" s="113">
        <v>0</v>
      </c>
      <c r="U36" s="115">
        <v>0</v>
      </c>
      <c r="V36" t="str">
        <f>VLOOKUP(A36,Projetos_Ciclo!$H$2:$H$315,1,FALSE)</f>
        <v>TI07218</v>
      </c>
    </row>
    <row r="37" spans="1:22" x14ac:dyDescent="0.25">
      <c r="A37" s="14" t="s">
        <v>1133</v>
      </c>
      <c r="B37" s="116" t="s">
        <v>1157</v>
      </c>
      <c r="C37" s="116" t="s">
        <v>57</v>
      </c>
      <c r="D37" s="117">
        <v>0</v>
      </c>
      <c r="E37" s="120">
        <v>0</v>
      </c>
      <c r="F37" s="117">
        <v>0</v>
      </c>
      <c r="G37" s="120">
        <v>0</v>
      </c>
      <c r="H37" s="117">
        <v>0</v>
      </c>
      <c r="I37" s="120">
        <v>0</v>
      </c>
      <c r="J37" s="117">
        <v>0</v>
      </c>
      <c r="K37" s="120">
        <v>0</v>
      </c>
      <c r="L37" s="117">
        <v>0</v>
      </c>
      <c r="M37" s="120">
        <v>0</v>
      </c>
      <c r="N37" s="117">
        <v>0</v>
      </c>
      <c r="O37" s="120">
        <v>0</v>
      </c>
      <c r="P37" s="117">
        <v>0</v>
      </c>
      <c r="Q37" s="120">
        <v>0</v>
      </c>
      <c r="R37" s="117">
        <v>0</v>
      </c>
      <c r="S37" s="120">
        <v>0</v>
      </c>
      <c r="T37" s="117">
        <v>0</v>
      </c>
      <c r="U37" s="119">
        <v>0</v>
      </c>
      <c r="V37" t="e">
        <f>VLOOKUP(A37,Projetos_Ciclo!$H$2:$H$315,1,FALSE)</f>
        <v>#N/A</v>
      </c>
    </row>
    <row r="38" spans="1:22" x14ac:dyDescent="0.25">
      <c r="A38" s="111" t="s">
        <v>1135</v>
      </c>
      <c r="B38" s="112" t="s">
        <v>1136</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c r="V38" t="e">
        <f>VLOOKUP(A38,Projetos_Ciclo!$H$2:$H$315,1,FALSE)</f>
        <v>#N/A</v>
      </c>
    </row>
    <row r="39" spans="1:22" x14ac:dyDescent="0.25">
      <c r="A39" s="14" t="s">
        <v>1386</v>
      </c>
      <c r="B39" s="116" t="s">
        <v>1387</v>
      </c>
      <c r="C39" s="116" t="s">
        <v>1388</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c r="V39" t="e">
        <f>VLOOKUP(A39,Projetos_Ciclo!$H$2:$H$315,1,FALSE)</f>
        <v>#N/A</v>
      </c>
    </row>
    <row r="40" spans="1:22" x14ac:dyDescent="0.25">
      <c r="A40" s="111" t="s">
        <v>520</v>
      </c>
      <c r="B40" s="112" t="s">
        <v>1137</v>
      </c>
      <c r="C40" s="112" t="s">
        <v>57</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c r="V40" t="str">
        <f>VLOOKUP(A40,Projetos_Ciclo!$H$2:$H$315,1,FALSE)</f>
        <v>NA</v>
      </c>
    </row>
    <row r="41" spans="1:22" x14ac:dyDescent="0.25">
      <c r="A41" s="14" t="s">
        <v>1138</v>
      </c>
      <c r="B41" s="116" t="s">
        <v>1139</v>
      </c>
      <c r="C41" s="116" t="s">
        <v>57</v>
      </c>
      <c r="D41" s="117">
        <v>103</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c r="V41" t="e">
        <f>VLOOKUP(A41,Projetos_Ciclo!$H$2:$H$315,1,FALSE)</f>
        <v>#N/A</v>
      </c>
    </row>
    <row r="42" spans="1:22" x14ac:dyDescent="0.25">
      <c r="A42" s="111" t="s">
        <v>1133</v>
      </c>
      <c r="B42" s="112" t="s">
        <v>1158</v>
      </c>
      <c r="C42" s="112" t="s">
        <v>57</v>
      </c>
      <c r="D42" s="113">
        <v>0</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c r="V42" t="e">
        <f>VLOOKUP(A42,Projetos_Ciclo!$H$2:$H$315,1,FALSE)</f>
        <v>#N/A</v>
      </c>
    </row>
    <row r="43" spans="1:22" x14ac:dyDescent="0.25">
      <c r="A43" s="14" t="s">
        <v>1135</v>
      </c>
      <c r="B43" s="116" t="s">
        <v>1136</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c r="V43" t="e">
        <f>VLOOKUP(A43,Projetos_Ciclo!$H$2:$H$315,1,FALSE)</f>
        <v>#N/A</v>
      </c>
    </row>
    <row r="44" spans="1:22" x14ac:dyDescent="0.25">
      <c r="A44" s="111" t="s">
        <v>1389</v>
      </c>
      <c r="B44" s="112" t="s">
        <v>1390</v>
      </c>
      <c r="C44" s="112" t="s">
        <v>1391</v>
      </c>
      <c r="D44" s="113">
        <v>912</v>
      </c>
      <c r="E44" s="114">
        <v>0</v>
      </c>
      <c r="F44" s="113">
        <v>426</v>
      </c>
      <c r="G44" s="114">
        <v>0</v>
      </c>
      <c r="H44" s="113">
        <v>21</v>
      </c>
      <c r="I44" s="114">
        <v>0</v>
      </c>
      <c r="J44" s="113">
        <v>0</v>
      </c>
      <c r="K44" s="114">
        <v>0</v>
      </c>
      <c r="L44" s="113">
        <v>0</v>
      </c>
      <c r="M44" s="114">
        <v>0</v>
      </c>
      <c r="N44" s="113">
        <v>486</v>
      </c>
      <c r="O44" s="114">
        <v>0</v>
      </c>
      <c r="P44" s="113">
        <v>0</v>
      </c>
      <c r="Q44" s="114">
        <v>0</v>
      </c>
      <c r="R44" s="113">
        <v>0</v>
      </c>
      <c r="S44" s="114">
        <v>0</v>
      </c>
      <c r="T44" s="113">
        <v>0</v>
      </c>
      <c r="U44" s="115">
        <v>0</v>
      </c>
      <c r="V44" t="e">
        <f>VLOOKUP(A44,Projetos_Ciclo!$H$2:$H$315,1,FALSE)</f>
        <v>#N/A</v>
      </c>
    </row>
    <row r="45" spans="1:22" x14ac:dyDescent="0.25">
      <c r="A45" s="14" t="s">
        <v>1162</v>
      </c>
      <c r="B45" s="116" t="s">
        <v>1163</v>
      </c>
      <c r="C45" s="116" t="s">
        <v>1164</v>
      </c>
      <c r="D45" s="117">
        <v>0</v>
      </c>
      <c r="E45" s="120">
        <v>0</v>
      </c>
      <c r="F45" s="117">
        <v>0</v>
      </c>
      <c r="G45" s="120">
        <v>82</v>
      </c>
      <c r="H45" s="117">
        <v>0</v>
      </c>
      <c r="I45" s="120">
        <v>10.290000200271606</v>
      </c>
      <c r="J45" s="117">
        <v>0</v>
      </c>
      <c r="K45" s="120">
        <v>10.290000200271606</v>
      </c>
      <c r="L45" s="117">
        <v>54.939998626708984</v>
      </c>
      <c r="M45" s="120">
        <v>65.229998826980591</v>
      </c>
      <c r="N45" s="117">
        <v>0</v>
      </c>
      <c r="O45" s="120">
        <v>0</v>
      </c>
      <c r="P45" s="117">
        <v>0</v>
      </c>
      <c r="Q45" s="120">
        <v>0</v>
      </c>
      <c r="R45" s="117">
        <v>0</v>
      </c>
      <c r="S45" s="120">
        <v>0</v>
      </c>
      <c r="T45" s="117">
        <v>0</v>
      </c>
      <c r="U45" s="119">
        <v>0</v>
      </c>
      <c r="V45" t="str">
        <f>VLOOKUP(A45,Projetos_Ciclo!$H$2:$H$315,1,FALSE)</f>
        <v>MG00318</v>
      </c>
    </row>
    <row r="46" spans="1:22" x14ac:dyDescent="0.25">
      <c r="A46" s="111" t="s">
        <v>1921</v>
      </c>
      <c r="B46" s="112" t="s">
        <v>1926</v>
      </c>
      <c r="C46" s="112" t="s">
        <v>1922</v>
      </c>
      <c r="D46" s="113">
        <v>0</v>
      </c>
      <c r="E46" s="114">
        <v>0</v>
      </c>
      <c r="F46" s="113">
        <v>0</v>
      </c>
      <c r="G46" s="114">
        <v>0</v>
      </c>
      <c r="H46" s="113">
        <v>0</v>
      </c>
      <c r="I46" s="114">
        <v>0</v>
      </c>
      <c r="J46" s="113">
        <v>0</v>
      </c>
      <c r="K46" s="114">
        <v>0</v>
      </c>
      <c r="L46" s="113">
        <v>0</v>
      </c>
      <c r="M46" s="114">
        <v>0</v>
      </c>
      <c r="N46" s="113">
        <v>0</v>
      </c>
      <c r="O46" s="114">
        <v>0</v>
      </c>
      <c r="P46" s="113">
        <v>0</v>
      </c>
      <c r="Q46" s="114">
        <v>0</v>
      </c>
      <c r="R46" s="113">
        <v>0</v>
      </c>
      <c r="S46" s="114">
        <v>0</v>
      </c>
      <c r="T46" s="113">
        <v>0</v>
      </c>
      <c r="U46" s="115">
        <v>0</v>
      </c>
      <c r="V46" t="str">
        <f>VLOOKUP(A46,Projetos_Ciclo!$H$2:$H$315,1,FALSE)</f>
        <v>MG50118</v>
      </c>
    </row>
    <row r="47" spans="1:22" x14ac:dyDescent="0.25">
      <c r="A47" s="14" t="s">
        <v>520</v>
      </c>
      <c r="B47" s="116" t="s">
        <v>1168</v>
      </c>
      <c r="C47" s="116" t="s">
        <v>57</v>
      </c>
      <c r="D47" s="117">
        <v>1297</v>
      </c>
      <c r="E47" s="120">
        <v>0</v>
      </c>
      <c r="F47" s="117">
        <v>0</v>
      </c>
      <c r="G47" s="120">
        <v>0</v>
      </c>
      <c r="H47" s="117">
        <v>0</v>
      </c>
      <c r="I47" s="120">
        <v>0</v>
      </c>
      <c r="J47" s="117">
        <v>0</v>
      </c>
      <c r="K47" s="120">
        <v>0</v>
      </c>
      <c r="L47" s="117">
        <v>0</v>
      </c>
      <c r="M47" s="120">
        <v>0</v>
      </c>
      <c r="N47" s="117">
        <v>0</v>
      </c>
      <c r="O47" s="120">
        <v>602</v>
      </c>
      <c r="P47" s="117">
        <v>498</v>
      </c>
      <c r="Q47" s="120">
        <v>197</v>
      </c>
      <c r="R47" s="117">
        <v>0</v>
      </c>
      <c r="S47" s="120">
        <v>0</v>
      </c>
      <c r="T47" s="117">
        <v>0</v>
      </c>
      <c r="U47" s="119">
        <v>0</v>
      </c>
      <c r="V47" t="str">
        <f>VLOOKUP(A47,Projetos_Ciclo!$H$2:$H$315,1,FALSE)</f>
        <v>NA</v>
      </c>
    </row>
    <row r="48" spans="1:22" x14ac:dyDescent="0.25">
      <c r="A48" s="111" t="s">
        <v>1169</v>
      </c>
      <c r="B48" s="112" t="s">
        <v>1170</v>
      </c>
      <c r="C48" s="112" t="s">
        <v>1171</v>
      </c>
      <c r="D48" s="113">
        <v>0</v>
      </c>
      <c r="E48" s="114">
        <v>0</v>
      </c>
      <c r="F48" s="113">
        <v>0</v>
      </c>
      <c r="G48" s="114">
        <v>74</v>
      </c>
      <c r="H48" s="113">
        <v>0</v>
      </c>
      <c r="I48" s="114">
        <v>0</v>
      </c>
      <c r="J48" s="113">
        <v>0</v>
      </c>
      <c r="K48" s="114">
        <v>0</v>
      </c>
      <c r="L48" s="113">
        <v>11.967060089111328</v>
      </c>
      <c r="M48" s="114">
        <v>11.967060089111328</v>
      </c>
      <c r="N48" s="113">
        <v>0</v>
      </c>
      <c r="O48" s="114">
        <v>0</v>
      </c>
      <c r="P48" s="113">
        <v>0</v>
      </c>
      <c r="Q48" s="114">
        <v>0</v>
      </c>
      <c r="R48" s="113">
        <v>0</v>
      </c>
      <c r="S48" s="114">
        <v>0</v>
      </c>
      <c r="T48" s="113">
        <v>0</v>
      </c>
      <c r="U48" s="115">
        <v>0</v>
      </c>
      <c r="V48" t="str">
        <f>VLOOKUP(A48,Projetos_Ciclo!$H$2:$H$315,1,FALSE)</f>
        <v>PO00117</v>
      </c>
    </row>
    <row r="49" spans="1:22" x14ac:dyDescent="0.25">
      <c r="A49" s="14" t="s">
        <v>1172</v>
      </c>
      <c r="B49" s="116" t="s">
        <v>1173</v>
      </c>
      <c r="C49" s="116" t="s">
        <v>1174</v>
      </c>
      <c r="D49" s="117">
        <v>0</v>
      </c>
      <c r="E49" s="120">
        <v>0</v>
      </c>
      <c r="F49" s="117">
        <v>0</v>
      </c>
      <c r="G49" s="120">
        <v>270</v>
      </c>
      <c r="H49" s="117">
        <v>0</v>
      </c>
      <c r="I49" s="120">
        <v>88.91908073425293</v>
      </c>
      <c r="J49" s="117">
        <v>0</v>
      </c>
      <c r="K49" s="120">
        <v>88.91908073425293</v>
      </c>
      <c r="L49" s="117">
        <v>89.26792049407959</v>
      </c>
      <c r="M49" s="120">
        <v>178.18700122833252</v>
      </c>
      <c r="N49" s="117">
        <v>0</v>
      </c>
      <c r="O49" s="120">
        <v>0</v>
      </c>
      <c r="P49" s="117">
        <v>0</v>
      </c>
      <c r="Q49" s="120">
        <v>0</v>
      </c>
      <c r="R49" s="117">
        <v>0</v>
      </c>
      <c r="S49" s="120">
        <v>0</v>
      </c>
      <c r="T49" s="117">
        <v>0</v>
      </c>
      <c r="U49" s="119">
        <v>0</v>
      </c>
      <c r="V49" t="str">
        <f>VLOOKUP(A49,Projetos_Ciclo!$H$2:$H$315,1,FALSE)</f>
        <v>PO00118</v>
      </c>
    </row>
    <row r="50" spans="1:22" x14ac:dyDescent="0.25">
      <c r="A50" s="111" t="s">
        <v>1138</v>
      </c>
      <c r="B50" s="112" t="s">
        <v>1139</v>
      </c>
      <c r="C50" s="112" t="s">
        <v>57</v>
      </c>
      <c r="D50" s="113">
        <v>92</v>
      </c>
      <c r="E50" s="114">
        <v>0</v>
      </c>
      <c r="F50" s="113">
        <v>0</v>
      </c>
      <c r="G50" s="114">
        <v>0</v>
      </c>
      <c r="H50" s="113">
        <v>0</v>
      </c>
      <c r="I50" s="114">
        <v>0</v>
      </c>
      <c r="J50" s="113">
        <v>0</v>
      </c>
      <c r="K50" s="114">
        <v>0</v>
      </c>
      <c r="L50" s="113">
        <v>0</v>
      </c>
      <c r="M50" s="114">
        <v>0</v>
      </c>
      <c r="N50" s="113">
        <v>0</v>
      </c>
      <c r="O50" s="114">
        <v>0</v>
      </c>
      <c r="P50" s="113">
        <v>0</v>
      </c>
      <c r="Q50" s="114">
        <v>0</v>
      </c>
      <c r="R50" s="113">
        <v>0</v>
      </c>
      <c r="S50" s="114">
        <v>0</v>
      </c>
      <c r="T50" s="113">
        <v>0</v>
      </c>
      <c r="U50" s="115">
        <v>0</v>
      </c>
      <c r="V50" t="e">
        <f>VLOOKUP(A50,Projetos_Ciclo!$H$2:$H$315,1,FALSE)</f>
        <v>#N/A</v>
      </c>
    </row>
    <row r="51" spans="1:22" x14ac:dyDescent="0.25">
      <c r="A51" s="14" t="s">
        <v>1133</v>
      </c>
      <c r="B51" s="116" t="s">
        <v>1134</v>
      </c>
      <c r="C51" s="116" t="s">
        <v>57</v>
      </c>
      <c r="D51" s="117">
        <v>0</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c r="V51" t="e">
        <f>VLOOKUP(A51,Projetos_Ciclo!$H$2:$H$315,1,FALSE)</f>
        <v>#N/A</v>
      </c>
    </row>
    <row r="52" spans="1:22" x14ac:dyDescent="0.25">
      <c r="A52" s="111" t="s">
        <v>1135</v>
      </c>
      <c r="B52" s="112" t="s">
        <v>1136</v>
      </c>
      <c r="C52" s="112" t="s">
        <v>57</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c r="V52" t="e">
        <f>VLOOKUP(A52,Projetos_Ciclo!$H$2:$H$315,1,FALSE)</f>
        <v>#N/A</v>
      </c>
    </row>
    <row r="53" spans="1:22" x14ac:dyDescent="0.25">
      <c r="A53" s="14" t="s">
        <v>1392</v>
      </c>
      <c r="B53" s="116" t="s">
        <v>1393</v>
      </c>
      <c r="C53" s="116" t="s">
        <v>1394</v>
      </c>
      <c r="D53" s="117">
        <v>320</v>
      </c>
      <c r="E53" s="120">
        <v>0</v>
      </c>
      <c r="F53" s="117">
        <v>0</v>
      </c>
      <c r="G53" s="120">
        <v>0</v>
      </c>
      <c r="H53" s="117">
        <v>0</v>
      </c>
      <c r="I53" s="120">
        <v>0</v>
      </c>
      <c r="J53" s="117">
        <v>0</v>
      </c>
      <c r="K53" s="120">
        <v>0</v>
      </c>
      <c r="L53" s="117">
        <v>0</v>
      </c>
      <c r="M53" s="120">
        <v>0</v>
      </c>
      <c r="N53" s="117">
        <v>320</v>
      </c>
      <c r="O53" s="120">
        <v>0</v>
      </c>
      <c r="P53" s="117">
        <v>0</v>
      </c>
      <c r="Q53" s="120">
        <v>0</v>
      </c>
      <c r="R53" s="117">
        <v>0</v>
      </c>
      <c r="S53" s="120">
        <v>0</v>
      </c>
      <c r="T53" s="117">
        <v>0</v>
      </c>
      <c r="U53" s="119">
        <v>0</v>
      </c>
      <c r="V53" t="e">
        <f>VLOOKUP(A53,Projetos_Ciclo!$H$2:$H$315,1,FALSE)</f>
        <v>#N/A</v>
      </c>
    </row>
    <row r="54" spans="1:22" x14ac:dyDescent="0.25">
      <c r="A54" s="111" t="s">
        <v>520</v>
      </c>
      <c r="B54" s="112" t="s">
        <v>1137</v>
      </c>
      <c r="C54" s="112" t="s">
        <v>57</v>
      </c>
      <c r="D54" s="113">
        <v>1591</v>
      </c>
      <c r="E54" s="114">
        <v>0</v>
      </c>
      <c r="F54" s="113">
        <v>0</v>
      </c>
      <c r="G54" s="114">
        <v>0</v>
      </c>
      <c r="H54" s="113">
        <v>0</v>
      </c>
      <c r="I54" s="114">
        <v>0</v>
      </c>
      <c r="J54" s="113">
        <v>0</v>
      </c>
      <c r="K54" s="114">
        <v>0</v>
      </c>
      <c r="L54" s="113">
        <v>0</v>
      </c>
      <c r="M54" s="114">
        <v>0</v>
      </c>
      <c r="N54" s="113">
        <v>110</v>
      </c>
      <c r="O54" s="114">
        <v>204</v>
      </c>
      <c r="P54" s="113">
        <v>1251</v>
      </c>
      <c r="Q54" s="114">
        <v>26</v>
      </c>
      <c r="R54" s="113">
        <v>0</v>
      </c>
      <c r="S54" s="114">
        <v>0</v>
      </c>
      <c r="T54" s="113">
        <v>0</v>
      </c>
      <c r="U54" s="115">
        <v>0</v>
      </c>
      <c r="V54" t="str">
        <f>VLOOKUP(A54,Projetos_Ciclo!$H$2:$H$315,1,FALSE)</f>
        <v>NA</v>
      </c>
    </row>
    <row r="55" spans="1:22" x14ac:dyDescent="0.25">
      <c r="A55" s="14" t="s">
        <v>1920</v>
      </c>
      <c r="B55" s="116" t="s">
        <v>1927</v>
      </c>
      <c r="C55" s="116" t="s">
        <v>1928</v>
      </c>
      <c r="D55" s="117">
        <v>0</v>
      </c>
      <c r="E55" s="120">
        <v>0</v>
      </c>
      <c r="F55" s="117">
        <v>0</v>
      </c>
      <c r="G55" s="120">
        <v>0</v>
      </c>
      <c r="H55" s="117">
        <v>0</v>
      </c>
      <c r="I55" s="120">
        <v>0</v>
      </c>
      <c r="J55" s="117">
        <v>0</v>
      </c>
      <c r="K55" s="120">
        <v>0</v>
      </c>
      <c r="L55" s="117">
        <v>0</v>
      </c>
      <c r="M55" s="120">
        <v>0</v>
      </c>
      <c r="N55" s="117">
        <v>0</v>
      </c>
      <c r="O55" s="120">
        <v>0</v>
      </c>
      <c r="P55" s="117">
        <v>0</v>
      </c>
      <c r="Q55" s="120">
        <v>0</v>
      </c>
      <c r="R55" s="117">
        <v>0</v>
      </c>
      <c r="S55" s="120">
        <v>0</v>
      </c>
      <c r="T55" s="117">
        <v>0</v>
      </c>
      <c r="U55" s="119">
        <v>0</v>
      </c>
      <c r="V55" t="str">
        <f>VLOOKUP(A55,Projetos_Ciclo!$H$2:$H$315,1,FALSE)</f>
        <v>SC01418</v>
      </c>
    </row>
    <row r="56" spans="1:22" x14ac:dyDescent="0.25">
      <c r="A56" s="111" t="s">
        <v>1138</v>
      </c>
      <c r="B56" s="112" t="s">
        <v>1139</v>
      </c>
      <c r="C56" s="112" t="s">
        <v>57</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c r="V56" t="e">
        <f>VLOOKUP(A56,Projetos_Ciclo!$H$2:$H$315,1,FALSE)</f>
        <v>#N/A</v>
      </c>
    </row>
    <row r="57" spans="1:22" x14ac:dyDescent="0.25">
      <c r="A57" s="14" t="s">
        <v>1133</v>
      </c>
      <c r="B57" s="116" t="s">
        <v>1140</v>
      </c>
      <c r="C57" s="116" t="s">
        <v>57</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c r="V57" t="e">
        <f>VLOOKUP(A57,Projetos_Ciclo!$H$2:$H$315,1,FALSE)</f>
        <v>#N/A</v>
      </c>
    </row>
    <row r="58" spans="1:22" x14ac:dyDescent="0.25">
      <c r="A58" s="111" t="s">
        <v>1135</v>
      </c>
      <c r="B58" s="112" t="s">
        <v>1136</v>
      </c>
      <c r="C58" s="112" t="s">
        <v>57</v>
      </c>
      <c r="D58" s="113">
        <v>0</v>
      </c>
      <c r="E58" s="114">
        <v>0</v>
      </c>
      <c r="F58" s="113">
        <v>0</v>
      </c>
      <c r="G58" s="114">
        <v>0</v>
      </c>
      <c r="H58" s="113">
        <v>0</v>
      </c>
      <c r="I58" s="114">
        <v>0</v>
      </c>
      <c r="J58" s="113">
        <v>0</v>
      </c>
      <c r="K58" s="114">
        <v>0</v>
      </c>
      <c r="L58" s="113">
        <v>0</v>
      </c>
      <c r="M58" s="114">
        <v>0</v>
      </c>
      <c r="N58" s="113">
        <v>0</v>
      </c>
      <c r="O58" s="114">
        <v>0</v>
      </c>
      <c r="P58" s="113">
        <v>0</v>
      </c>
      <c r="Q58" s="114">
        <v>0</v>
      </c>
      <c r="R58" s="113">
        <v>0</v>
      </c>
      <c r="S58" s="114">
        <v>0</v>
      </c>
      <c r="T58" s="113">
        <v>0</v>
      </c>
      <c r="U58" s="115">
        <v>0</v>
      </c>
      <c r="V58" t="e">
        <f>VLOOKUP(A58,Projetos_Ciclo!$H$2:$H$315,1,FALSE)</f>
        <v>#N/A</v>
      </c>
    </row>
    <row r="59" spans="1:22" x14ac:dyDescent="0.25">
      <c r="A59" s="14" t="s">
        <v>520</v>
      </c>
      <c r="B59" s="116" t="s">
        <v>1137</v>
      </c>
      <c r="C59" s="116" t="s">
        <v>57</v>
      </c>
      <c r="D59" s="117">
        <v>257</v>
      </c>
      <c r="E59" s="120">
        <v>0</v>
      </c>
      <c r="F59" s="117">
        <v>0</v>
      </c>
      <c r="G59" s="120">
        <v>0</v>
      </c>
      <c r="H59" s="117">
        <v>0</v>
      </c>
      <c r="I59" s="120">
        <v>0</v>
      </c>
      <c r="J59" s="117">
        <v>0</v>
      </c>
      <c r="K59" s="120">
        <v>0</v>
      </c>
      <c r="L59" s="117">
        <v>0</v>
      </c>
      <c r="M59" s="120">
        <v>0</v>
      </c>
      <c r="N59" s="117">
        <v>6</v>
      </c>
      <c r="O59" s="120">
        <v>83</v>
      </c>
      <c r="P59" s="117">
        <v>90</v>
      </c>
      <c r="Q59" s="120">
        <v>78</v>
      </c>
      <c r="R59" s="117">
        <v>0</v>
      </c>
      <c r="S59" s="120">
        <v>0</v>
      </c>
      <c r="T59" s="117">
        <v>0</v>
      </c>
      <c r="U59" s="119">
        <v>0</v>
      </c>
      <c r="V59" t="str">
        <f>VLOOKUP(A59,Projetos_Ciclo!$H$2:$H$315,1,FALSE)</f>
        <v>NA</v>
      </c>
    </row>
    <row r="60" spans="1:22" x14ac:dyDescent="0.25">
      <c r="A60" s="111" t="s">
        <v>1138</v>
      </c>
      <c r="B60" s="112" t="s">
        <v>1139</v>
      </c>
      <c r="C60" s="112" t="s">
        <v>57</v>
      </c>
      <c r="D60" s="113">
        <v>0</v>
      </c>
      <c r="E60" s="114">
        <v>0</v>
      </c>
      <c r="F60" s="113">
        <v>0</v>
      </c>
      <c r="G60" s="114">
        <v>0</v>
      </c>
      <c r="H60" s="113">
        <v>0</v>
      </c>
      <c r="I60" s="114">
        <v>0</v>
      </c>
      <c r="J60" s="113">
        <v>0</v>
      </c>
      <c r="K60" s="114">
        <v>0</v>
      </c>
      <c r="L60" s="113">
        <v>0</v>
      </c>
      <c r="M60" s="114">
        <v>0</v>
      </c>
      <c r="N60" s="113">
        <v>0</v>
      </c>
      <c r="O60" s="114">
        <v>0</v>
      </c>
      <c r="P60" s="113">
        <v>0</v>
      </c>
      <c r="Q60" s="114">
        <v>0</v>
      </c>
      <c r="R60" s="113">
        <v>0</v>
      </c>
      <c r="S60" s="114">
        <v>0</v>
      </c>
      <c r="T60" s="113">
        <v>0</v>
      </c>
      <c r="U60" s="115">
        <v>0</v>
      </c>
      <c r="V60" t="e">
        <f>VLOOKUP(A60,Projetos_Ciclo!$H$2:$H$315,1,FALSE)</f>
        <v>#N/A</v>
      </c>
    </row>
    <row r="61" spans="1:22" x14ac:dyDescent="0.25">
      <c r="A61" s="14" t="s">
        <v>1181</v>
      </c>
      <c r="B61" s="116" t="s">
        <v>1182</v>
      </c>
      <c r="C61" s="116" t="s">
        <v>1183</v>
      </c>
      <c r="D61" s="117">
        <v>182</v>
      </c>
      <c r="E61" s="120">
        <v>0</v>
      </c>
      <c r="F61" s="117">
        <v>142</v>
      </c>
      <c r="G61" s="120">
        <v>0</v>
      </c>
      <c r="H61" s="117">
        <v>0</v>
      </c>
      <c r="I61" s="120">
        <v>0</v>
      </c>
      <c r="J61" s="117">
        <v>0</v>
      </c>
      <c r="K61" s="120">
        <v>0</v>
      </c>
      <c r="L61" s="117">
        <v>0</v>
      </c>
      <c r="M61" s="120">
        <v>0</v>
      </c>
      <c r="N61" s="117">
        <v>40</v>
      </c>
      <c r="O61" s="120">
        <v>0</v>
      </c>
      <c r="P61" s="117">
        <v>0</v>
      </c>
      <c r="Q61" s="120">
        <v>0</v>
      </c>
      <c r="R61" s="117">
        <v>0</v>
      </c>
      <c r="S61" s="120">
        <v>0</v>
      </c>
      <c r="T61" s="117">
        <v>0</v>
      </c>
      <c r="U61" s="119">
        <v>0</v>
      </c>
      <c r="V61" t="e">
        <f>VLOOKUP(A61,Projetos_Ciclo!$H$2:$H$315,1,FALSE)</f>
        <v>#N/A</v>
      </c>
    </row>
    <row r="62" spans="1:22" x14ac:dyDescent="0.25">
      <c r="A62" s="111" t="s">
        <v>1659</v>
      </c>
      <c r="B62" s="112" t="s">
        <v>1660</v>
      </c>
      <c r="C62" s="112" t="s">
        <v>1661</v>
      </c>
      <c r="D62" s="113">
        <v>0</v>
      </c>
      <c r="E62" s="114">
        <v>0</v>
      </c>
      <c r="F62" s="113">
        <v>0</v>
      </c>
      <c r="G62" s="114">
        <v>142</v>
      </c>
      <c r="H62" s="113">
        <v>0</v>
      </c>
      <c r="I62" s="114">
        <v>0</v>
      </c>
      <c r="J62" s="113">
        <v>0</v>
      </c>
      <c r="K62" s="114">
        <v>0</v>
      </c>
      <c r="L62" s="113">
        <v>142.21935653686523</v>
      </c>
      <c r="M62" s="114">
        <v>142.21935653686523</v>
      </c>
      <c r="N62" s="113">
        <v>0</v>
      </c>
      <c r="O62" s="114">
        <v>0</v>
      </c>
      <c r="P62" s="113">
        <v>0</v>
      </c>
      <c r="Q62" s="114">
        <v>0</v>
      </c>
      <c r="R62" s="113">
        <v>0</v>
      </c>
      <c r="S62" s="114">
        <v>0</v>
      </c>
      <c r="T62" s="113">
        <v>0</v>
      </c>
      <c r="U62" s="115">
        <v>0</v>
      </c>
      <c r="V62" t="str">
        <f>VLOOKUP(A62,Projetos_Ciclo!$H$2:$H$315,1,FALSE)</f>
        <v>TI06618</v>
      </c>
    </row>
    <row r="63" spans="1:22" x14ac:dyDescent="0.25">
      <c r="A63" s="14" t="s">
        <v>1868</v>
      </c>
      <c r="B63" s="116" t="s">
        <v>1869</v>
      </c>
      <c r="C63" s="116" t="s">
        <v>1870</v>
      </c>
      <c r="D63" s="117">
        <v>0</v>
      </c>
      <c r="E63" s="120">
        <v>0</v>
      </c>
      <c r="F63" s="117">
        <v>0</v>
      </c>
      <c r="G63" s="120">
        <v>0</v>
      </c>
      <c r="H63" s="117">
        <v>0</v>
      </c>
      <c r="I63" s="120">
        <v>0</v>
      </c>
      <c r="J63" s="117">
        <v>0</v>
      </c>
      <c r="K63" s="120">
        <v>0</v>
      </c>
      <c r="L63" s="117">
        <v>0</v>
      </c>
      <c r="M63" s="120">
        <v>0</v>
      </c>
      <c r="N63" s="117">
        <v>0</v>
      </c>
      <c r="O63" s="120">
        <v>0</v>
      </c>
      <c r="P63" s="117">
        <v>0</v>
      </c>
      <c r="Q63" s="120">
        <v>0</v>
      </c>
      <c r="R63" s="117">
        <v>0</v>
      </c>
      <c r="S63" s="120">
        <v>0</v>
      </c>
      <c r="T63" s="117">
        <v>0</v>
      </c>
      <c r="U63" s="119">
        <v>0</v>
      </c>
      <c r="V63" t="str">
        <f>VLOOKUP(A63,Projetos_Ciclo!$H$2:$H$315,1,FALSE)</f>
        <v>TI07818</v>
      </c>
    </row>
    <row r="64" spans="1:22" x14ac:dyDescent="0.25">
      <c r="A64" s="111" t="s">
        <v>1133</v>
      </c>
      <c r="B64" s="112" t="s">
        <v>1184</v>
      </c>
      <c r="C64" s="112" t="s">
        <v>57</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c r="V64" t="e">
        <f>VLOOKUP(A64,Projetos_Ciclo!$H$2:$H$315,1,FALSE)</f>
        <v>#N/A</v>
      </c>
    </row>
    <row r="65" spans="1:22" x14ac:dyDescent="0.25">
      <c r="A65" s="14" t="s">
        <v>1135</v>
      </c>
      <c r="B65" s="116" t="s">
        <v>1136</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c r="V65" t="e">
        <f>VLOOKUP(A65,Projetos_Ciclo!$H$2:$H$315,1,FALSE)</f>
        <v>#N/A</v>
      </c>
    </row>
    <row r="66" spans="1:22" x14ac:dyDescent="0.25">
      <c r="A66" s="111" t="s">
        <v>520</v>
      </c>
      <c r="B66" s="112" t="s">
        <v>1137</v>
      </c>
      <c r="C66" s="112" t="s">
        <v>57</v>
      </c>
      <c r="D66" s="113">
        <v>529</v>
      </c>
      <c r="E66" s="114">
        <v>0</v>
      </c>
      <c r="F66" s="113">
        <v>0</v>
      </c>
      <c r="G66" s="114">
        <v>0</v>
      </c>
      <c r="H66" s="113">
        <v>0</v>
      </c>
      <c r="I66" s="114">
        <v>0</v>
      </c>
      <c r="J66" s="113">
        <v>0</v>
      </c>
      <c r="K66" s="114">
        <v>0</v>
      </c>
      <c r="L66" s="113">
        <v>0</v>
      </c>
      <c r="M66" s="114">
        <v>0</v>
      </c>
      <c r="N66" s="113">
        <v>55</v>
      </c>
      <c r="O66" s="114">
        <v>209</v>
      </c>
      <c r="P66" s="113">
        <v>55</v>
      </c>
      <c r="Q66" s="114">
        <v>210</v>
      </c>
      <c r="R66" s="113">
        <v>0</v>
      </c>
      <c r="S66" s="114">
        <v>0</v>
      </c>
      <c r="T66" s="113">
        <v>0</v>
      </c>
      <c r="U66" s="115">
        <v>0</v>
      </c>
      <c r="V66" t="str">
        <f>VLOOKUP(A66,Projetos_Ciclo!$H$2:$H$315,1,FALSE)</f>
        <v>NA</v>
      </c>
    </row>
    <row r="67" spans="1:22" x14ac:dyDescent="0.25">
      <c r="A67" s="14" t="s">
        <v>1138</v>
      </c>
      <c r="B67" s="116" t="s">
        <v>1139</v>
      </c>
      <c r="C67" s="116" t="s">
        <v>57</v>
      </c>
      <c r="D67" s="117">
        <v>0</v>
      </c>
      <c r="E67" s="120">
        <v>0</v>
      </c>
      <c r="F67" s="117">
        <v>0</v>
      </c>
      <c r="G67" s="120">
        <v>0</v>
      </c>
      <c r="H67" s="117">
        <v>0</v>
      </c>
      <c r="I67" s="120">
        <v>0</v>
      </c>
      <c r="J67" s="117">
        <v>0</v>
      </c>
      <c r="K67" s="120">
        <v>0</v>
      </c>
      <c r="L67" s="117">
        <v>0</v>
      </c>
      <c r="M67" s="120">
        <v>0</v>
      </c>
      <c r="N67" s="117">
        <v>0</v>
      </c>
      <c r="O67" s="120">
        <v>0</v>
      </c>
      <c r="P67" s="117">
        <v>0</v>
      </c>
      <c r="Q67" s="120">
        <v>0</v>
      </c>
      <c r="R67" s="117">
        <v>0</v>
      </c>
      <c r="S67" s="120">
        <v>0</v>
      </c>
      <c r="T67" s="117">
        <v>0</v>
      </c>
      <c r="U67" s="119">
        <v>0</v>
      </c>
      <c r="V67" t="e">
        <f>VLOOKUP(A67,Projetos_Ciclo!$H$2:$H$315,1,FALSE)</f>
        <v>#N/A</v>
      </c>
    </row>
    <row r="68" spans="1:22" x14ac:dyDescent="0.25">
      <c r="A68" s="111" t="s">
        <v>1185</v>
      </c>
      <c r="B68" s="112" t="s">
        <v>1186</v>
      </c>
      <c r="C68" s="112" t="s">
        <v>1187</v>
      </c>
      <c r="D68" s="113">
        <v>415</v>
      </c>
      <c r="E68" s="114">
        <v>0</v>
      </c>
      <c r="F68" s="113">
        <v>415</v>
      </c>
      <c r="G68" s="114">
        <v>0</v>
      </c>
      <c r="H68" s="113">
        <v>0</v>
      </c>
      <c r="I68" s="114">
        <v>0</v>
      </c>
      <c r="J68" s="113">
        <v>0</v>
      </c>
      <c r="K68" s="114">
        <v>0</v>
      </c>
      <c r="L68" s="113">
        <v>0</v>
      </c>
      <c r="M68" s="114">
        <v>0</v>
      </c>
      <c r="N68" s="113">
        <v>0</v>
      </c>
      <c r="O68" s="114">
        <v>0</v>
      </c>
      <c r="P68" s="113">
        <v>0</v>
      </c>
      <c r="Q68" s="114">
        <v>0</v>
      </c>
      <c r="R68" s="113">
        <v>0</v>
      </c>
      <c r="S68" s="114">
        <v>0</v>
      </c>
      <c r="T68" s="113">
        <v>0</v>
      </c>
      <c r="U68" s="115">
        <v>0</v>
      </c>
      <c r="V68" t="e">
        <f>VLOOKUP(A68,Projetos_Ciclo!$H$2:$H$315,1,FALSE)</f>
        <v>#N/A</v>
      </c>
    </row>
    <row r="69" spans="1:22" x14ac:dyDescent="0.25">
      <c r="A69" s="14" t="s">
        <v>1416</v>
      </c>
      <c r="B69" s="116" t="s">
        <v>1402</v>
      </c>
      <c r="C69" s="116" t="s">
        <v>1417</v>
      </c>
      <c r="D69" s="117">
        <v>0</v>
      </c>
      <c r="E69" s="120">
        <v>0</v>
      </c>
      <c r="F69" s="117">
        <v>0</v>
      </c>
      <c r="G69" s="120">
        <v>415</v>
      </c>
      <c r="H69" s="117">
        <v>0</v>
      </c>
      <c r="I69" s="120">
        <v>0</v>
      </c>
      <c r="J69" s="117">
        <v>0</v>
      </c>
      <c r="K69" s="120">
        <v>0</v>
      </c>
      <c r="L69" s="117">
        <v>388.48779296875</v>
      </c>
      <c r="M69" s="120">
        <v>388.48779296875</v>
      </c>
      <c r="N69" s="117">
        <v>0</v>
      </c>
      <c r="O69" s="120">
        <v>0</v>
      </c>
      <c r="P69" s="117">
        <v>0</v>
      </c>
      <c r="Q69" s="120">
        <v>0</v>
      </c>
      <c r="R69" s="117">
        <v>0</v>
      </c>
      <c r="S69" s="120">
        <v>0</v>
      </c>
      <c r="T69" s="117">
        <v>0</v>
      </c>
      <c r="U69" s="119">
        <v>0</v>
      </c>
      <c r="V69" t="str">
        <f>VLOOKUP(A69,Projetos_Ciclo!$H$2:$H$315,1,FALSE)</f>
        <v>TI04418</v>
      </c>
    </row>
    <row r="70" spans="1:22" x14ac:dyDescent="0.25">
      <c r="A70" s="111" t="s">
        <v>1133</v>
      </c>
      <c r="B70" s="112" t="s">
        <v>1148</v>
      </c>
      <c r="C70" s="112" t="s">
        <v>57</v>
      </c>
      <c r="D70" s="113">
        <v>0</v>
      </c>
      <c r="E70" s="114">
        <v>0</v>
      </c>
      <c r="F70" s="113">
        <v>0</v>
      </c>
      <c r="G70" s="114">
        <v>0</v>
      </c>
      <c r="H70" s="113">
        <v>0</v>
      </c>
      <c r="I70" s="114">
        <v>0</v>
      </c>
      <c r="J70" s="113">
        <v>0</v>
      </c>
      <c r="K70" s="114">
        <v>0</v>
      </c>
      <c r="L70" s="113">
        <v>0</v>
      </c>
      <c r="M70" s="114">
        <v>0</v>
      </c>
      <c r="N70" s="113">
        <v>0</v>
      </c>
      <c r="O70" s="114">
        <v>0</v>
      </c>
      <c r="P70" s="113">
        <v>0</v>
      </c>
      <c r="Q70" s="114">
        <v>0</v>
      </c>
      <c r="R70" s="113">
        <v>0</v>
      </c>
      <c r="S70" s="114">
        <v>0</v>
      </c>
      <c r="T70" s="113">
        <v>0</v>
      </c>
      <c r="U70" s="115">
        <v>0</v>
      </c>
      <c r="V70" t="e">
        <f>VLOOKUP(A70,Projetos_Ciclo!$H$2:$H$315,1,FALSE)</f>
        <v>#N/A</v>
      </c>
    </row>
    <row r="71" spans="1:22" x14ac:dyDescent="0.25">
      <c r="A71" s="14" t="s">
        <v>1135</v>
      </c>
      <c r="B71" s="116" t="s">
        <v>1136</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c r="V71" t="e">
        <f>VLOOKUP(A71,Projetos_Ciclo!$H$2:$H$315,1,FALSE)</f>
        <v>#N/A</v>
      </c>
    </row>
    <row r="72" spans="1:22" x14ac:dyDescent="0.25">
      <c r="A72" s="111" t="s">
        <v>520</v>
      </c>
      <c r="B72" s="112" t="s">
        <v>1137</v>
      </c>
      <c r="C72" s="112" t="s">
        <v>57</v>
      </c>
      <c r="D72" s="113">
        <v>385.5</v>
      </c>
      <c r="E72" s="114">
        <v>0</v>
      </c>
      <c r="F72" s="113">
        <v>0</v>
      </c>
      <c r="G72" s="114">
        <v>0</v>
      </c>
      <c r="H72" s="113">
        <v>0</v>
      </c>
      <c r="I72" s="114">
        <v>0</v>
      </c>
      <c r="J72" s="113">
        <v>0</v>
      </c>
      <c r="K72" s="114">
        <v>0</v>
      </c>
      <c r="L72" s="113">
        <v>0</v>
      </c>
      <c r="M72" s="114">
        <v>0</v>
      </c>
      <c r="N72" s="113">
        <v>0</v>
      </c>
      <c r="O72" s="114">
        <v>128.5</v>
      </c>
      <c r="P72" s="113">
        <v>128.5</v>
      </c>
      <c r="Q72" s="114">
        <v>128.5</v>
      </c>
      <c r="R72" s="113">
        <v>0</v>
      </c>
      <c r="S72" s="114">
        <v>0</v>
      </c>
      <c r="T72" s="113">
        <v>0</v>
      </c>
      <c r="U72" s="115">
        <v>0</v>
      </c>
      <c r="V72" t="str">
        <f>VLOOKUP(A72,Projetos_Ciclo!$H$2:$H$315,1,FALSE)</f>
        <v>NA</v>
      </c>
    </row>
    <row r="73" spans="1:22" x14ac:dyDescent="0.25">
      <c r="A73" s="14" t="s">
        <v>1138</v>
      </c>
      <c r="B73" s="116" t="s">
        <v>1139</v>
      </c>
      <c r="C73" s="116" t="s">
        <v>57</v>
      </c>
      <c r="D73" s="117">
        <v>-0.5</v>
      </c>
      <c r="E73" s="120">
        <v>0</v>
      </c>
      <c r="F73" s="117">
        <v>0</v>
      </c>
      <c r="G73" s="120">
        <v>0</v>
      </c>
      <c r="H73" s="117">
        <v>0</v>
      </c>
      <c r="I73" s="120">
        <v>0</v>
      </c>
      <c r="J73" s="117">
        <v>0</v>
      </c>
      <c r="K73" s="120">
        <v>0</v>
      </c>
      <c r="L73" s="117">
        <v>0</v>
      </c>
      <c r="M73" s="120">
        <v>0</v>
      </c>
      <c r="N73" s="117">
        <v>0</v>
      </c>
      <c r="O73" s="120">
        <v>0</v>
      </c>
      <c r="P73" s="117">
        <v>0</v>
      </c>
      <c r="Q73" s="120">
        <v>0</v>
      </c>
      <c r="R73" s="117">
        <v>0</v>
      </c>
      <c r="S73" s="120">
        <v>0</v>
      </c>
      <c r="T73" s="117">
        <v>0</v>
      </c>
      <c r="U73" s="119">
        <v>0</v>
      </c>
      <c r="V73" t="e">
        <f>VLOOKUP(A73,Projetos_Ciclo!$H$2:$H$315,1,FALSE)</f>
        <v>#N/A</v>
      </c>
    </row>
    <row r="74" spans="1:22" x14ac:dyDescent="0.25">
      <c r="A74" s="111" t="s">
        <v>1188</v>
      </c>
      <c r="B74" s="112" t="s">
        <v>1189</v>
      </c>
      <c r="C74" s="112" t="s">
        <v>1190</v>
      </c>
      <c r="D74" s="113">
        <v>258</v>
      </c>
      <c r="E74" s="114">
        <v>0</v>
      </c>
      <c r="F74" s="113">
        <v>129</v>
      </c>
      <c r="G74" s="114">
        <v>0</v>
      </c>
      <c r="H74" s="113">
        <v>98</v>
      </c>
      <c r="I74" s="114">
        <v>0</v>
      </c>
      <c r="J74" s="113">
        <v>0</v>
      </c>
      <c r="K74" s="114">
        <v>0</v>
      </c>
      <c r="L74" s="113">
        <v>0</v>
      </c>
      <c r="M74" s="114">
        <v>0</v>
      </c>
      <c r="N74" s="113">
        <v>129</v>
      </c>
      <c r="O74" s="114">
        <v>0</v>
      </c>
      <c r="P74" s="113">
        <v>0</v>
      </c>
      <c r="Q74" s="114">
        <v>0</v>
      </c>
      <c r="R74" s="113">
        <v>0</v>
      </c>
      <c r="S74" s="114">
        <v>0</v>
      </c>
      <c r="T74" s="113">
        <v>0</v>
      </c>
      <c r="U74" s="115">
        <v>0</v>
      </c>
      <c r="V74" t="e">
        <f>VLOOKUP(A74,Projetos_Ciclo!$H$2:$H$315,1,FALSE)</f>
        <v>#N/A</v>
      </c>
    </row>
    <row r="75" spans="1:22" x14ac:dyDescent="0.25">
      <c r="A75" s="14" t="s">
        <v>1590</v>
      </c>
      <c r="B75" s="116" t="s">
        <v>1591</v>
      </c>
      <c r="C75" s="116" t="s">
        <v>1592</v>
      </c>
      <c r="D75" s="117">
        <v>0</v>
      </c>
      <c r="E75" s="120">
        <v>0</v>
      </c>
      <c r="F75" s="117">
        <v>0</v>
      </c>
      <c r="G75" s="120">
        <v>98</v>
      </c>
      <c r="H75" s="117">
        <v>0</v>
      </c>
      <c r="I75" s="120">
        <v>97.797317504882813</v>
      </c>
      <c r="J75" s="117">
        <v>0</v>
      </c>
      <c r="K75" s="120">
        <v>97.797317504882813</v>
      </c>
      <c r="L75" s="117">
        <v>0</v>
      </c>
      <c r="M75" s="120">
        <v>97.797317504882813</v>
      </c>
      <c r="N75" s="117">
        <v>0</v>
      </c>
      <c r="O75" s="120">
        <v>0</v>
      </c>
      <c r="P75" s="117">
        <v>0</v>
      </c>
      <c r="Q75" s="120">
        <v>0</v>
      </c>
      <c r="R75" s="117">
        <v>0</v>
      </c>
      <c r="S75" s="120">
        <v>0</v>
      </c>
      <c r="T75" s="117">
        <v>0</v>
      </c>
      <c r="U75" s="119">
        <v>0</v>
      </c>
      <c r="V75" t="str">
        <f>VLOOKUP(A75,Projetos_Ciclo!$H$2:$H$315,1,FALSE)</f>
        <v>TI06118</v>
      </c>
    </row>
    <row r="76" spans="1:22" x14ac:dyDescent="0.25">
      <c r="A76" s="111" t="s">
        <v>1929</v>
      </c>
      <c r="B76" s="112" t="s">
        <v>1930</v>
      </c>
      <c r="C76" s="112" t="s">
        <v>1931</v>
      </c>
      <c r="D76" s="113">
        <v>0</v>
      </c>
      <c r="E76" s="114">
        <v>0</v>
      </c>
      <c r="F76" s="113">
        <v>0</v>
      </c>
      <c r="G76" s="114">
        <v>0</v>
      </c>
      <c r="H76" s="113">
        <v>0</v>
      </c>
      <c r="I76" s="114">
        <v>0</v>
      </c>
      <c r="J76" s="113">
        <v>0</v>
      </c>
      <c r="K76" s="114">
        <v>0</v>
      </c>
      <c r="L76" s="113">
        <v>0</v>
      </c>
      <c r="M76" s="114">
        <v>0</v>
      </c>
      <c r="N76" s="113">
        <v>0</v>
      </c>
      <c r="O76" s="114">
        <v>0</v>
      </c>
      <c r="P76" s="113">
        <v>0</v>
      </c>
      <c r="Q76" s="114">
        <v>0</v>
      </c>
      <c r="R76" s="113">
        <v>0</v>
      </c>
      <c r="S76" s="114">
        <v>0</v>
      </c>
      <c r="T76" s="113">
        <v>0</v>
      </c>
      <c r="U76" s="115">
        <v>0</v>
      </c>
      <c r="V76" t="str">
        <f>VLOOKUP(A76,Projetos_Ciclo!$H$2:$H$315,1,FALSE)</f>
        <v>TI08618</v>
      </c>
    </row>
    <row r="77" spans="1:22" x14ac:dyDescent="0.25">
      <c r="A77" s="14" t="s">
        <v>1133</v>
      </c>
      <c r="B77" s="116" t="s">
        <v>1157</v>
      </c>
      <c r="C77" s="116" t="s">
        <v>57</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c r="V77" t="e">
        <f>VLOOKUP(A77,Projetos_Ciclo!$H$2:$H$315,1,FALSE)</f>
        <v>#N/A</v>
      </c>
    </row>
    <row r="78" spans="1:22" x14ac:dyDescent="0.25">
      <c r="A78" s="111" t="s">
        <v>1135</v>
      </c>
      <c r="B78" s="112" t="s">
        <v>1136</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c r="V78" t="e">
        <f>VLOOKUP(A78,Projetos_Ciclo!$H$2:$H$315,1,FALSE)</f>
        <v>#N/A</v>
      </c>
    </row>
    <row r="79" spans="1:22" x14ac:dyDescent="0.25">
      <c r="A79" s="14" t="s">
        <v>1395</v>
      </c>
      <c r="B79" s="116" t="s">
        <v>1396</v>
      </c>
      <c r="C79" s="116" t="s">
        <v>1397</v>
      </c>
      <c r="D79" s="117">
        <v>3046</v>
      </c>
      <c r="E79" s="120">
        <v>0</v>
      </c>
      <c r="F79" s="117">
        <v>988</v>
      </c>
      <c r="G79" s="120">
        <v>0</v>
      </c>
      <c r="H79" s="117">
        <v>0</v>
      </c>
      <c r="I79" s="120">
        <v>0</v>
      </c>
      <c r="J79" s="117">
        <v>0</v>
      </c>
      <c r="K79" s="120">
        <v>0</v>
      </c>
      <c r="L79" s="117">
        <v>0</v>
      </c>
      <c r="M79" s="120">
        <v>0</v>
      </c>
      <c r="N79" s="117">
        <v>0</v>
      </c>
      <c r="O79" s="120">
        <v>1050</v>
      </c>
      <c r="P79" s="117">
        <v>1008</v>
      </c>
      <c r="Q79" s="120">
        <v>0</v>
      </c>
      <c r="R79" s="117">
        <v>0</v>
      </c>
      <c r="S79" s="120">
        <v>0</v>
      </c>
      <c r="T79" s="117">
        <v>0</v>
      </c>
      <c r="U79" s="119">
        <v>0</v>
      </c>
      <c r="V79" t="e">
        <f>VLOOKUP(A79,Projetos_Ciclo!$H$2:$H$315,1,FALSE)</f>
        <v>#N/A</v>
      </c>
    </row>
    <row r="80" spans="1:22" x14ac:dyDescent="0.25">
      <c r="A80" s="111" t="s">
        <v>1453</v>
      </c>
      <c r="B80" s="112" t="s">
        <v>1454</v>
      </c>
      <c r="C80" s="112" t="s">
        <v>1455</v>
      </c>
      <c r="D80" s="113">
        <v>0</v>
      </c>
      <c r="E80" s="114">
        <v>0</v>
      </c>
      <c r="F80" s="113">
        <v>0</v>
      </c>
      <c r="G80" s="114">
        <v>988</v>
      </c>
      <c r="H80" s="113">
        <v>0</v>
      </c>
      <c r="I80" s="114">
        <v>0</v>
      </c>
      <c r="J80" s="113">
        <v>0</v>
      </c>
      <c r="K80" s="114">
        <v>0</v>
      </c>
      <c r="L80" s="113">
        <v>988</v>
      </c>
      <c r="M80" s="114">
        <v>988</v>
      </c>
      <c r="N80" s="113">
        <v>0</v>
      </c>
      <c r="O80" s="114">
        <v>0</v>
      </c>
      <c r="P80" s="113">
        <v>0</v>
      </c>
      <c r="Q80" s="114">
        <v>0</v>
      </c>
      <c r="R80" s="113">
        <v>0</v>
      </c>
      <c r="S80" s="114">
        <v>0</v>
      </c>
      <c r="T80" s="113">
        <v>0</v>
      </c>
      <c r="U80" s="115">
        <v>0</v>
      </c>
      <c r="V80" t="str">
        <f>VLOOKUP(A80,Projetos_Ciclo!$H$2:$H$315,1,FALSE)</f>
        <v>MT00218</v>
      </c>
    </row>
    <row r="81" spans="1:22" x14ac:dyDescent="0.25">
      <c r="A81" s="14" t="s">
        <v>520</v>
      </c>
      <c r="B81" s="116" t="s">
        <v>1137</v>
      </c>
      <c r="C81" s="116" t="s">
        <v>57</v>
      </c>
      <c r="D81" s="117">
        <v>0</v>
      </c>
      <c r="E81" s="120">
        <v>0</v>
      </c>
      <c r="F81" s="117">
        <v>0</v>
      </c>
      <c r="G81" s="120">
        <v>0</v>
      </c>
      <c r="H81" s="117">
        <v>0</v>
      </c>
      <c r="I81" s="120">
        <v>0</v>
      </c>
      <c r="J81" s="117">
        <v>0</v>
      </c>
      <c r="K81" s="120">
        <v>0</v>
      </c>
      <c r="L81" s="117">
        <v>0</v>
      </c>
      <c r="M81" s="120">
        <v>0</v>
      </c>
      <c r="N81" s="117">
        <v>0</v>
      </c>
      <c r="O81" s="120">
        <v>0</v>
      </c>
      <c r="P81" s="117">
        <v>0</v>
      </c>
      <c r="Q81" s="120">
        <v>0</v>
      </c>
      <c r="R81" s="117">
        <v>0</v>
      </c>
      <c r="S81" s="120">
        <v>0</v>
      </c>
      <c r="T81" s="117">
        <v>0</v>
      </c>
      <c r="U81" s="119">
        <v>0</v>
      </c>
      <c r="V81" t="str">
        <f>VLOOKUP(A81,Projetos_Ciclo!$H$2:$H$315,1,FALSE)</f>
        <v>NA</v>
      </c>
    </row>
    <row r="82" spans="1:22" x14ac:dyDescent="0.25">
      <c r="A82" s="111" t="s">
        <v>1138</v>
      </c>
      <c r="B82" s="112" t="s">
        <v>1139</v>
      </c>
      <c r="C82" s="112" t="s">
        <v>57</v>
      </c>
      <c r="D82" s="113">
        <v>630.09999999999991</v>
      </c>
      <c r="E82" s="114">
        <v>0</v>
      </c>
      <c r="F82" s="113">
        <v>0</v>
      </c>
      <c r="G82" s="114">
        <v>0</v>
      </c>
      <c r="H82" s="113">
        <v>0</v>
      </c>
      <c r="I82" s="114">
        <v>0</v>
      </c>
      <c r="J82" s="113">
        <v>0</v>
      </c>
      <c r="K82" s="114">
        <v>0</v>
      </c>
      <c r="L82" s="113">
        <v>0</v>
      </c>
      <c r="M82" s="114">
        <v>0</v>
      </c>
      <c r="N82" s="113">
        <v>0</v>
      </c>
      <c r="O82" s="114">
        <v>0</v>
      </c>
      <c r="P82" s="113">
        <v>0</v>
      </c>
      <c r="Q82" s="114">
        <v>0</v>
      </c>
      <c r="R82" s="113">
        <v>0</v>
      </c>
      <c r="S82" s="114">
        <v>0</v>
      </c>
      <c r="T82" s="113">
        <v>0</v>
      </c>
      <c r="U82" s="115">
        <v>0</v>
      </c>
      <c r="V82" t="e">
        <f>VLOOKUP(A82,Projetos_Ciclo!$H$2:$H$315,1,FALSE)</f>
        <v>#N/A</v>
      </c>
    </row>
    <row r="83" spans="1:22" x14ac:dyDescent="0.25">
      <c r="A83" s="14" t="s">
        <v>1133</v>
      </c>
      <c r="B83" s="116" t="s">
        <v>1191</v>
      </c>
      <c r="C83" s="116" t="s">
        <v>57</v>
      </c>
      <c r="D83" s="117">
        <v>0</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c r="V83" t="e">
        <f>VLOOKUP(A83,Projetos_Ciclo!$H$2:$H$315,1,FALSE)</f>
        <v>#N/A</v>
      </c>
    </row>
    <row r="84" spans="1:22" x14ac:dyDescent="0.25">
      <c r="A84" s="111" t="s">
        <v>1135</v>
      </c>
      <c r="B84" s="112" t="s">
        <v>1136</v>
      </c>
      <c r="C84" s="112" t="s">
        <v>57</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c r="V84" t="e">
        <f>VLOOKUP(A84,Projetos_Ciclo!$H$2:$H$315,1,FALSE)</f>
        <v>#N/A</v>
      </c>
    </row>
    <row r="85" spans="1:22" x14ac:dyDescent="0.25">
      <c r="A85" s="14" t="s">
        <v>1398</v>
      </c>
      <c r="B85" s="116" t="s">
        <v>1399</v>
      </c>
      <c r="C85" s="116" t="s">
        <v>1400</v>
      </c>
      <c r="D85" s="117">
        <v>2113</v>
      </c>
      <c r="E85" s="120">
        <v>0</v>
      </c>
      <c r="F85" s="117">
        <v>1787</v>
      </c>
      <c r="G85" s="120">
        <v>0</v>
      </c>
      <c r="H85" s="117">
        <v>139</v>
      </c>
      <c r="I85" s="120">
        <v>0</v>
      </c>
      <c r="J85" s="117">
        <v>0</v>
      </c>
      <c r="K85" s="120">
        <v>0</v>
      </c>
      <c r="L85" s="117">
        <v>0</v>
      </c>
      <c r="M85" s="120">
        <v>0</v>
      </c>
      <c r="N85" s="117">
        <v>326</v>
      </c>
      <c r="O85" s="120">
        <v>0</v>
      </c>
      <c r="P85" s="117">
        <v>0</v>
      </c>
      <c r="Q85" s="120">
        <v>0</v>
      </c>
      <c r="R85" s="117">
        <v>0</v>
      </c>
      <c r="S85" s="120">
        <v>0</v>
      </c>
      <c r="T85" s="117">
        <v>0</v>
      </c>
      <c r="U85" s="119">
        <v>0</v>
      </c>
      <c r="V85" t="e">
        <f>VLOOKUP(A85,Projetos_Ciclo!$H$2:$H$315,1,FALSE)</f>
        <v>#N/A</v>
      </c>
    </row>
    <row r="86" spans="1:22" x14ac:dyDescent="0.25">
      <c r="A86" s="111" t="s">
        <v>1192</v>
      </c>
      <c r="B86" s="112" t="s">
        <v>1193</v>
      </c>
      <c r="C86" s="112" t="s">
        <v>1194</v>
      </c>
      <c r="D86" s="113">
        <v>0</v>
      </c>
      <c r="E86" s="114">
        <v>0</v>
      </c>
      <c r="F86" s="113">
        <v>0</v>
      </c>
      <c r="G86" s="114">
        <v>5</v>
      </c>
      <c r="H86" s="113">
        <v>0</v>
      </c>
      <c r="I86" s="114">
        <v>4.3380299806594849</v>
      </c>
      <c r="J86" s="113">
        <v>0</v>
      </c>
      <c r="K86" s="114">
        <v>4.3380299806594849</v>
      </c>
      <c r="L86" s="113">
        <v>5.7958297729492188</v>
      </c>
      <c r="M86" s="114">
        <v>10.133859753608704</v>
      </c>
      <c r="N86" s="113">
        <v>0</v>
      </c>
      <c r="O86" s="114">
        <v>0</v>
      </c>
      <c r="P86" s="113">
        <v>0</v>
      </c>
      <c r="Q86" s="114">
        <v>0</v>
      </c>
      <c r="R86" s="113">
        <v>0</v>
      </c>
      <c r="S86" s="114">
        <v>0</v>
      </c>
      <c r="T86" s="113">
        <v>0</v>
      </c>
      <c r="U86" s="115">
        <v>0</v>
      </c>
      <c r="V86" t="str">
        <f>VLOOKUP(A86,Projetos_Ciclo!$H$2:$H$315,1,FALSE)</f>
        <v>MT00516</v>
      </c>
    </row>
    <row r="87" spans="1:22" x14ac:dyDescent="0.25">
      <c r="A87" s="14" t="s">
        <v>1195</v>
      </c>
      <c r="B87" s="116" t="s">
        <v>1196</v>
      </c>
      <c r="C87" s="116" t="s">
        <v>1197</v>
      </c>
      <c r="D87" s="117">
        <v>0</v>
      </c>
      <c r="E87" s="120">
        <v>0</v>
      </c>
      <c r="F87" s="117">
        <v>0</v>
      </c>
      <c r="G87" s="120">
        <v>1082</v>
      </c>
      <c r="H87" s="117">
        <v>0</v>
      </c>
      <c r="I87" s="120">
        <v>31.809390187263489</v>
      </c>
      <c r="J87" s="117">
        <v>0</v>
      </c>
      <c r="K87" s="120">
        <v>31.809390187263489</v>
      </c>
      <c r="L87" s="117">
        <v>971.01232767105103</v>
      </c>
      <c r="M87" s="120">
        <v>1002.8217178583145</v>
      </c>
      <c r="N87" s="117">
        <v>0</v>
      </c>
      <c r="O87" s="120">
        <v>0</v>
      </c>
      <c r="P87" s="117">
        <v>0</v>
      </c>
      <c r="Q87" s="120">
        <v>0</v>
      </c>
      <c r="R87" s="117">
        <v>0</v>
      </c>
      <c r="S87" s="120">
        <v>0</v>
      </c>
      <c r="T87" s="117">
        <v>0</v>
      </c>
      <c r="U87" s="119">
        <v>0</v>
      </c>
      <c r="V87" t="str">
        <f>VLOOKUP(A87,Projetos_Ciclo!$H$2:$H$315,1,FALSE)</f>
        <v>MT01017</v>
      </c>
    </row>
    <row r="88" spans="1:22" x14ac:dyDescent="0.25">
      <c r="A88" s="111" t="s">
        <v>1871</v>
      </c>
      <c r="B88" s="112" t="s">
        <v>1872</v>
      </c>
      <c r="C88" s="112" t="s">
        <v>1873</v>
      </c>
      <c r="D88" s="113">
        <v>0</v>
      </c>
      <c r="E88" s="114">
        <v>0</v>
      </c>
      <c r="F88" s="113">
        <v>0</v>
      </c>
      <c r="G88" s="114">
        <v>0</v>
      </c>
      <c r="H88" s="113">
        <v>0</v>
      </c>
      <c r="I88" s="114">
        <v>0</v>
      </c>
      <c r="J88" s="113">
        <v>0</v>
      </c>
      <c r="K88" s="114">
        <v>0</v>
      </c>
      <c r="L88" s="113">
        <v>0</v>
      </c>
      <c r="M88" s="114">
        <v>0</v>
      </c>
      <c r="N88" s="113">
        <v>0</v>
      </c>
      <c r="O88" s="114">
        <v>0</v>
      </c>
      <c r="P88" s="113">
        <v>0</v>
      </c>
      <c r="Q88" s="114">
        <v>0</v>
      </c>
      <c r="R88" s="113">
        <v>0</v>
      </c>
      <c r="S88" s="114">
        <v>0</v>
      </c>
      <c r="T88" s="113">
        <v>0</v>
      </c>
      <c r="U88" s="115">
        <v>0</v>
      </c>
      <c r="V88" t="str">
        <f>VLOOKUP(A88,Projetos_Ciclo!$H$2:$H$315,1,FALSE)</f>
        <v>MT50118</v>
      </c>
    </row>
    <row r="89" spans="1:22" x14ac:dyDescent="0.25">
      <c r="A89" s="14" t="s">
        <v>520</v>
      </c>
      <c r="B89" s="116" t="s">
        <v>1198</v>
      </c>
      <c r="C89" s="116" t="s">
        <v>57</v>
      </c>
      <c r="D89" s="117">
        <v>4497</v>
      </c>
      <c r="E89" s="120">
        <v>0</v>
      </c>
      <c r="F89" s="117">
        <v>0</v>
      </c>
      <c r="G89" s="120">
        <v>0</v>
      </c>
      <c r="H89" s="117">
        <v>0</v>
      </c>
      <c r="I89" s="120">
        <v>0</v>
      </c>
      <c r="J89" s="117">
        <v>0</v>
      </c>
      <c r="K89" s="120">
        <v>0</v>
      </c>
      <c r="L89" s="117">
        <v>0</v>
      </c>
      <c r="M89" s="120">
        <v>0</v>
      </c>
      <c r="N89" s="117">
        <v>1170</v>
      </c>
      <c r="O89" s="120">
        <v>777</v>
      </c>
      <c r="P89" s="117">
        <v>2550</v>
      </c>
      <c r="Q89" s="120">
        <v>0</v>
      </c>
      <c r="R89" s="117">
        <v>0</v>
      </c>
      <c r="S89" s="120">
        <v>0</v>
      </c>
      <c r="T89" s="117">
        <v>0</v>
      </c>
      <c r="U89" s="119">
        <v>0</v>
      </c>
      <c r="V89" t="str">
        <f>VLOOKUP(A89,Projetos_Ciclo!$H$2:$H$315,1,FALSE)</f>
        <v>NA</v>
      </c>
    </row>
    <row r="90" spans="1:22" x14ac:dyDescent="0.25">
      <c r="A90" s="111" t="s">
        <v>1199</v>
      </c>
      <c r="B90" s="112" t="s">
        <v>1200</v>
      </c>
      <c r="C90" s="112" t="s">
        <v>1201</v>
      </c>
      <c r="D90" s="113">
        <v>0</v>
      </c>
      <c r="E90" s="114">
        <v>0</v>
      </c>
      <c r="F90" s="113">
        <v>0</v>
      </c>
      <c r="G90" s="114">
        <v>700</v>
      </c>
      <c r="H90" s="113">
        <v>0</v>
      </c>
      <c r="I90" s="114">
        <v>132.45830917358398</v>
      </c>
      <c r="J90" s="113">
        <v>0</v>
      </c>
      <c r="K90" s="114">
        <v>132.45830917358398</v>
      </c>
      <c r="L90" s="113">
        <v>534.56800007820129</v>
      </c>
      <c r="M90" s="114">
        <v>667.02630925178528</v>
      </c>
      <c r="N90" s="113">
        <v>0</v>
      </c>
      <c r="O90" s="114">
        <v>0</v>
      </c>
      <c r="P90" s="113">
        <v>0</v>
      </c>
      <c r="Q90" s="114">
        <v>0</v>
      </c>
      <c r="R90" s="113">
        <v>0</v>
      </c>
      <c r="S90" s="114">
        <v>0</v>
      </c>
      <c r="T90" s="113">
        <v>0</v>
      </c>
      <c r="U90" s="115">
        <v>0</v>
      </c>
      <c r="V90" t="str">
        <f>VLOOKUP(A90,Projetos_Ciclo!$H$2:$H$315,1,FALSE)</f>
        <v>PO00417</v>
      </c>
    </row>
    <row r="91" spans="1:22" x14ac:dyDescent="0.25">
      <c r="A91" s="14" t="s">
        <v>1138</v>
      </c>
      <c r="B91" s="116" t="s">
        <v>1139</v>
      </c>
      <c r="C91" s="116" t="s">
        <v>57</v>
      </c>
      <c r="D91" s="117">
        <v>28</v>
      </c>
      <c r="E91" s="120">
        <v>0</v>
      </c>
      <c r="F91" s="117">
        <v>0</v>
      </c>
      <c r="G91" s="120">
        <v>0</v>
      </c>
      <c r="H91" s="117">
        <v>0</v>
      </c>
      <c r="I91" s="120">
        <v>0</v>
      </c>
      <c r="J91" s="117">
        <v>0</v>
      </c>
      <c r="K91" s="120">
        <v>0</v>
      </c>
      <c r="L91" s="117">
        <v>0</v>
      </c>
      <c r="M91" s="120">
        <v>0</v>
      </c>
      <c r="N91" s="117">
        <v>0</v>
      </c>
      <c r="O91" s="120">
        <v>0</v>
      </c>
      <c r="P91" s="117">
        <v>0</v>
      </c>
      <c r="Q91" s="120">
        <v>0</v>
      </c>
      <c r="R91" s="117">
        <v>0</v>
      </c>
      <c r="S91" s="120">
        <v>0</v>
      </c>
      <c r="T91" s="117">
        <v>0</v>
      </c>
      <c r="U91" s="119">
        <v>0</v>
      </c>
      <c r="V91" t="e">
        <f>VLOOKUP(A91,Projetos_Ciclo!$H$2:$H$315,1,FALSE)</f>
        <v>#N/A</v>
      </c>
    </row>
    <row r="92" spans="1:22" x14ac:dyDescent="0.25">
      <c r="A92" s="111" t="s">
        <v>1811</v>
      </c>
      <c r="B92" s="112" t="s">
        <v>1812</v>
      </c>
      <c r="C92" s="112" t="s">
        <v>1810</v>
      </c>
      <c r="D92" s="113">
        <v>0</v>
      </c>
      <c r="E92" s="114">
        <v>0</v>
      </c>
      <c r="F92" s="113">
        <v>0</v>
      </c>
      <c r="G92" s="114">
        <v>53</v>
      </c>
      <c r="H92" s="113">
        <v>0</v>
      </c>
      <c r="I92" s="114">
        <v>0</v>
      </c>
      <c r="J92" s="113">
        <v>0</v>
      </c>
      <c r="K92" s="114">
        <v>0</v>
      </c>
      <c r="L92" s="113">
        <v>48.058000564575195</v>
      </c>
      <c r="M92" s="114">
        <v>48.058000564575195</v>
      </c>
      <c r="N92" s="113">
        <v>0</v>
      </c>
      <c r="O92" s="114">
        <v>0</v>
      </c>
      <c r="P92" s="113">
        <v>0</v>
      </c>
      <c r="Q92" s="114">
        <v>0</v>
      </c>
      <c r="R92" s="113">
        <v>0</v>
      </c>
      <c r="S92" s="114">
        <v>0</v>
      </c>
      <c r="T92" s="113">
        <v>0</v>
      </c>
      <c r="U92" s="115">
        <v>0</v>
      </c>
      <c r="V92" t="str">
        <f>VLOOKUP(A92,Projetos_Ciclo!$H$2:$H$315,1,FALSE)</f>
        <v>AD00118</v>
      </c>
    </row>
    <row r="93" spans="1:22" x14ac:dyDescent="0.25">
      <c r="A93" s="14" t="s">
        <v>1932</v>
      </c>
      <c r="B93" s="116" t="s">
        <v>1933</v>
      </c>
      <c r="C93" s="116" t="s">
        <v>1934</v>
      </c>
      <c r="D93" s="117">
        <v>0</v>
      </c>
      <c r="E93" s="120">
        <v>0</v>
      </c>
      <c r="F93" s="117">
        <v>0</v>
      </c>
      <c r="G93" s="120">
        <v>306</v>
      </c>
      <c r="H93" s="117">
        <v>0</v>
      </c>
      <c r="I93" s="120">
        <v>0</v>
      </c>
      <c r="J93" s="117">
        <v>0</v>
      </c>
      <c r="K93" s="120">
        <v>0</v>
      </c>
      <c r="L93" s="117">
        <v>302.0836181640625</v>
      </c>
      <c r="M93" s="120">
        <v>302.0836181640625</v>
      </c>
      <c r="N93" s="117">
        <v>0</v>
      </c>
      <c r="O93" s="120">
        <v>0</v>
      </c>
      <c r="P93" s="117">
        <v>0</v>
      </c>
      <c r="Q93" s="120">
        <v>0</v>
      </c>
      <c r="R93" s="117">
        <v>0</v>
      </c>
      <c r="S93" s="120">
        <v>0</v>
      </c>
      <c r="T93" s="117">
        <v>0</v>
      </c>
      <c r="U93" s="119">
        <v>0</v>
      </c>
      <c r="V93" t="str">
        <f>VLOOKUP(A93,Projetos_Ciclo!$H$2:$H$315,1,FALSE)</f>
        <v>AD00218</v>
      </c>
    </row>
    <row r="94" spans="1:22" x14ac:dyDescent="0.25">
      <c r="A94" s="111" t="s">
        <v>1133</v>
      </c>
      <c r="B94" s="112" t="s">
        <v>1226</v>
      </c>
      <c r="C94" s="112" t="s">
        <v>57</v>
      </c>
      <c r="D94" s="113">
        <v>0</v>
      </c>
      <c r="E94" s="114">
        <v>0</v>
      </c>
      <c r="F94" s="113">
        <v>0</v>
      </c>
      <c r="G94" s="114">
        <v>0</v>
      </c>
      <c r="H94" s="113">
        <v>0</v>
      </c>
      <c r="I94" s="114">
        <v>0</v>
      </c>
      <c r="J94" s="113">
        <v>0</v>
      </c>
      <c r="K94" s="114">
        <v>0</v>
      </c>
      <c r="L94" s="113">
        <v>0</v>
      </c>
      <c r="M94" s="114">
        <v>0</v>
      </c>
      <c r="N94" s="113">
        <v>0</v>
      </c>
      <c r="O94" s="114">
        <v>0</v>
      </c>
      <c r="P94" s="113">
        <v>0</v>
      </c>
      <c r="Q94" s="114">
        <v>0</v>
      </c>
      <c r="R94" s="113">
        <v>0</v>
      </c>
      <c r="S94" s="114">
        <v>0</v>
      </c>
      <c r="T94" s="113">
        <v>0</v>
      </c>
      <c r="U94" s="115">
        <v>0</v>
      </c>
      <c r="V94" t="e">
        <f>VLOOKUP(A94,Projetos_Ciclo!$H$2:$H$315,1,FALSE)</f>
        <v>#N/A</v>
      </c>
    </row>
    <row r="95" spans="1:22" x14ac:dyDescent="0.25">
      <c r="A95" s="14" t="s">
        <v>1230</v>
      </c>
      <c r="B95" s="116" t="s">
        <v>1231</v>
      </c>
      <c r="C95" s="116" t="s">
        <v>1232</v>
      </c>
      <c r="D95" s="117">
        <v>0</v>
      </c>
      <c r="E95" s="120">
        <v>0</v>
      </c>
      <c r="F95" s="117">
        <v>0</v>
      </c>
      <c r="G95" s="120">
        <v>13</v>
      </c>
      <c r="H95" s="117">
        <v>0</v>
      </c>
      <c r="I95" s="120">
        <v>11.104649901390076</v>
      </c>
      <c r="J95" s="117">
        <v>0</v>
      </c>
      <c r="K95" s="120">
        <v>11.104649901390076</v>
      </c>
      <c r="L95" s="117">
        <v>0</v>
      </c>
      <c r="M95" s="120">
        <v>11.104649901390076</v>
      </c>
      <c r="N95" s="117">
        <v>0</v>
      </c>
      <c r="O95" s="120">
        <v>0</v>
      </c>
      <c r="P95" s="117">
        <v>0</v>
      </c>
      <c r="Q95" s="120">
        <v>0</v>
      </c>
      <c r="R95" s="117">
        <v>0</v>
      </c>
      <c r="S95" s="120">
        <v>0</v>
      </c>
      <c r="T95" s="117">
        <v>0</v>
      </c>
      <c r="U95" s="119">
        <v>0</v>
      </c>
      <c r="V95" t="str">
        <f>VLOOKUP(A95,Projetos_Ciclo!$H$2:$H$315,1,FALSE)</f>
        <v>CD00315</v>
      </c>
    </row>
    <row r="96" spans="1:22" x14ac:dyDescent="0.25">
      <c r="A96" s="111" t="s">
        <v>1135</v>
      </c>
      <c r="B96" s="112" t="s">
        <v>1136</v>
      </c>
      <c r="C96" s="112" t="s">
        <v>57</v>
      </c>
      <c r="D96" s="113">
        <v>0</v>
      </c>
      <c r="E96" s="114">
        <v>0</v>
      </c>
      <c r="F96" s="113">
        <v>0</v>
      </c>
      <c r="G96" s="114">
        <v>0</v>
      </c>
      <c r="H96" s="113">
        <v>0</v>
      </c>
      <c r="I96" s="114">
        <v>0</v>
      </c>
      <c r="J96" s="113">
        <v>0</v>
      </c>
      <c r="K96" s="114">
        <v>0</v>
      </c>
      <c r="L96" s="113">
        <v>0</v>
      </c>
      <c r="M96" s="114">
        <v>0</v>
      </c>
      <c r="N96" s="113">
        <v>0</v>
      </c>
      <c r="O96" s="114">
        <v>0</v>
      </c>
      <c r="P96" s="113">
        <v>0</v>
      </c>
      <c r="Q96" s="114">
        <v>0</v>
      </c>
      <c r="R96" s="113">
        <v>0</v>
      </c>
      <c r="S96" s="114">
        <v>0</v>
      </c>
      <c r="T96" s="113">
        <v>0</v>
      </c>
      <c r="U96" s="115">
        <v>0</v>
      </c>
      <c r="V96" t="e">
        <f>VLOOKUP(A96,Projetos_Ciclo!$H$2:$H$315,1,FALSE)</f>
        <v>#N/A</v>
      </c>
    </row>
    <row r="97" spans="1:22" x14ac:dyDescent="0.25">
      <c r="A97" s="14" t="s">
        <v>1804</v>
      </c>
      <c r="B97" s="116" t="s">
        <v>1813</v>
      </c>
      <c r="C97" s="116" t="s">
        <v>1803</v>
      </c>
      <c r="D97" s="117">
        <v>0</v>
      </c>
      <c r="E97" s="120">
        <v>0</v>
      </c>
      <c r="F97" s="117">
        <v>0</v>
      </c>
      <c r="G97" s="120">
        <v>149</v>
      </c>
      <c r="H97" s="117">
        <v>0</v>
      </c>
      <c r="I97" s="120">
        <v>0</v>
      </c>
      <c r="J97" s="117">
        <v>0</v>
      </c>
      <c r="K97" s="120">
        <v>0</v>
      </c>
      <c r="L97" s="117">
        <v>137.69760131835937</v>
      </c>
      <c r="M97" s="120">
        <v>137.69760131835937</v>
      </c>
      <c r="N97" s="117">
        <v>0</v>
      </c>
      <c r="O97" s="120">
        <v>0</v>
      </c>
      <c r="P97" s="117">
        <v>0</v>
      </c>
      <c r="Q97" s="120">
        <v>0</v>
      </c>
      <c r="R97" s="117">
        <v>0</v>
      </c>
      <c r="S97" s="120">
        <v>0</v>
      </c>
      <c r="T97" s="117">
        <v>0</v>
      </c>
      <c r="U97" s="119">
        <v>0</v>
      </c>
      <c r="V97" t="str">
        <f>VLOOKUP(A97,Projetos_Ciclo!$H$2:$H$315,1,FALSE)</f>
        <v>EA00118</v>
      </c>
    </row>
    <row r="98" spans="1:22" x14ac:dyDescent="0.25">
      <c r="A98" s="111" t="s">
        <v>1675</v>
      </c>
      <c r="B98" s="112" t="s">
        <v>1814</v>
      </c>
      <c r="C98" s="112" t="s">
        <v>1677</v>
      </c>
      <c r="D98" s="113">
        <v>0</v>
      </c>
      <c r="E98" s="114">
        <v>0</v>
      </c>
      <c r="F98" s="113">
        <v>0</v>
      </c>
      <c r="G98" s="114">
        <v>405</v>
      </c>
      <c r="H98" s="113">
        <v>0</v>
      </c>
      <c r="I98" s="114">
        <v>0</v>
      </c>
      <c r="J98" s="113">
        <v>0</v>
      </c>
      <c r="K98" s="114">
        <v>0</v>
      </c>
      <c r="L98" s="113">
        <v>398.80000638961792</v>
      </c>
      <c r="M98" s="114">
        <v>398.80000638961792</v>
      </c>
      <c r="N98" s="113">
        <v>0</v>
      </c>
      <c r="O98" s="114">
        <v>0</v>
      </c>
      <c r="P98" s="113">
        <v>0</v>
      </c>
      <c r="Q98" s="114">
        <v>0</v>
      </c>
      <c r="R98" s="113">
        <v>0</v>
      </c>
      <c r="S98" s="114">
        <v>0</v>
      </c>
      <c r="T98" s="113">
        <v>0</v>
      </c>
      <c r="U98" s="115">
        <v>0</v>
      </c>
      <c r="V98" t="str">
        <f>VLOOKUP(A98,Projetos_Ciclo!$H$2:$H$315,1,FALSE)</f>
        <v>EM00118</v>
      </c>
    </row>
    <row r="99" spans="1:22" x14ac:dyDescent="0.25">
      <c r="A99" s="14" t="s">
        <v>1233</v>
      </c>
      <c r="B99" s="116" t="s">
        <v>1234</v>
      </c>
      <c r="C99" s="116" t="s">
        <v>1235</v>
      </c>
      <c r="D99" s="117">
        <v>2590</v>
      </c>
      <c r="E99" s="120">
        <v>0</v>
      </c>
      <c r="F99" s="117">
        <v>2350</v>
      </c>
      <c r="G99" s="120">
        <v>0</v>
      </c>
      <c r="H99" s="117">
        <v>26</v>
      </c>
      <c r="I99" s="120">
        <v>0</v>
      </c>
      <c r="J99" s="117">
        <v>0</v>
      </c>
      <c r="K99" s="120">
        <v>0</v>
      </c>
      <c r="L99" s="117">
        <v>0</v>
      </c>
      <c r="M99" s="120">
        <v>0</v>
      </c>
      <c r="N99" s="117">
        <v>240</v>
      </c>
      <c r="O99" s="120">
        <v>0</v>
      </c>
      <c r="P99" s="117">
        <v>0</v>
      </c>
      <c r="Q99" s="120">
        <v>0</v>
      </c>
      <c r="R99" s="117">
        <v>0</v>
      </c>
      <c r="S99" s="120">
        <v>0</v>
      </c>
      <c r="T99" s="117">
        <v>0</v>
      </c>
      <c r="U99" s="119">
        <v>0</v>
      </c>
      <c r="V99" t="e">
        <f>VLOOKUP(A99,Projetos_Ciclo!$H$2:$H$315,1,FALSE)</f>
        <v>#N/A</v>
      </c>
    </row>
    <row r="100" spans="1:22" x14ac:dyDescent="0.25">
      <c r="A100" s="111" t="s">
        <v>1567</v>
      </c>
      <c r="B100" s="112" t="s">
        <v>1568</v>
      </c>
      <c r="C100" s="112" t="s">
        <v>1569</v>
      </c>
      <c r="D100" s="113">
        <v>0</v>
      </c>
      <c r="E100" s="114">
        <v>0</v>
      </c>
      <c r="F100" s="113">
        <v>0</v>
      </c>
      <c r="G100" s="114">
        <v>350</v>
      </c>
      <c r="H100" s="113">
        <v>0</v>
      </c>
      <c r="I100" s="114">
        <v>0</v>
      </c>
      <c r="J100" s="113">
        <v>0</v>
      </c>
      <c r="K100" s="114">
        <v>0</v>
      </c>
      <c r="L100" s="113">
        <v>0</v>
      </c>
      <c r="M100" s="114">
        <v>0</v>
      </c>
      <c r="N100" s="113">
        <v>0</v>
      </c>
      <c r="O100" s="114">
        <v>0</v>
      </c>
      <c r="P100" s="113">
        <v>0</v>
      </c>
      <c r="Q100" s="114">
        <v>0</v>
      </c>
      <c r="R100" s="113">
        <v>0</v>
      </c>
      <c r="S100" s="114">
        <v>0</v>
      </c>
      <c r="T100" s="113">
        <v>0</v>
      </c>
      <c r="U100" s="115">
        <v>0</v>
      </c>
      <c r="V100" t="str">
        <f>VLOOKUP(A100,Projetos_Ciclo!$H$2:$H$315,1,FALSE)</f>
        <v>GR00118</v>
      </c>
    </row>
    <row r="101" spans="1:22" x14ac:dyDescent="0.25">
      <c r="A101" s="14" t="s">
        <v>1364</v>
      </c>
      <c r="B101" s="116" t="s">
        <v>1016</v>
      </c>
      <c r="C101" s="116" t="s">
        <v>1510</v>
      </c>
      <c r="D101" s="117">
        <v>0</v>
      </c>
      <c r="E101" s="120">
        <v>0</v>
      </c>
      <c r="F101" s="117">
        <v>0</v>
      </c>
      <c r="G101" s="120">
        <v>631</v>
      </c>
      <c r="H101" s="117">
        <v>0</v>
      </c>
      <c r="I101" s="120">
        <v>7.9200000762939453</v>
      </c>
      <c r="J101" s="117">
        <v>0</v>
      </c>
      <c r="K101" s="120">
        <v>7.9200000762939453</v>
      </c>
      <c r="L101" s="117">
        <v>350.97048950195313</v>
      </c>
      <c r="M101" s="120">
        <v>358.89048957824707</v>
      </c>
      <c r="N101" s="117">
        <v>0</v>
      </c>
      <c r="O101" s="120">
        <v>0</v>
      </c>
      <c r="P101" s="117">
        <v>0</v>
      </c>
      <c r="Q101" s="120">
        <v>0</v>
      </c>
      <c r="R101" s="117">
        <v>0</v>
      </c>
      <c r="S101" s="120">
        <v>0</v>
      </c>
      <c r="T101" s="117">
        <v>0</v>
      </c>
      <c r="U101" s="119">
        <v>0</v>
      </c>
      <c r="V101" t="str">
        <f>VLOOKUP(A101,Projetos_Ciclo!$H$2:$H$315,1,FALSE)</f>
        <v>MD00118</v>
      </c>
    </row>
    <row r="102" spans="1:22" x14ac:dyDescent="0.25">
      <c r="A102" s="111" t="s">
        <v>520</v>
      </c>
      <c r="B102" s="112" t="s">
        <v>1137</v>
      </c>
      <c r="C102" s="112" t="s">
        <v>57</v>
      </c>
      <c r="D102" s="113">
        <v>11427</v>
      </c>
      <c r="E102" s="114">
        <v>0</v>
      </c>
      <c r="F102" s="113">
        <v>0</v>
      </c>
      <c r="G102" s="114">
        <v>0</v>
      </c>
      <c r="H102" s="113">
        <v>0</v>
      </c>
      <c r="I102" s="114">
        <v>0</v>
      </c>
      <c r="J102" s="113">
        <v>0</v>
      </c>
      <c r="K102" s="114">
        <v>0</v>
      </c>
      <c r="L102" s="113">
        <v>0</v>
      </c>
      <c r="M102" s="114">
        <v>0</v>
      </c>
      <c r="N102" s="113">
        <v>1995</v>
      </c>
      <c r="O102" s="114">
        <v>3005</v>
      </c>
      <c r="P102" s="113">
        <v>3898</v>
      </c>
      <c r="Q102" s="114">
        <v>2529</v>
      </c>
      <c r="R102" s="113">
        <v>0</v>
      </c>
      <c r="S102" s="114">
        <v>0</v>
      </c>
      <c r="T102" s="113">
        <v>0</v>
      </c>
      <c r="U102" s="115">
        <v>0</v>
      </c>
      <c r="V102" t="str">
        <f>VLOOKUP(A102,Projetos_Ciclo!$H$2:$H$315,1,FALSE)</f>
        <v>NA</v>
      </c>
    </row>
    <row r="103" spans="1:22" x14ac:dyDescent="0.25">
      <c r="A103" s="14" t="s">
        <v>1507</v>
      </c>
      <c r="B103" s="116" t="s">
        <v>1527</v>
      </c>
      <c r="C103" s="116" t="s">
        <v>1528</v>
      </c>
      <c r="D103" s="117">
        <v>0</v>
      </c>
      <c r="E103" s="120">
        <v>0</v>
      </c>
      <c r="F103" s="117">
        <v>0</v>
      </c>
      <c r="G103" s="120">
        <v>254</v>
      </c>
      <c r="H103" s="117">
        <v>0</v>
      </c>
      <c r="I103" s="120">
        <v>0</v>
      </c>
      <c r="J103" s="117">
        <v>0</v>
      </c>
      <c r="K103" s="120">
        <v>0</v>
      </c>
      <c r="L103" s="117">
        <v>243.13971972465515</v>
      </c>
      <c r="M103" s="120">
        <v>243.13971972465515</v>
      </c>
      <c r="N103" s="117">
        <v>0</v>
      </c>
      <c r="O103" s="120">
        <v>0</v>
      </c>
      <c r="P103" s="117">
        <v>0</v>
      </c>
      <c r="Q103" s="120">
        <v>0</v>
      </c>
      <c r="R103" s="117">
        <v>0</v>
      </c>
      <c r="S103" s="120">
        <v>0</v>
      </c>
      <c r="T103" s="117">
        <v>0</v>
      </c>
      <c r="U103" s="119">
        <v>0</v>
      </c>
      <c r="V103" t="str">
        <f>VLOOKUP(A103,Projetos_Ciclo!$H$2:$H$315,1,FALSE)</f>
        <v>RH00218</v>
      </c>
    </row>
    <row r="104" spans="1:22" x14ac:dyDescent="0.25">
      <c r="A104" s="111" t="s">
        <v>1138</v>
      </c>
      <c r="B104" s="112" t="s">
        <v>1139</v>
      </c>
      <c r="C104" s="112" t="s">
        <v>57</v>
      </c>
      <c r="D104" s="113">
        <v>67</v>
      </c>
      <c r="E104" s="114">
        <v>0</v>
      </c>
      <c r="F104" s="113">
        <v>0</v>
      </c>
      <c r="G104" s="114">
        <v>0</v>
      </c>
      <c r="H104" s="113">
        <v>0</v>
      </c>
      <c r="I104" s="114">
        <v>0</v>
      </c>
      <c r="J104" s="113">
        <v>0</v>
      </c>
      <c r="K104" s="114">
        <v>0</v>
      </c>
      <c r="L104" s="113">
        <v>0</v>
      </c>
      <c r="M104" s="114">
        <v>0</v>
      </c>
      <c r="N104" s="113">
        <v>0</v>
      </c>
      <c r="O104" s="114">
        <v>0</v>
      </c>
      <c r="P104" s="113">
        <v>0</v>
      </c>
      <c r="Q104" s="114">
        <v>0</v>
      </c>
      <c r="R104" s="113">
        <v>0</v>
      </c>
      <c r="S104" s="114">
        <v>0</v>
      </c>
      <c r="T104" s="113">
        <v>0</v>
      </c>
      <c r="U104" s="115">
        <v>0</v>
      </c>
      <c r="V104" t="e">
        <f>VLOOKUP(A104,Projetos_Ciclo!$H$2:$H$315,1,FALSE)</f>
        <v>#N/A</v>
      </c>
    </row>
    <row r="105" spans="1:22" x14ac:dyDescent="0.25">
      <c r="A105" s="14" t="s">
        <v>1133</v>
      </c>
      <c r="B105" s="116" t="s">
        <v>1134</v>
      </c>
      <c r="C105" s="116" t="s">
        <v>57</v>
      </c>
      <c r="D105" s="117">
        <v>0</v>
      </c>
      <c r="E105" s="120">
        <v>0</v>
      </c>
      <c r="F105" s="117">
        <v>0</v>
      </c>
      <c r="G105" s="120">
        <v>0</v>
      </c>
      <c r="H105" s="117">
        <v>0</v>
      </c>
      <c r="I105" s="120">
        <v>0</v>
      </c>
      <c r="J105" s="117">
        <v>0</v>
      </c>
      <c r="K105" s="120">
        <v>0</v>
      </c>
      <c r="L105" s="117">
        <v>0</v>
      </c>
      <c r="M105" s="120">
        <v>0</v>
      </c>
      <c r="N105" s="117">
        <v>0</v>
      </c>
      <c r="O105" s="120">
        <v>0</v>
      </c>
      <c r="P105" s="117">
        <v>0</v>
      </c>
      <c r="Q105" s="120">
        <v>0</v>
      </c>
      <c r="R105" s="117">
        <v>0</v>
      </c>
      <c r="S105" s="120">
        <v>0</v>
      </c>
      <c r="T105" s="117">
        <v>0</v>
      </c>
      <c r="U105" s="119">
        <v>0</v>
      </c>
      <c r="V105" t="e">
        <f>VLOOKUP(A105,Projetos_Ciclo!$H$2:$H$315,1,FALSE)</f>
        <v>#N/A</v>
      </c>
    </row>
    <row r="106" spans="1:22" x14ac:dyDescent="0.25">
      <c r="A106" s="111" t="s">
        <v>1096</v>
      </c>
      <c r="B106" s="112" t="s">
        <v>1239</v>
      </c>
      <c r="C106" s="112" t="s">
        <v>1097</v>
      </c>
      <c r="D106" s="113">
        <v>0</v>
      </c>
      <c r="E106" s="114">
        <v>0</v>
      </c>
      <c r="F106" s="113">
        <v>0</v>
      </c>
      <c r="G106" s="114">
        <v>56</v>
      </c>
      <c r="H106" s="113">
        <v>0</v>
      </c>
      <c r="I106" s="114">
        <v>54.296999216079712</v>
      </c>
      <c r="J106" s="113">
        <v>0</v>
      </c>
      <c r="K106" s="114">
        <v>54.296999216079712</v>
      </c>
      <c r="L106" s="113">
        <v>0</v>
      </c>
      <c r="M106" s="114">
        <v>54.296999216079712</v>
      </c>
      <c r="N106" s="113">
        <v>0</v>
      </c>
      <c r="O106" s="114">
        <v>0</v>
      </c>
      <c r="P106" s="113">
        <v>0</v>
      </c>
      <c r="Q106" s="114">
        <v>0</v>
      </c>
      <c r="R106" s="113">
        <v>0</v>
      </c>
      <c r="S106" s="114">
        <v>0</v>
      </c>
      <c r="T106" s="113">
        <v>0</v>
      </c>
      <c r="U106" s="115">
        <v>0</v>
      </c>
      <c r="V106" t="str">
        <f>VLOOKUP(A106,Projetos_Ciclo!$H$2:$H$315,1,FALSE)</f>
        <v>CD00215</v>
      </c>
    </row>
    <row r="107" spans="1:22" x14ac:dyDescent="0.25">
      <c r="A107" s="14" t="s">
        <v>1587</v>
      </c>
      <c r="B107" s="116" t="s">
        <v>1662</v>
      </c>
      <c r="C107" s="116" t="s">
        <v>1588</v>
      </c>
      <c r="D107" s="117">
        <v>0</v>
      </c>
      <c r="E107" s="120">
        <v>0</v>
      </c>
      <c r="F107" s="117">
        <v>0</v>
      </c>
      <c r="G107" s="120">
        <v>92</v>
      </c>
      <c r="H107" s="117">
        <v>0</v>
      </c>
      <c r="I107" s="120">
        <v>0</v>
      </c>
      <c r="J107" s="117">
        <v>0</v>
      </c>
      <c r="K107" s="120">
        <v>0</v>
      </c>
      <c r="L107" s="117">
        <v>89.942001342773438</v>
      </c>
      <c r="M107" s="120">
        <v>89.942001342773438</v>
      </c>
      <c r="N107" s="117">
        <v>0</v>
      </c>
      <c r="O107" s="120">
        <v>0</v>
      </c>
      <c r="P107" s="117">
        <v>0</v>
      </c>
      <c r="Q107" s="120">
        <v>0</v>
      </c>
      <c r="R107" s="117">
        <v>0</v>
      </c>
      <c r="S107" s="120">
        <v>0</v>
      </c>
      <c r="T107" s="117">
        <v>0</v>
      </c>
      <c r="U107" s="119">
        <v>0</v>
      </c>
      <c r="V107" t="str">
        <f>VLOOKUP(A107,Projetos_Ciclo!$H$2:$H$315,1,FALSE)</f>
        <v>CE00118</v>
      </c>
    </row>
    <row r="108" spans="1:22" x14ac:dyDescent="0.25">
      <c r="A108" s="111" t="s">
        <v>1135</v>
      </c>
      <c r="B108" s="112" t="s">
        <v>1136</v>
      </c>
      <c r="C108" s="112" t="s">
        <v>57</v>
      </c>
      <c r="D108" s="113">
        <v>0</v>
      </c>
      <c r="E108" s="114">
        <v>0</v>
      </c>
      <c r="F108" s="113">
        <v>0</v>
      </c>
      <c r="G108" s="114">
        <v>0</v>
      </c>
      <c r="H108" s="113">
        <v>0</v>
      </c>
      <c r="I108" s="114">
        <v>0</v>
      </c>
      <c r="J108" s="113">
        <v>0</v>
      </c>
      <c r="K108" s="114">
        <v>0</v>
      </c>
      <c r="L108" s="113">
        <v>0</v>
      </c>
      <c r="M108" s="114">
        <v>0</v>
      </c>
      <c r="N108" s="113">
        <v>0</v>
      </c>
      <c r="O108" s="114">
        <v>0</v>
      </c>
      <c r="P108" s="113">
        <v>0</v>
      </c>
      <c r="Q108" s="114">
        <v>0</v>
      </c>
      <c r="R108" s="113">
        <v>0</v>
      </c>
      <c r="S108" s="114">
        <v>0</v>
      </c>
      <c r="T108" s="113">
        <v>0</v>
      </c>
      <c r="U108" s="115">
        <v>0</v>
      </c>
      <c r="V108" t="e">
        <f>VLOOKUP(A108,Projetos_Ciclo!$H$2:$H$315,1,FALSE)</f>
        <v>#N/A</v>
      </c>
    </row>
    <row r="109" spans="1:22" x14ac:dyDescent="0.25">
      <c r="A109" s="14" t="s">
        <v>1676</v>
      </c>
      <c r="B109" s="116" t="s">
        <v>1798</v>
      </c>
      <c r="C109" s="116" t="s">
        <v>1678</v>
      </c>
      <c r="D109" s="117">
        <v>0</v>
      </c>
      <c r="E109" s="120">
        <v>0</v>
      </c>
      <c r="F109" s="117">
        <v>0</v>
      </c>
      <c r="G109" s="120">
        <v>125</v>
      </c>
      <c r="H109" s="117">
        <v>0</v>
      </c>
      <c r="I109" s="120">
        <v>0</v>
      </c>
      <c r="J109" s="117">
        <v>0</v>
      </c>
      <c r="K109" s="120">
        <v>0</v>
      </c>
      <c r="L109" s="117">
        <v>115.20000123977661</v>
      </c>
      <c r="M109" s="120">
        <v>115.20000123977661</v>
      </c>
      <c r="N109" s="117">
        <v>0</v>
      </c>
      <c r="O109" s="120">
        <v>0</v>
      </c>
      <c r="P109" s="117">
        <v>0</v>
      </c>
      <c r="Q109" s="120">
        <v>0</v>
      </c>
      <c r="R109" s="117">
        <v>0</v>
      </c>
      <c r="S109" s="120">
        <v>0</v>
      </c>
      <c r="T109" s="117">
        <v>0</v>
      </c>
      <c r="U109" s="119">
        <v>0</v>
      </c>
      <c r="V109" t="str">
        <f>VLOOKUP(A109,Projetos_Ciclo!$H$2:$H$315,1,FALSE)</f>
        <v>EM00218</v>
      </c>
    </row>
    <row r="110" spans="1:22" x14ac:dyDescent="0.25">
      <c r="A110" s="111" t="s">
        <v>1100</v>
      </c>
      <c r="B110" s="112" t="s">
        <v>1240</v>
      </c>
      <c r="C110" s="112" t="s">
        <v>1241</v>
      </c>
      <c r="D110" s="113">
        <v>0</v>
      </c>
      <c r="E110" s="114">
        <v>0</v>
      </c>
      <c r="F110" s="113">
        <v>0</v>
      </c>
      <c r="G110" s="114">
        <v>0</v>
      </c>
      <c r="H110" s="113">
        <v>0</v>
      </c>
      <c r="I110" s="114">
        <v>-6.9145699739456177</v>
      </c>
      <c r="J110" s="113">
        <v>0</v>
      </c>
      <c r="K110" s="114">
        <v>-6.9145699739456177</v>
      </c>
      <c r="L110" s="113">
        <v>0</v>
      </c>
      <c r="M110" s="114">
        <v>-6.9145699739456177</v>
      </c>
      <c r="N110" s="113">
        <v>0</v>
      </c>
      <c r="O110" s="114">
        <v>0</v>
      </c>
      <c r="P110" s="113">
        <v>0</v>
      </c>
      <c r="Q110" s="114">
        <v>0</v>
      </c>
      <c r="R110" s="113">
        <v>0</v>
      </c>
      <c r="S110" s="114">
        <v>0</v>
      </c>
      <c r="T110" s="113">
        <v>0</v>
      </c>
      <c r="U110" s="115">
        <v>0</v>
      </c>
      <c r="V110" t="str">
        <f>VLOOKUP(A110,Projetos_Ciclo!$H$2:$H$315,1,FALSE)</f>
        <v>GE00214</v>
      </c>
    </row>
    <row r="111" spans="1:22" x14ac:dyDescent="0.25">
      <c r="A111" s="14" t="s">
        <v>1242</v>
      </c>
      <c r="B111" s="116" t="s">
        <v>1243</v>
      </c>
      <c r="C111" s="116" t="s">
        <v>1456</v>
      </c>
      <c r="D111" s="117">
        <v>8011</v>
      </c>
      <c r="E111" s="120">
        <v>0</v>
      </c>
      <c r="F111" s="117">
        <v>3894</v>
      </c>
      <c r="G111" s="120">
        <v>0</v>
      </c>
      <c r="H111" s="117">
        <v>167</v>
      </c>
      <c r="I111" s="120">
        <v>0</v>
      </c>
      <c r="J111" s="117">
        <v>0</v>
      </c>
      <c r="K111" s="120">
        <v>0</v>
      </c>
      <c r="L111" s="117">
        <v>0</v>
      </c>
      <c r="M111" s="120">
        <v>0</v>
      </c>
      <c r="N111" s="117">
        <v>2343</v>
      </c>
      <c r="O111" s="120">
        <v>1774</v>
      </c>
      <c r="P111" s="117">
        <v>0</v>
      </c>
      <c r="Q111" s="120">
        <v>0</v>
      </c>
      <c r="R111" s="117">
        <v>0</v>
      </c>
      <c r="S111" s="120">
        <v>0</v>
      </c>
      <c r="T111" s="117">
        <v>0</v>
      </c>
      <c r="U111" s="119">
        <v>0</v>
      </c>
      <c r="V111" t="e">
        <f>VLOOKUP(A111,Projetos_Ciclo!$H$2:$H$315,1,FALSE)</f>
        <v>#N/A</v>
      </c>
    </row>
    <row r="112" spans="1:22" x14ac:dyDescent="0.25">
      <c r="A112" s="111" t="s">
        <v>1545</v>
      </c>
      <c r="B112" s="112" t="s">
        <v>58</v>
      </c>
      <c r="C112" s="112" t="s">
        <v>1546</v>
      </c>
      <c r="D112" s="113">
        <v>0</v>
      </c>
      <c r="E112" s="114">
        <v>0</v>
      </c>
      <c r="F112" s="113">
        <v>0</v>
      </c>
      <c r="G112" s="114">
        <v>110</v>
      </c>
      <c r="H112" s="113">
        <v>0</v>
      </c>
      <c r="I112" s="114">
        <v>0</v>
      </c>
      <c r="J112" s="113">
        <v>0</v>
      </c>
      <c r="K112" s="114">
        <v>0</v>
      </c>
      <c r="L112" s="113">
        <v>18.359859466552734</v>
      </c>
      <c r="M112" s="114">
        <v>18.359859466552734</v>
      </c>
      <c r="N112" s="113">
        <v>0</v>
      </c>
      <c r="O112" s="114">
        <v>0</v>
      </c>
      <c r="P112" s="113">
        <v>0</v>
      </c>
      <c r="Q112" s="114">
        <v>0</v>
      </c>
      <c r="R112" s="113">
        <v>0</v>
      </c>
      <c r="S112" s="114">
        <v>0</v>
      </c>
      <c r="T112" s="113">
        <v>0</v>
      </c>
      <c r="U112" s="115">
        <v>0</v>
      </c>
      <c r="V112" t="str">
        <f>VLOOKUP(A112,Projetos_Ciclo!$H$2:$H$315,1,FALSE)</f>
        <v>GE01018</v>
      </c>
    </row>
    <row r="113" spans="1:22" x14ac:dyDescent="0.25">
      <c r="A113" s="14" t="s">
        <v>1596</v>
      </c>
      <c r="B113" s="116" t="s">
        <v>1732</v>
      </c>
      <c r="C113" s="116" t="s">
        <v>1733</v>
      </c>
      <c r="D113" s="117">
        <v>0</v>
      </c>
      <c r="E113" s="120">
        <v>0</v>
      </c>
      <c r="F113" s="117">
        <v>0</v>
      </c>
      <c r="G113" s="120">
        <v>81</v>
      </c>
      <c r="H113" s="117">
        <v>0</v>
      </c>
      <c r="I113" s="120">
        <v>0</v>
      </c>
      <c r="J113" s="117">
        <v>0</v>
      </c>
      <c r="K113" s="120">
        <v>0</v>
      </c>
      <c r="L113" s="117">
        <v>63.748771667480469</v>
      </c>
      <c r="M113" s="120">
        <v>63.748771667480469</v>
      </c>
      <c r="N113" s="117">
        <v>0</v>
      </c>
      <c r="O113" s="120">
        <v>0</v>
      </c>
      <c r="P113" s="117">
        <v>0</v>
      </c>
      <c r="Q113" s="120">
        <v>0</v>
      </c>
      <c r="R113" s="117">
        <v>0</v>
      </c>
      <c r="S113" s="120">
        <v>0</v>
      </c>
      <c r="T113" s="117">
        <v>0</v>
      </c>
      <c r="U113" s="119">
        <v>0</v>
      </c>
      <c r="V113" t="str">
        <f>VLOOKUP(A113,Projetos_Ciclo!$H$2:$H$315,1,FALSE)</f>
        <v>GE01118</v>
      </c>
    </row>
    <row r="114" spans="1:22" x14ac:dyDescent="0.25">
      <c r="A114" s="111" t="s">
        <v>1897</v>
      </c>
      <c r="B114" s="112" t="s">
        <v>1916</v>
      </c>
      <c r="C114" s="112" t="s">
        <v>1898</v>
      </c>
      <c r="D114" s="113">
        <v>0</v>
      </c>
      <c r="E114" s="114">
        <v>0</v>
      </c>
      <c r="F114" s="113">
        <v>0</v>
      </c>
      <c r="G114" s="114">
        <v>25</v>
      </c>
      <c r="H114" s="113">
        <v>0</v>
      </c>
      <c r="I114" s="114">
        <v>0</v>
      </c>
      <c r="J114" s="113">
        <v>0</v>
      </c>
      <c r="K114" s="114">
        <v>0</v>
      </c>
      <c r="L114" s="113">
        <v>0</v>
      </c>
      <c r="M114" s="114">
        <v>0</v>
      </c>
      <c r="N114" s="113">
        <v>0</v>
      </c>
      <c r="O114" s="114">
        <v>0</v>
      </c>
      <c r="P114" s="113">
        <v>0</v>
      </c>
      <c r="Q114" s="114">
        <v>0</v>
      </c>
      <c r="R114" s="113">
        <v>0</v>
      </c>
      <c r="S114" s="114">
        <v>0</v>
      </c>
      <c r="T114" s="113">
        <v>0</v>
      </c>
      <c r="U114" s="115">
        <v>0</v>
      </c>
      <c r="V114" t="str">
        <f>VLOOKUP(A114,Projetos_Ciclo!$H$2:$H$315,1,FALSE)</f>
        <v>GE01418</v>
      </c>
    </row>
    <row r="115" spans="1:22" x14ac:dyDescent="0.25">
      <c r="A115" s="14" t="s">
        <v>1844</v>
      </c>
      <c r="B115" s="116" t="s">
        <v>1874</v>
      </c>
      <c r="C115" s="116" t="s">
        <v>1845</v>
      </c>
      <c r="D115" s="117">
        <v>0</v>
      </c>
      <c r="E115" s="120">
        <v>0</v>
      </c>
      <c r="F115" s="117">
        <v>0</v>
      </c>
      <c r="G115" s="120">
        <v>114</v>
      </c>
      <c r="H115" s="117">
        <v>0</v>
      </c>
      <c r="I115" s="120">
        <v>0</v>
      </c>
      <c r="J115" s="117">
        <v>0</v>
      </c>
      <c r="K115" s="120">
        <v>0</v>
      </c>
      <c r="L115" s="117">
        <v>0</v>
      </c>
      <c r="M115" s="120">
        <v>0</v>
      </c>
      <c r="N115" s="117">
        <v>0</v>
      </c>
      <c r="O115" s="120">
        <v>0</v>
      </c>
      <c r="P115" s="117">
        <v>0</v>
      </c>
      <c r="Q115" s="120">
        <v>0</v>
      </c>
      <c r="R115" s="117">
        <v>0</v>
      </c>
      <c r="S115" s="120">
        <v>0</v>
      </c>
      <c r="T115" s="117">
        <v>0</v>
      </c>
      <c r="U115" s="119">
        <v>0</v>
      </c>
      <c r="V115" t="str">
        <f>VLOOKUP(A115,Projetos_Ciclo!$H$2:$H$315,1,FALSE)</f>
        <v>MS00118</v>
      </c>
    </row>
    <row r="116" spans="1:22" x14ac:dyDescent="0.25">
      <c r="A116" s="111" t="s">
        <v>520</v>
      </c>
      <c r="B116" s="112" t="s">
        <v>1137</v>
      </c>
      <c r="C116" s="112" t="s">
        <v>57</v>
      </c>
      <c r="D116" s="113">
        <v>30075</v>
      </c>
      <c r="E116" s="114">
        <v>0</v>
      </c>
      <c r="F116" s="113">
        <v>0</v>
      </c>
      <c r="G116" s="114">
        <v>0</v>
      </c>
      <c r="H116" s="113">
        <v>0</v>
      </c>
      <c r="I116" s="114">
        <v>0</v>
      </c>
      <c r="J116" s="113">
        <v>0</v>
      </c>
      <c r="K116" s="114">
        <v>0</v>
      </c>
      <c r="L116" s="113">
        <v>0</v>
      </c>
      <c r="M116" s="114">
        <v>0</v>
      </c>
      <c r="N116" s="113">
        <v>6360</v>
      </c>
      <c r="O116" s="114">
        <v>8062</v>
      </c>
      <c r="P116" s="113">
        <v>9596</v>
      </c>
      <c r="Q116" s="114">
        <v>6057</v>
      </c>
      <c r="R116" s="113">
        <v>0</v>
      </c>
      <c r="S116" s="114">
        <v>0</v>
      </c>
      <c r="T116" s="113">
        <v>0</v>
      </c>
      <c r="U116" s="115">
        <v>0</v>
      </c>
      <c r="V116" t="str">
        <f>VLOOKUP(A116,Projetos_Ciclo!$H$2:$H$315,1,FALSE)</f>
        <v>NA</v>
      </c>
    </row>
    <row r="117" spans="1:22" x14ac:dyDescent="0.25">
      <c r="A117" s="14" t="s">
        <v>1457</v>
      </c>
      <c r="B117" s="116" t="s">
        <v>1458</v>
      </c>
      <c r="C117" s="116" t="s">
        <v>1459</v>
      </c>
      <c r="D117" s="117">
        <v>0</v>
      </c>
      <c r="E117" s="120">
        <v>0</v>
      </c>
      <c r="F117" s="117">
        <v>0</v>
      </c>
      <c r="G117" s="120">
        <v>124</v>
      </c>
      <c r="H117" s="117">
        <v>0</v>
      </c>
      <c r="I117" s="120">
        <v>0</v>
      </c>
      <c r="J117" s="117">
        <v>0</v>
      </c>
      <c r="K117" s="120">
        <v>0</v>
      </c>
      <c r="L117" s="117">
        <v>103.1910982131958</v>
      </c>
      <c r="M117" s="120">
        <v>103.1910982131958</v>
      </c>
      <c r="N117" s="117">
        <v>0</v>
      </c>
      <c r="O117" s="120">
        <v>0</v>
      </c>
      <c r="P117" s="117">
        <v>0</v>
      </c>
      <c r="Q117" s="120">
        <v>0</v>
      </c>
      <c r="R117" s="117">
        <v>0</v>
      </c>
      <c r="S117" s="120">
        <v>0</v>
      </c>
      <c r="T117" s="117">
        <v>0</v>
      </c>
      <c r="U117" s="119">
        <v>0</v>
      </c>
      <c r="V117" t="str">
        <f>VLOOKUP(A117,Projetos_Ciclo!$H$2:$H$315,1,FALSE)</f>
        <v>RH00118</v>
      </c>
    </row>
    <row r="118" spans="1:22" x14ac:dyDescent="0.25">
      <c r="A118" s="111" t="s">
        <v>1093</v>
      </c>
      <c r="B118" s="112" t="s">
        <v>443</v>
      </c>
      <c r="C118" s="112" t="s">
        <v>1245</v>
      </c>
      <c r="D118" s="113">
        <v>0</v>
      </c>
      <c r="E118" s="114">
        <v>0</v>
      </c>
      <c r="F118" s="113">
        <v>0</v>
      </c>
      <c r="G118" s="114">
        <v>52</v>
      </c>
      <c r="H118" s="113">
        <v>0</v>
      </c>
      <c r="I118" s="114">
        <v>0</v>
      </c>
      <c r="J118" s="113">
        <v>0</v>
      </c>
      <c r="K118" s="114">
        <v>0</v>
      </c>
      <c r="L118" s="113">
        <v>51</v>
      </c>
      <c r="M118" s="114">
        <v>51</v>
      </c>
      <c r="N118" s="113">
        <v>0</v>
      </c>
      <c r="O118" s="114">
        <v>0</v>
      </c>
      <c r="P118" s="113">
        <v>0</v>
      </c>
      <c r="Q118" s="114">
        <v>0</v>
      </c>
      <c r="R118" s="113">
        <v>0</v>
      </c>
      <c r="S118" s="114">
        <v>0</v>
      </c>
      <c r="T118" s="113">
        <v>0</v>
      </c>
      <c r="U118" s="115">
        <v>0</v>
      </c>
      <c r="V118" t="str">
        <f>VLOOKUP(A118,Projetos_Ciclo!$H$2:$H$315,1,FALSE)</f>
        <v>SC00117</v>
      </c>
    </row>
    <row r="119" spans="1:22" x14ac:dyDescent="0.25">
      <c r="A119" s="14" t="s">
        <v>1092</v>
      </c>
      <c r="B119" s="116" t="s">
        <v>1522</v>
      </c>
      <c r="C119" s="116" t="s">
        <v>1425</v>
      </c>
      <c r="D119" s="117">
        <v>0</v>
      </c>
      <c r="E119" s="120">
        <v>0</v>
      </c>
      <c r="F119" s="117">
        <v>0</v>
      </c>
      <c r="G119" s="120">
        <v>30</v>
      </c>
      <c r="H119" s="117">
        <v>0</v>
      </c>
      <c r="I119" s="120">
        <v>0</v>
      </c>
      <c r="J119" s="117">
        <v>0</v>
      </c>
      <c r="K119" s="120">
        <v>0</v>
      </c>
      <c r="L119" s="117">
        <v>0</v>
      </c>
      <c r="M119" s="120">
        <v>0</v>
      </c>
      <c r="N119" s="117">
        <v>0</v>
      </c>
      <c r="O119" s="120">
        <v>0</v>
      </c>
      <c r="P119" s="117">
        <v>0</v>
      </c>
      <c r="Q119" s="120">
        <v>0</v>
      </c>
      <c r="R119" s="117">
        <v>0</v>
      </c>
      <c r="S119" s="120">
        <v>0</v>
      </c>
      <c r="T119" s="117">
        <v>0</v>
      </c>
      <c r="U119" s="119">
        <v>0</v>
      </c>
      <c r="V119" t="str">
        <f>VLOOKUP(A119,Projetos_Ciclo!$H$2:$H$315,1,FALSE)</f>
        <v>SC00118</v>
      </c>
    </row>
    <row r="120" spans="1:22" x14ac:dyDescent="0.25">
      <c r="A120" s="111" t="s">
        <v>1472</v>
      </c>
      <c r="B120" s="112" t="s">
        <v>1523</v>
      </c>
      <c r="C120" s="112" t="s">
        <v>1473</v>
      </c>
      <c r="D120" s="113">
        <v>0</v>
      </c>
      <c r="E120" s="114">
        <v>0</v>
      </c>
      <c r="F120" s="113">
        <v>0</v>
      </c>
      <c r="G120" s="114">
        <v>153</v>
      </c>
      <c r="H120" s="113">
        <v>0</v>
      </c>
      <c r="I120" s="114">
        <v>78.618400573730469</v>
      </c>
      <c r="J120" s="113">
        <v>0</v>
      </c>
      <c r="K120" s="114">
        <v>78.618400573730469</v>
      </c>
      <c r="L120" s="113">
        <v>50.271249771118164</v>
      </c>
      <c r="M120" s="114">
        <v>128.88965034484863</v>
      </c>
      <c r="N120" s="113">
        <v>0</v>
      </c>
      <c r="O120" s="114">
        <v>0</v>
      </c>
      <c r="P120" s="113">
        <v>0</v>
      </c>
      <c r="Q120" s="114">
        <v>0</v>
      </c>
      <c r="R120" s="113">
        <v>0</v>
      </c>
      <c r="S120" s="114">
        <v>0</v>
      </c>
      <c r="T120" s="113">
        <v>0</v>
      </c>
      <c r="U120" s="115">
        <v>0</v>
      </c>
      <c r="V120" t="str">
        <f>VLOOKUP(A120,Projetos_Ciclo!$H$2:$H$315,1,FALSE)</f>
        <v>SC00418</v>
      </c>
    </row>
    <row r="121" spans="1:22" x14ac:dyDescent="0.25">
      <c r="A121" s="14" t="s">
        <v>1551</v>
      </c>
      <c r="B121" s="116" t="s">
        <v>1570</v>
      </c>
      <c r="C121" s="116" t="s">
        <v>1552</v>
      </c>
      <c r="D121" s="117">
        <v>0</v>
      </c>
      <c r="E121" s="120">
        <v>0</v>
      </c>
      <c r="F121" s="117">
        <v>0</v>
      </c>
      <c r="G121" s="120">
        <v>23</v>
      </c>
      <c r="H121" s="117">
        <v>0</v>
      </c>
      <c r="I121" s="120">
        <v>0</v>
      </c>
      <c r="J121" s="117">
        <v>0</v>
      </c>
      <c r="K121" s="120">
        <v>0</v>
      </c>
      <c r="L121" s="117">
        <v>21.78000020980835</v>
      </c>
      <c r="M121" s="120">
        <v>21.78000020980835</v>
      </c>
      <c r="N121" s="117">
        <v>0</v>
      </c>
      <c r="O121" s="120">
        <v>0</v>
      </c>
      <c r="P121" s="117">
        <v>0</v>
      </c>
      <c r="Q121" s="120">
        <v>0</v>
      </c>
      <c r="R121" s="117">
        <v>0</v>
      </c>
      <c r="S121" s="120">
        <v>0</v>
      </c>
      <c r="T121" s="117">
        <v>0</v>
      </c>
      <c r="U121" s="119">
        <v>0</v>
      </c>
      <c r="V121" t="str">
        <f>VLOOKUP(A121,Projetos_Ciclo!$H$2:$H$315,1,FALSE)</f>
        <v>SC00518</v>
      </c>
    </row>
    <row r="122" spans="1:22" x14ac:dyDescent="0.25">
      <c r="A122" s="111" t="s">
        <v>1580</v>
      </c>
      <c r="B122" s="112" t="s">
        <v>1734</v>
      </c>
      <c r="C122" s="112" t="s">
        <v>1581</v>
      </c>
      <c r="D122" s="113">
        <v>0</v>
      </c>
      <c r="E122" s="114">
        <v>0</v>
      </c>
      <c r="F122" s="113">
        <v>0</v>
      </c>
      <c r="G122" s="114">
        <v>1209</v>
      </c>
      <c r="H122" s="113">
        <v>0</v>
      </c>
      <c r="I122" s="114">
        <v>0</v>
      </c>
      <c r="J122" s="113">
        <v>0</v>
      </c>
      <c r="K122" s="114">
        <v>0</v>
      </c>
      <c r="L122" s="113">
        <v>1206</v>
      </c>
      <c r="M122" s="114">
        <v>1206</v>
      </c>
      <c r="N122" s="113">
        <v>0</v>
      </c>
      <c r="O122" s="114">
        <v>0</v>
      </c>
      <c r="P122" s="113">
        <v>0</v>
      </c>
      <c r="Q122" s="114">
        <v>0</v>
      </c>
      <c r="R122" s="113">
        <v>0</v>
      </c>
      <c r="S122" s="114">
        <v>0</v>
      </c>
      <c r="T122" s="113">
        <v>0</v>
      </c>
      <c r="U122" s="115">
        <v>0</v>
      </c>
      <c r="V122" t="str">
        <f>VLOOKUP(A122,Projetos_Ciclo!$H$2:$H$315,1,FALSE)</f>
        <v>SC00618</v>
      </c>
    </row>
    <row r="123" spans="1:22" x14ac:dyDescent="0.25">
      <c r="A123" s="14" t="s">
        <v>1582</v>
      </c>
      <c r="B123" s="116" t="s">
        <v>1584</v>
      </c>
      <c r="C123" s="116" t="s">
        <v>1583</v>
      </c>
      <c r="D123" s="117">
        <v>0</v>
      </c>
      <c r="E123" s="120">
        <v>0</v>
      </c>
      <c r="F123" s="117">
        <v>0</v>
      </c>
      <c r="G123" s="120">
        <v>16</v>
      </c>
      <c r="H123" s="117">
        <v>0</v>
      </c>
      <c r="I123" s="120">
        <v>10.799999952316284</v>
      </c>
      <c r="J123" s="117">
        <v>0</v>
      </c>
      <c r="K123" s="120">
        <v>10.799999952316284</v>
      </c>
      <c r="L123" s="117">
        <v>0</v>
      </c>
      <c r="M123" s="120">
        <v>10.799999952316284</v>
      </c>
      <c r="N123" s="117">
        <v>0</v>
      </c>
      <c r="O123" s="120">
        <v>0</v>
      </c>
      <c r="P123" s="117">
        <v>0</v>
      </c>
      <c r="Q123" s="120">
        <v>0</v>
      </c>
      <c r="R123" s="117">
        <v>0</v>
      </c>
      <c r="S123" s="120">
        <v>0</v>
      </c>
      <c r="T123" s="117">
        <v>0</v>
      </c>
      <c r="U123" s="119">
        <v>0</v>
      </c>
      <c r="V123" t="str">
        <f>VLOOKUP(A123,Projetos_Ciclo!$H$2:$H$315,1,FALSE)</f>
        <v>SC00718</v>
      </c>
    </row>
    <row r="124" spans="1:22" x14ac:dyDescent="0.25">
      <c r="A124" s="111" t="s">
        <v>1830</v>
      </c>
      <c r="B124" s="112" t="s">
        <v>1847</v>
      </c>
      <c r="C124" s="112" t="s">
        <v>1831</v>
      </c>
      <c r="D124" s="113">
        <v>0</v>
      </c>
      <c r="E124" s="114">
        <v>0</v>
      </c>
      <c r="F124" s="113">
        <v>0</v>
      </c>
      <c r="G124" s="114">
        <v>7</v>
      </c>
      <c r="H124" s="113">
        <v>0</v>
      </c>
      <c r="I124" s="114">
        <v>2.8900001049041748</v>
      </c>
      <c r="J124" s="113">
        <v>0</v>
      </c>
      <c r="K124" s="114">
        <v>2.8900001049041748</v>
      </c>
      <c r="L124" s="113">
        <v>0</v>
      </c>
      <c r="M124" s="114">
        <v>2.8900001049041748</v>
      </c>
      <c r="N124" s="113">
        <v>0</v>
      </c>
      <c r="O124" s="114">
        <v>0</v>
      </c>
      <c r="P124" s="113">
        <v>0</v>
      </c>
      <c r="Q124" s="114">
        <v>0</v>
      </c>
      <c r="R124" s="113">
        <v>0</v>
      </c>
      <c r="S124" s="114">
        <v>0</v>
      </c>
      <c r="T124" s="113">
        <v>0</v>
      </c>
      <c r="U124" s="115">
        <v>0</v>
      </c>
      <c r="V124" t="str">
        <f>VLOOKUP(A124,Projetos_Ciclo!$H$2:$H$315,1,FALSE)</f>
        <v>SC00818</v>
      </c>
    </row>
    <row r="125" spans="1:22" x14ac:dyDescent="0.25">
      <c r="A125" s="14" t="s">
        <v>1828</v>
      </c>
      <c r="B125" s="116" t="s">
        <v>1848</v>
      </c>
      <c r="C125" s="116" t="s">
        <v>1935</v>
      </c>
      <c r="D125" s="117">
        <v>0</v>
      </c>
      <c r="E125" s="120">
        <v>0</v>
      </c>
      <c r="F125" s="117">
        <v>0</v>
      </c>
      <c r="G125" s="120">
        <v>9</v>
      </c>
      <c r="H125" s="117">
        <v>0</v>
      </c>
      <c r="I125" s="120">
        <v>0</v>
      </c>
      <c r="J125" s="117">
        <v>0</v>
      </c>
      <c r="K125" s="120">
        <v>0</v>
      </c>
      <c r="L125" s="117">
        <v>9.25</v>
      </c>
      <c r="M125" s="120">
        <v>9.25</v>
      </c>
      <c r="N125" s="117">
        <v>0</v>
      </c>
      <c r="O125" s="120">
        <v>0</v>
      </c>
      <c r="P125" s="117">
        <v>0</v>
      </c>
      <c r="Q125" s="120">
        <v>0</v>
      </c>
      <c r="R125" s="117">
        <v>0</v>
      </c>
      <c r="S125" s="120">
        <v>0</v>
      </c>
      <c r="T125" s="117">
        <v>0</v>
      </c>
      <c r="U125" s="119">
        <v>0</v>
      </c>
      <c r="V125" t="str">
        <f>VLOOKUP(A125,Projetos_Ciclo!$H$2:$H$315,1,FALSE)</f>
        <v>SC00918</v>
      </c>
    </row>
    <row r="126" spans="1:22" x14ac:dyDescent="0.25">
      <c r="A126" s="111" t="s">
        <v>1138</v>
      </c>
      <c r="B126" s="112" t="s">
        <v>1139</v>
      </c>
      <c r="C126" s="112" t="s">
        <v>57</v>
      </c>
      <c r="D126" s="113">
        <v>2365.5</v>
      </c>
      <c r="E126" s="114">
        <v>0</v>
      </c>
      <c r="F126" s="113">
        <v>0</v>
      </c>
      <c r="G126" s="114">
        <v>0</v>
      </c>
      <c r="H126" s="113">
        <v>0</v>
      </c>
      <c r="I126" s="114">
        <v>0</v>
      </c>
      <c r="J126" s="113">
        <v>0</v>
      </c>
      <c r="K126" s="114">
        <v>0</v>
      </c>
      <c r="L126" s="113">
        <v>0</v>
      </c>
      <c r="M126" s="114">
        <v>0</v>
      </c>
      <c r="N126" s="113">
        <v>0</v>
      </c>
      <c r="O126" s="114">
        <v>0</v>
      </c>
      <c r="P126" s="113">
        <v>0</v>
      </c>
      <c r="Q126" s="114">
        <v>0</v>
      </c>
      <c r="R126" s="113">
        <v>0</v>
      </c>
      <c r="S126" s="114">
        <v>0</v>
      </c>
      <c r="T126" s="113">
        <v>0</v>
      </c>
      <c r="U126" s="115">
        <v>0</v>
      </c>
      <c r="V126" t="e">
        <f>VLOOKUP(A126,Projetos_Ciclo!$H$2:$H$315,1,FALSE)</f>
        <v>#N/A</v>
      </c>
    </row>
    <row r="127" spans="1:22" x14ac:dyDescent="0.25">
      <c r="A127" s="14" t="s">
        <v>1476</v>
      </c>
      <c r="B127" s="116" t="s">
        <v>1486</v>
      </c>
      <c r="C127" s="116" t="s">
        <v>1477</v>
      </c>
      <c r="D127" s="117">
        <v>0</v>
      </c>
      <c r="E127" s="120">
        <v>0</v>
      </c>
      <c r="F127" s="117">
        <v>0</v>
      </c>
      <c r="G127" s="120">
        <v>20</v>
      </c>
      <c r="H127" s="117">
        <v>0</v>
      </c>
      <c r="I127" s="120">
        <v>11.725610017776489</v>
      </c>
      <c r="J127" s="117">
        <v>0</v>
      </c>
      <c r="K127" s="120">
        <v>11.725610017776489</v>
      </c>
      <c r="L127" s="117">
        <v>0</v>
      </c>
      <c r="M127" s="120">
        <v>11.725610017776489</v>
      </c>
      <c r="N127" s="117">
        <v>0</v>
      </c>
      <c r="O127" s="120">
        <v>0</v>
      </c>
      <c r="P127" s="117">
        <v>0</v>
      </c>
      <c r="Q127" s="120">
        <v>0</v>
      </c>
      <c r="R127" s="117">
        <v>0</v>
      </c>
      <c r="S127" s="120">
        <v>0</v>
      </c>
      <c r="T127" s="117">
        <v>0</v>
      </c>
      <c r="U127" s="119">
        <v>0</v>
      </c>
      <c r="V127" t="str">
        <f>VLOOKUP(A127,Projetos_Ciclo!$H$2:$H$315,1,FALSE)</f>
        <v>TI05018</v>
      </c>
    </row>
    <row r="128" spans="1:22" x14ac:dyDescent="0.25">
      <c r="A128" s="111" t="s">
        <v>1133</v>
      </c>
      <c r="B128" s="112" t="s">
        <v>1246</v>
      </c>
      <c r="C128" s="112" t="s">
        <v>57</v>
      </c>
      <c r="D128" s="113">
        <v>0</v>
      </c>
      <c r="E128" s="114">
        <v>0</v>
      </c>
      <c r="F128" s="113">
        <v>0</v>
      </c>
      <c r="G128" s="114">
        <v>0</v>
      </c>
      <c r="H128" s="113">
        <v>0</v>
      </c>
      <c r="I128" s="114">
        <v>0</v>
      </c>
      <c r="J128" s="113">
        <v>0</v>
      </c>
      <c r="K128" s="114">
        <v>0</v>
      </c>
      <c r="L128" s="113">
        <v>0</v>
      </c>
      <c r="M128" s="114">
        <v>0</v>
      </c>
      <c r="N128" s="113">
        <v>0</v>
      </c>
      <c r="O128" s="114">
        <v>0</v>
      </c>
      <c r="P128" s="113">
        <v>0</v>
      </c>
      <c r="Q128" s="114">
        <v>0</v>
      </c>
      <c r="R128" s="113">
        <v>0</v>
      </c>
      <c r="S128" s="114">
        <v>0</v>
      </c>
      <c r="T128" s="113">
        <v>0</v>
      </c>
      <c r="U128" s="115">
        <v>0</v>
      </c>
      <c r="V128" t="e">
        <f>VLOOKUP(A128,Projetos_Ciclo!$H$2:$H$315,1,FALSE)</f>
        <v>#N/A</v>
      </c>
    </row>
    <row r="129" spans="1:22" x14ac:dyDescent="0.25">
      <c r="A129" s="14" t="s">
        <v>1135</v>
      </c>
      <c r="B129" s="116" t="s">
        <v>1136</v>
      </c>
      <c r="C129" s="116" t="s">
        <v>57</v>
      </c>
      <c r="D129" s="117">
        <v>0</v>
      </c>
      <c r="E129" s="120">
        <v>0</v>
      </c>
      <c r="F129" s="117">
        <v>0</v>
      </c>
      <c r="G129" s="120">
        <v>0</v>
      </c>
      <c r="H129" s="117">
        <v>0</v>
      </c>
      <c r="I129" s="120">
        <v>0</v>
      </c>
      <c r="J129" s="117">
        <v>0</v>
      </c>
      <c r="K129" s="120">
        <v>0</v>
      </c>
      <c r="L129" s="117">
        <v>0</v>
      </c>
      <c r="M129" s="120">
        <v>0</v>
      </c>
      <c r="N129" s="117">
        <v>0</v>
      </c>
      <c r="O129" s="120">
        <v>0</v>
      </c>
      <c r="P129" s="117">
        <v>0</v>
      </c>
      <c r="Q129" s="120">
        <v>0</v>
      </c>
      <c r="R129" s="117">
        <v>0</v>
      </c>
      <c r="S129" s="120">
        <v>0</v>
      </c>
      <c r="T129" s="117">
        <v>0</v>
      </c>
      <c r="U129" s="119">
        <v>0</v>
      </c>
      <c r="V129" t="e">
        <f>VLOOKUP(A129,Projetos_Ciclo!$H$2:$H$315,1,FALSE)</f>
        <v>#N/A</v>
      </c>
    </row>
    <row r="130" spans="1:22" x14ac:dyDescent="0.25">
      <c r="A130" s="111" t="s">
        <v>520</v>
      </c>
      <c r="B130" s="112" t="s">
        <v>1137</v>
      </c>
      <c r="C130" s="112" t="s">
        <v>57</v>
      </c>
      <c r="D130" s="113">
        <v>30051</v>
      </c>
      <c r="E130" s="114">
        <v>0</v>
      </c>
      <c r="F130" s="113">
        <v>0</v>
      </c>
      <c r="G130" s="114">
        <v>0</v>
      </c>
      <c r="H130" s="113">
        <v>0</v>
      </c>
      <c r="I130" s="114">
        <v>0</v>
      </c>
      <c r="J130" s="113">
        <v>0</v>
      </c>
      <c r="K130" s="114">
        <v>0</v>
      </c>
      <c r="L130" s="113">
        <v>0</v>
      </c>
      <c r="M130" s="114">
        <v>0</v>
      </c>
      <c r="N130" s="113">
        <v>5003</v>
      </c>
      <c r="O130" s="114">
        <v>8113</v>
      </c>
      <c r="P130" s="113">
        <v>9847</v>
      </c>
      <c r="Q130" s="114">
        <v>7088</v>
      </c>
      <c r="R130" s="113">
        <v>0</v>
      </c>
      <c r="S130" s="114">
        <v>0</v>
      </c>
      <c r="T130" s="113">
        <v>0</v>
      </c>
      <c r="U130" s="115">
        <v>0</v>
      </c>
      <c r="V130" t="str">
        <f>VLOOKUP(A130,Projetos_Ciclo!$H$2:$H$315,1,FALSE)</f>
        <v>NA</v>
      </c>
    </row>
    <row r="131" spans="1:22" x14ac:dyDescent="0.25">
      <c r="A131" s="14" t="s">
        <v>1138</v>
      </c>
      <c r="B131" s="116" t="s">
        <v>1139</v>
      </c>
      <c r="C131" s="116" t="s">
        <v>57</v>
      </c>
      <c r="D131" s="117">
        <v>-1</v>
      </c>
      <c r="E131" s="120">
        <v>0</v>
      </c>
      <c r="F131" s="117">
        <v>0</v>
      </c>
      <c r="G131" s="120">
        <v>0</v>
      </c>
      <c r="H131" s="117">
        <v>0</v>
      </c>
      <c r="I131" s="120">
        <v>0</v>
      </c>
      <c r="J131" s="117">
        <v>0</v>
      </c>
      <c r="K131" s="120">
        <v>0</v>
      </c>
      <c r="L131" s="117">
        <v>0</v>
      </c>
      <c r="M131" s="120">
        <v>0</v>
      </c>
      <c r="N131" s="117">
        <v>0</v>
      </c>
      <c r="O131" s="120">
        <v>0</v>
      </c>
      <c r="P131" s="117">
        <v>0</v>
      </c>
      <c r="Q131" s="120">
        <v>0</v>
      </c>
      <c r="R131" s="117">
        <v>0</v>
      </c>
      <c r="S131" s="120">
        <v>0</v>
      </c>
      <c r="T131" s="117">
        <v>0</v>
      </c>
      <c r="U131" s="119">
        <v>0</v>
      </c>
      <c r="V131" t="e">
        <f>VLOOKUP(A131,Projetos_Ciclo!$H$2:$H$315,1,FALSE)</f>
        <v>#N/A</v>
      </c>
    </row>
    <row r="132" spans="1:22" x14ac:dyDescent="0.25">
      <c r="A132" s="111" t="s">
        <v>1247</v>
      </c>
      <c r="B132" s="112" t="s">
        <v>1248</v>
      </c>
      <c r="C132" s="112" t="s">
        <v>1249</v>
      </c>
      <c r="D132" s="113">
        <v>4512</v>
      </c>
      <c r="E132" s="114">
        <v>0</v>
      </c>
      <c r="F132" s="113">
        <v>4112</v>
      </c>
      <c r="G132" s="114">
        <v>0</v>
      </c>
      <c r="H132" s="113">
        <v>0</v>
      </c>
      <c r="I132" s="114">
        <v>0</v>
      </c>
      <c r="J132" s="113">
        <v>0</v>
      </c>
      <c r="K132" s="114">
        <v>0</v>
      </c>
      <c r="L132" s="113">
        <v>0</v>
      </c>
      <c r="M132" s="114">
        <v>0</v>
      </c>
      <c r="N132" s="113">
        <v>200</v>
      </c>
      <c r="O132" s="114">
        <v>200</v>
      </c>
      <c r="P132" s="113">
        <v>0</v>
      </c>
      <c r="Q132" s="114">
        <v>0</v>
      </c>
      <c r="R132" s="113">
        <v>0</v>
      </c>
      <c r="S132" s="114">
        <v>0</v>
      </c>
      <c r="T132" s="113">
        <v>0</v>
      </c>
      <c r="U132" s="115">
        <v>0</v>
      </c>
      <c r="V132" t="e">
        <f>VLOOKUP(A132,Projetos_Ciclo!$H$2:$H$315,1,FALSE)</f>
        <v>#N/A</v>
      </c>
    </row>
    <row r="133" spans="1:22" x14ac:dyDescent="0.25">
      <c r="A133" s="14" t="s">
        <v>1131</v>
      </c>
      <c r="B133" s="116" t="s">
        <v>1250</v>
      </c>
      <c r="C133" s="116" t="s">
        <v>1132</v>
      </c>
      <c r="D133" s="117">
        <v>0</v>
      </c>
      <c r="E133" s="120">
        <v>0</v>
      </c>
      <c r="F133" s="117">
        <v>0</v>
      </c>
      <c r="G133" s="120">
        <v>367</v>
      </c>
      <c r="H133" s="117">
        <v>0</v>
      </c>
      <c r="I133" s="120">
        <v>0</v>
      </c>
      <c r="J133" s="117">
        <v>0</v>
      </c>
      <c r="K133" s="120">
        <v>0</v>
      </c>
      <c r="L133" s="117">
        <v>356.9999942779541</v>
      </c>
      <c r="M133" s="120">
        <v>356.9999942779541</v>
      </c>
      <c r="N133" s="117">
        <v>0</v>
      </c>
      <c r="O133" s="120">
        <v>0</v>
      </c>
      <c r="P133" s="117">
        <v>0</v>
      </c>
      <c r="Q133" s="120">
        <v>0</v>
      </c>
      <c r="R133" s="117">
        <v>0</v>
      </c>
      <c r="S133" s="120">
        <v>0</v>
      </c>
      <c r="T133" s="117">
        <v>0</v>
      </c>
      <c r="U133" s="119">
        <v>0</v>
      </c>
      <c r="V133" t="str">
        <f>VLOOKUP(A133,Projetos_Ciclo!$H$2:$H$315,1,FALSE)</f>
        <v>TI02918</v>
      </c>
    </row>
    <row r="134" spans="1:22" x14ac:dyDescent="0.25">
      <c r="A134" s="111" t="s">
        <v>1251</v>
      </c>
      <c r="B134" s="112" t="s">
        <v>1252</v>
      </c>
      <c r="C134" s="112" t="s">
        <v>1253</v>
      </c>
      <c r="D134" s="113">
        <v>0</v>
      </c>
      <c r="E134" s="114">
        <v>0</v>
      </c>
      <c r="F134" s="113">
        <v>0</v>
      </c>
      <c r="G134" s="114">
        <v>108</v>
      </c>
      <c r="H134" s="113">
        <v>0</v>
      </c>
      <c r="I134" s="114">
        <v>16.879440307617187</v>
      </c>
      <c r="J134" s="113">
        <v>0</v>
      </c>
      <c r="K134" s="114">
        <v>16.879440307617187</v>
      </c>
      <c r="L134" s="113">
        <v>0</v>
      </c>
      <c r="M134" s="114">
        <v>16.879440307617187</v>
      </c>
      <c r="N134" s="113">
        <v>0</v>
      </c>
      <c r="O134" s="114">
        <v>0</v>
      </c>
      <c r="P134" s="113">
        <v>0</v>
      </c>
      <c r="Q134" s="114">
        <v>0</v>
      </c>
      <c r="R134" s="113">
        <v>0</v>
      </c>
      <c r="S134" s="114">
        <v>0</v>
      </c>
      <c r="T134" s="113">
        <v>0</v>
      </c>
      <c r="U134" s="115">
        <v>0</v>
      </c>
      <c r="V134" t="str">
        <f>VLOOKUP(A134,Projetos_Ciclo!$H$2:$H$315,1,FALSE)</f>
        <v>TI03118</v>
      </c>
    </row>
    <row r="135" spans="1:22" x14ac:dyDescent="0.25">
      <c r="A135" s="14" t="s">
        <v>1460</v>
      </c>
      <c r="B135" s="116" t="s">
        <v>944</v>
      </c>
      <c r="C135" s="116" t="s">
        <v>1461</v>
      </c>
      <c r="D135" s="117">
        <v>0</v>
      </c>
      <c r="E135" s="120">
        <v>0</v>
      </c>
      <c r="F135" s="117">
        <v>0</v>
      </c>
      <c r="G135" s="120">
        <v>200</v>
      </c>
      <c r="H135" s="117">
        <v>0</v>
      </c>
      <c r="I135" s="120">
        <v>0</v>
      </c>
      <c r="J135" s="117">
        <v>0</v>
      </c>
      <c r="K135" s="120">
        <v>0</v>
      </c>
      <c r="L135" s="117">
        <v>192.89999389648437</v>
      </c>
      <c r="M135" s="120">
        <v>192.89999389648437</v>
      </c>
      <c r="N135" s="117">
        <v>0</v>
      </c>
      <c r="O135" s="120">
        <v>0</v>
      </c>
      <c r="P135" s="117">
        <v>0</v>
      </c>
      <c r="Q135" s="120">
        <v>0</v>
      </c>
      <c r="R135" s="117">
        <v>0</v>
      </c>
      <c r="S135" s="120">
        <v>0</v>
      </c>
      <c r="T135" s="117">
        <v>0</v>
      </c>
      <c r="U135" s="119">
        <v>0</v>
      </c>
      <c r="V135" t="str">
        <f>VLOOKUP(A135,Projetos_Ciclo!$H$2:$H$315,1,FALSE)</f>
        <v>TI05118</v>
      </c>
    </row>
    <row r="136" spans="1:22" x14ac:dyDescent="0.25">
      <c r="A136" s="111" t="s">
        <v>1593</v>
      </c>
      <c r="B136" s="112" t="s">
        <v>689</v>
      </c>
      <c r="C136" s="112" t="s">
        <v>1594</v>
      </c>
      <c r="D136" s="113">
        <v>0</v>
      </c>
      <c r="E136" s="114">
        <v>0</v>
      </c>
      <c r="F136" s="113">
        <v>0</v>
      </c>
      <c r="G136" s="114">
        <v>2214</v>
      </c>
      <c r="H136" s="113">
        <v>0</v>
      </c>
      <c r="I136" s="114">
        <v>19.600669860839844</v>
      </c>
      <c r="J136" s="113">
        <v>0</v>
      </c>
      <c r="K136" s="114">
        <v>19.600669860839844</v>
      </c>
      <c r="L136" s="113">
        <v>486.5678918659687</v>
      </c>
      <c r="M136" s="114">
        <v>506.16856172680855</v>
      </c>
      <c r="N136" s="113">
        <v>0</v>
      </c>
      <c r="O136" s="114">
        <v>0</v>
      </c>
      <c r="P136" s="113">
        <v>0</v>
      </c>
      <c r="Q136" s="114">
        <v>0</v>
      </c>
      <c r="R136" s="113">
        <v>0</v>
      </c>
      <c r="S136" s="114">
        <v>0</v>
      </c>
      <c r="T136" s="113">
        <v>0</v>
      </c>
      <c r="U136" s="115">
        <v>0</v>
      </c>
      <c r="V136" t="str">
        <f>VLOOKUP(A136,Projetos_Ciclo!$H$2:$H$315,1,FALSE)</f>
        <v>TI05918</v>
      </c>
    </row>
    <row r="137" spans="1:22" x14ac:dyDescent="0.25">
      <c r="A137" s="14" t="s">
        <v>1799</v>
      </c>
      <c r="B137" s="116" t="s">
        <v>1800</v>
      </c>
      <c r="C137" s="116" t="s">
        <v>1801</v>
      </c>
      <c r="D137" s="117">
        <v>0</v>
      </c>
      <c r="E137" s="120">
        <v>0</v>
      </c>
      <c r="F137" s="117">
        <v>0</v>
      </c>
      <c r="G137" s="120">
        <v>80</v>
      </c>
      <c r="H137" s="117">
        <v>0</v>
      </c>
      <c r="I137" s="120">
        <v>0</v>
      </c>
      <c r="J137" s="117">
        <v>0</v>
      </c>
      <c r="K137" s="120">
        <v>0</v>
      </c>
      <c r="L137" s="117">
        <v>0</v>
      </c>
      <c r="M137" s="120">
        <v>0</v>
      </c>
      <c r="N137" s="117">
        <v>0</v>
      </c>
      <c r="O137" s="120">
        <v>0</v>
      </c>
      <c r="P137" s="117">
        <v>0</v>
      </c>
      <c r="Q137" s="120">
        <v>0</v>
      </c>
      <c r="R137" s="117">
        <v>0</v>
      </c>
      <c r="S137" s="120">
        <v>0</v>
      </c>
      <c r="T137" s="117">
        <v>0</v>
      </c>
      <c r="U137" s="119">
        <v>0</v>
      </c>
      <c r="V137" t="str">
        <f>VLOOKUP(A137,Projetos_Ciclo!$H$2:$H$315,1,FALSE)</f>
        <v>TI07318</v>
      </c>
    </row>
    <row r="138" spans="1:22" x14ac:dyDescent="0.25">
      <c r="A138" s="111" t="s">
        <v>1875</v>
      </c>
      <c r="B138" s="112" t="s">
        <v>1876</v>
      </c>
      <c r="C138" s="112" t="s">
        <v>1877</v>
      </c>
      <c r="D138" s="113">
        <v>0</v>
      </c>
      <c r="E138" s="114">
        <v>0</v>
      </c>
      <c r="F138" s="113">
        <v>0</v>
      </c>
      <c r="G138" s="114">
        <v>280</v>
      </c>
      <c r="H138" s="113">
        <v>0</v>
      </c>
      <c r="I138" s="114">
        <v>0</v>
      </c>
      <c r="J138" s="113">
        <v>0</v>
      </c>
      <c r="K138" s="114">
        <v>0</v>
      </c>
      <c r="L138" s="113">
        <v>271.89999544620514</v>
      </c>
      <c r="M138" s="114">
        <v>271.89999544620514</v>
      </c>
      <c r="N138" s="113">
        <v>0</v>
      </c>
      <c r="O138" s="114">
        <v>0</v>
      </c>
      <c r="P138" s="113">
        <v>0</v>
      </c>
      <c r="Q138" s="114">
        <v>0</v>
      </c>
      <c r="R138" s="113">
        <v>0</v>
      </c>
      <c r="S138" s="114">
        <v>0</v>
      </c>
      <c r="T138" s="113">
        <v>0</v>
      </c>
      <c r="U138" s="115">
        <v>0</v>
      </c>
      <c r="V138" t="str">
        <f>VLOOKUP(A138,Projetos_Ciclo!$H$2:$H$315,1,FALSE)</f>
        <v>TI07718</v>
      </c>
    </row>
    <row r="139" spans="1:22" x14ac:dyDescent="0.25">
      <c r="A139" s="14" t="s">
        <v>1838</v>
      </c>
      <c r="B139" s="116" t="s">
        <v>668</v>
      </c>
      <c r="C139" s="116" t="s">
        <v>1839</v>
      </c>
      <c r="D139" s="117">
        <v>0</v>
      </c>
      <c r="E139" s="120">
        <v>0</v>
      </c>
      <c r="F139" s="117">
        <v>0</v>
      </c>
      <c r="G139" s="120">
        <v>711</v>
      </c>
      <c r="H139" s="117">
        <v>0</v>
      </c>
      <c r="I139" s="120">
        <v>146.51003949344158</v>
      </c>
      <c r="J139" s="117">
        <v>0</v>
      </c>
      <c r="K139" s="120">
        <v>146.51003949344158</v>
      </c>
      <c r="L139" s="117">
        <v>0</v>
      </c>
      <c r="M139" s="120">
        <v>146.51003949344158</v>
      </c>
      <c r="N139" s="117">
        <v>0</v>
      </c>
      <c r="O139" s="120">
        <v>0</v>
      </c>
      <c r="P139" s="117">
        <v>0</v>
      </c>
      <c r="Q139" s="120">
        <v>0</v>
      </c>
      <c r="R139" s="117">
        <v>0</v>
      </c>
      <c r="S139" s="120">
        <v>0</v>
      </c>
      <c r="T139" s="117">
        <v>0</v>
      </c>
      <c r="U139" s="119">
        <v>0</v>
      </c>
      <c r="V139" t="str">
        <f>VLOOKUP(A139,Projetos_Ciclo!$H$2:$H$315,1,FALSE)</f>
        <v>TI07918</v>
      </c>
    </row>
    <row r="140" spans="1:22" x14ac:dyDescent="0.25">
      <c r="A140" s="111" t="s">
        <v>1133</v>
      </c>
      <c r="B140" s="112" t="s">
        <v>1254</v>
      </c>
      <c r="C140" s="112" t="s">
        <v>57</v>
      </c>
      <c r="D140" s="113">
        <v>0</v>
      </c>
      <c r="E140" s="114">
        <v>0</v>
      </c>
      <c r="F140" s="113">
        <v>0</v>
      </c>
      <c r="G140" s="114">
        <v>0</v>
      </c>
      <c r="H140" s="113">
        <v>0</v>
      </c>
      <c r="I140" s="114">
        <v>0</v>
      </c>
      <c r="J140" s="113">
        <v>0</v>
      </c>
      <c r="K140" s="114">
        <v>0</v>
      </c>
      <c r="L140" s="113">
        <v>0</v>
      </c>
      <c r="M140" s="114">
        <v>0</v>
      </c>
      <c r="N140" s="113">
        <v>0</v>
      </c>
      <c r="O140" s="114">
        <v>0</v>
      </c>
      <c r="P140" s="113">
        <v>0</v>
      </c>
      <c r="Q140" s="114">
        <v>0</v>
      </c>
      <c r="R140" s="113">
        <v>0</v>
      </c>
      <c r="S140" s="114">
        <v>0</v>
      </c>
      <c r="T140" s="113">
        <v>0</v>
      </c>
      <c r="U140" s="115">
        <v>0</v>
      </c>
      <c r="V140" t="e">
        <f>VLOOKUP(A140,Projetos_Ciclo!$H$2:$H$315,1,FALSE)</f>
        <v>#N/A</v>
      </c>
    </row>
    <row r="141" spans="1:22" x14ac:dyDescent="0.25">
      <c r="A141" s="14" t="s">
        <v>1135</v>
      </c>
      <c r="B141" s="116" t="s">
        <v>1136</v>
      </c>
      <c r="C141" s="116" t="s">
        <v>57</v>
      </c>
      <c r="D141" s="117">
        <v>0</v>
      </c>
      <c r="E141" s="120">
        <v>0</v>
      </c>
      <c r="F141" s="117">
        <v>0</v>
      </c>
      <c r="G141" s="120">
        <v>0</v>
      </c>
      <c r="H141" s="117">
        <v>0</v>
      </c>
      <c r="I141" s="120">
        <v>0</v>
      </c>
      <c r="J141" s="117">
        <v>0</v>
      </c>
      <c r="K141" s="120">
        <v>0</v>
      </c>
      <c r="L141" s="117">
        <v>0</v>
      </c>
      <c r="M141" s="120">
        <v>0</v>
      </c>
      <c r="N141" s="117">
        <v>0</v>
      </c>
      <c r="O141" s="120">
        <v>0</v>
      </c>
      <c r="P141" s="117">
        <v>0</v>
      </c>
      <c r="Q141" s="120">
        <v>0</v>
      </c>
      <c r="R141" s="117">
        <v>0</v>
      </c>
      <c r="S141" s="120">
        <v>0</v>
      </c>
      <c r="T141" s="117">
        <v>0</v>
      </c>
      <c r="U141" s="119">
        <v>0</v>
      </c>
      <c r="V141" t="e">
        <f>VLOOKUP(A141,Projetos_Ciclo!$H$2:$H$315,1,FALSE)</f>
        <v>#N/A</v>
      </c>
    </row>
    <row r="142" spans="1:22" x14ac:dyDescent="0.25">
      <c r="A142" s="111" t="s">
        <v>520</v>
      </c>
      <c r="B142" s="112" t="s">
        <v>1255</v>
      </c>
      <c r="C142" s="112" t="s">
        <v>57</v>
      </c>
      <c r="D142" s="113">
        <v>20900</v>
      </c>
      <c r="E142" s="114">
        <v>0</v>
      </c>
      <c r="F142" s="113">
        <v>0</v>
      </c>
      <c r="G142" s="114">
        <v>0</v>
      </c>
      <c r="H142" s="113">
        <v>0</v>
      </c>
      <c r="I142" s="114">
        <v>0</v>
      </c>
      <c r="J142" s="113">
        <v>0</v>
      </c>
      <c r="K142" s="114">
        <v>0</v>
      </c>
      <c r="L142" s="113">
        <v>0</v>
      </c>
      <c r="M142" s="114">
        <v>0</v>
      </c>
      <c r="N142" s="113">
        <v>15190</v>
      </c>
      <c r="O142" s="114">
        <v>2660</v>
      </c>
      <c r="P142" s="113">
        <v>390</v>
      </c>
      <c r="Q142" s="114">
        <v>2660</v>
      </c>
      <c r="R142" s="113">
        <v>0</v>
      </c>
      <c r="S142" s="114">
        <v>0</v>
      </c>
      <c r="T142" s="113">
        <v>0</v>
      </c>
      <c r="U142" s="115">
        <v>0</v>
      </c>
      <c r="V142" t="str">
        <f>VLOOKUP(A142,Projetos_Ciclo!$H$2:$H$315,1,FALSE)</f>
        <v>NA</v>
      </c>
    </row>
    <row r="143" spans="1:22" x14ac:dyDescent="0.25">
      <c r="A143" s="14" t="s">
        <v>1138</v>
      </c>
      <c r="B143" s="116" t="s">
        <v>1139</v>
      </c>
      <c r="C143" s="116" t="s">
        <v>57</v>
      </c>
      <c r="D143" s="117">
        <v>0</v>
      </c>
      <c r="E143" s="120">
        <v>0</v>
      </c>
      <c r="F143" s="117">
        <v>0</v>
      </c>
      <c r="G143" s="120">
        <v>0</v>
      </c>
      <c r="H143" s="117">
        <v>0</v>
      </c>
      <c r="I143" s="120">
        <v>0</v>
      </c>
      <c r="J143" s="117">
        <v>0</v>
      </c>
      <c r="K143" s="120">
        <v>0</v>
      </c>
      <c r="L143" s="117">
        <v>0</v>
      </c>
      <c r="M143" s="120">
        <v>0</v>
      </c>
      <c r="N143" s="117">
        <v>0</v>
      </c>
      <c r="O143" s="120">
        <v>0</v>
      </c>
      <c r="P143" s="117">
        <v>0</v>
      </c>
      <c r="Q143" s="120">
        <v>0</v>
      </c>
      <c r="R143" s="117">
        <v>0</v>
      </c>
      <c r="S143" s="120">
        <v>0</v>
      </c>
      <c r="T143" s="117">
        <v>0</v>
      </c>
      <c r="U143" s="119">
        <v>0</v>
      </c>
      <c r="V143" t="e">
        <f>VLOOKUP(A143,Projetos_Ciclo!$H$2:$H$315,1,FALSE)</f>
        <v>#N/A</v>
      </c>
    </row>
    <row r="144" spans="1:22" x14ac:dyDescent="0.25">
      <c r="A144" s="111" t="s">
        <v>1256</v>
      </c>
      <c r="B144" s="112" t="s">
        <v>1257</v>
      </c>
      <c r="C144" s="112" t="s">
        <v>1258</v>
      </c>
      <c r="D144" s="113">
        <v>4964</v>
      </c>
      <c r="E144" s="114">
        <v>0</v>
      </c>
      <c r="F144" s="113">
        <v>4684</v>
      </c>
      <c r="G144" s="114">
        <v>0</v>
      </c>
      <c r="H144" s="113">
        <v>0</v>
      </c>
      <c r="I144" s="114">
        <v>0</v>
      </c>
      <c r="J144" s="113">
        <v>0</v>
      </c>
      <c r="K144" s="114">
        <v>0</v>
      </c>
      <c r="L144" s="113">
        <v>0</v>
      </c>
      <c r="M144" s="114">
        <v>0</v>
      </c>
      <c r="N144" s="113">
        <v>280</v>
      </c>
      <c r="O144" s="114">
        <v>0</v>
      </c>
      <c r="P144" s="113">
        <v>0</v>
      </c>
      <c r="Q144" s="114">
        <v>0</v>
      </c>
      <c r="R144" s="113">
        <v>0</v>
      </c>
      <c r="S144" s="114">
        <v>0</v>
      </c>
      <c r="T144" s="113">
        <v>0</v>
      </c>
      <c r="U144" s="115">
        <v>0</v>
      </c>
      <c r="V144" t="e">
        <f>VLOOKUP(A144,Projetos_Ciclo!$H$2:$H$315,1,FALSE)</f>
        <v>#N/A</v>
      </c>
    </row>
    <row r="145" spans="1:22" x14ac:dyDescent="0.25">
      <c r="A145" s="14" t="s">
        <v>655</v>
      </c>
      <c r="B145" s="116" t="s">
        <v>1259</v>
      </c>
      <c r="C145" s="116" t="s">
        <v>1260</v>
      </c>
      <c r="D145" s="117">
        <v>0</v>
      </c>
      <c r="E145" s="120">
        <v>0</v>
      </c>
      <c r="F145" s="117">
        <v>0</v>
      </c>
      <c r="G145" s="120">
        <v>0</v>
      </c>
      <c r="H145" s="117">
        <v>0</v>
      </c>
      <c r="I145" s="120">
        <v>0</v>
      </c>
      <c r="J145" s="117">
        <v>0</v>
      </c>
      <c r="K145" s="120">
        <v>0</v>
      </c>
      <c r="L145" s="117">
        <v>0</v>
      </c>
      <c r="M145" s="120">
        <v>0</v>
      </c>
      <c r="N145" s="117">
        <v>0</v>
      </c>
      <c r="O145" s="120">
        <v>0</v>
      </c>
      <c r="P145" s="117">
        <v>0</v>
      </c>
      <c r="Q145" s="120">
        <v>0</v>
      </c>
      <c r="R145" s="117">
        <v>0</v>
      </c>
      <c r="S145" s="120">
        <v>0</v>
      </c>
      <c r="T145" s="117">
        <v>0</v>
      </c>
      <c r="U145" s="119">
        <v>0</v>
      </c>
      <c r="V145" t="str">
        <f>VLOOKUP(A145,Projetos_Ciclo!$H$2:$H$315,1,FALSE)</f>
        <v>TI01816</v>
      </c>
    </row>
    <row r="146" spans="1:22" x14ac:dyDescent="0.25">
      <c r="A146" s="111" t="s">
        <v>1401</v>
      </c>
      <c r="B146" s="112" t="s">
        <v>1402</v>
      </c>
      <c r="C146" s="112" t="s">
        <v>1403</v>
      </c>
      <c r="D146" s="113">
        <v>0</v>
      </c>
      <c r="E146" s="114">
        <v>0</v>
      </c>
      <c r="F146" s="113">
        <v>0</v>
      </c>
      <c r="G146" s="114">
        <v>4684</v>
      </c>
      <c r="H146" s="113">
        <v>0</v>
      </c>
      <c r="I146" s="114">
        <v>0</v>
      </c>
      <c r="J146" s="113">
        <v>0</v>
      </c>
      <c r="K146" s="114">
        <v>0</v>
      </c>
      <c r="L146" s="113">
        <v>4650.193359375</v>
      </c>
      <c r="M146" s="114">
        <v>4650.193359375</v>
      </c>
      <c r="N146" s="113">
        <v>0</v>
      </c>
      <c r="O146" s="114">
        <v>0</v>
      </c>
      <c r="P146" s="113">
        <v>0</v>
      </c>
      <c r="Q146" s="114">
        <v>0</v>
      </c>
      <c r="R146" s="113">
        <v>0</v>
      </c>
      <c r="S146" s="114">
        <v>0</v>
      </c>
      <c r="T146" s="113">
        <v>0</v>
      </c>
      <c r="U146" s="115">
        <v>0</v>
      </c>
      <c r="V146" t="str">
        <f>VLOOKUP(A146,Projetos_Ciclo!$H$2:$H$315,1,FALSE)</f>
        <v>TI04318</v>
      </c>
    </row>
    <row r="147" spans="1:22" x14ac:dyDescent="0.25">
      <c r="A147" s="14" t="s">
        <v>1462</v>
      </c>
      <c r="B147" s="116" t="s">
        <v>1463</v>
      </c>
      <c r="C147" s="116" t="s">
        <v>1464</v>
      </c>
      <c r="D147" s="117">
        <v>0</v>
      </c>
      <c r="E147" s="120">
        <v>0</v>
      </c>
      <c r="F147" s="117">
        <v>0</v>
      </c>
      <c r="G147" s="120">
        <v>55</v>
      </c>
      <c r="H147" s="117">
        <v>0</v>
      </c>
      <c r="I147" s="120">
        <v>46.814499855041504</v>
      </c>
      <c r="J147" s="117">
        <v>0</v>
      </c>
      <c r="K147" s="120">
        <v>46.814499855041504</v>
      </c>
      <c r="L147" s="117">
        <v>5.0538201332092285</v>
      </c>
      <c r="M147" s="120">
        <v>51.868319988250732</v>
      </c>
      <c r="N147" s="117">
        <v>0</v>
      </c>
      <c r="O147" s="120">
        <v>0</v>
      </c>
      <c r="P147" s="117">
        <v>0</v>
      </c>
      <c r="Q147" s="120">
        <v>0</v>
      </c>
      <c r="R147" s="117">
        <v>0</v>
      </c>
      <c r="S147" s="120">
        <v>0</v>
      </c>
      <c r="T147" s="117">
        <v>0</v>
      </c>
      <c r="U147" s="119">
        <v>0</v>
      </c>
      <c r="V147" t="str">
        <f>VLOOKUP(A147,Projetos_Ciclo!$H$2:$H$315,1,FALSE)</f>
        <v>3211/12</v>
      </c>
    </row>
    <row r="148" spans="1:22" x14ac:dyDescent="0.25">
      <c r="A148" s="111" t="s">
        <v>1133</v>
      </c>
      <c r="B148" s="112" t="s">
        <v>1261</v>
      </c>
      <c r="C148" s="112" t="s">
        <v>57</v>
      </c>
      <c r="D148" s="113">
        <v>0</v>
      </c>
      <c r="E148" s="114">
        <v>0</v>
      </c>
      <c r="F148" s="113">
        <v>0</v>
      </c>
      <c r="G148" s="114">
        <v>0</v>
      </c>
      <c r="H148" s="113">
        <v>0</v>
      </c>
      <c r="I148" s="114">
        <v>0</v>
      </c>
      <c r="J148" s="113">
        <v>0</v>
      </c>
      <c r="K148" s="114">
        <v>0</v>
      </c>
      <c r="L148" s="113">
        <v>0</v>
      </c>
      <c r="M148" s="114">
        <v>0</v>
      </c>
      <c r="N148" s="113">
        <v>0</v>
      </c>
      <c r="O148" s="114">
        <v>0</v>
      </c>
      <c r="P148" s="113">
        <v>0</v>
      </c>
      <c r="Q148" s="114">
        <v>0</v>
      </c>
      <c r="R148" s="113">
        <v>0</v>
      </c>
      <c r="S148" s="114">
        <v>0</v>
      </c>
      <c r="T148" s="113">
        <v>0</v>
      </c>
      <c r="U148" s="115">
        <v>0</v>
      </c>
      <c r="V148" t="e">
        <f>VLOOKUP(A148,Projetos_Ciclo!$H$2:$H$315,1,FALSE)</f>
        <v>#N/A</v>
      </c>
    </row>
    <row r="149" spans="1:22" x14ac:dyDescent="0.25">
      <c r="A149" s="14" t="s">
        <v>1135</v>
      </c>
      <c r="B149" s="116" t="s">
        <v>1136</v>
      </c>
      <c r="C149" s="116" t="s">
        <v>57</v>
      </c>
      <c r="D149" s="117">
        <v>0</v>
      </c>
      <c r="E149" s="120">
        <v>0</v>
      </c>
      <c r="F149" s="117">
        <v>0</v>
      </c>
      <c r="G149" s="120">
        <v>0</v>
      </c>
      <c r="H149" s="117">
        <v>0</v>
      </c>
      <c r="I149" s="120">
        <v>0</v>
      </c>
      <c r="J149" s="117">
        <v>0</v>
      </c>
      <c r="K149" s="120">
        <v>0</v>
      </c>
      <c r="L149" s="117">
        <v>0</v>
      </c>
      <c r="M149" s="120">
        <v>0</v>
      </c>
      <c r="N149" s="117">
        <v>0</v>
      </c>
      <c r="O149" s="120">
        <v>0</v>
      </c>
      <c r="P149" s="117">
        <v>0</v>
      </c>
      <c r="Q149" s="120">
        <v>0</v>
      </c>
      <c r="R149" s="117">
        <v>0</v>
      </c>
      <c r="S149" s="120">
        <v>0</v>
      </c>
      <c r="T149" s="117">
        <v>0</v>
      </c>
      <c r="U149" s="119">
        <v>0</v>
      </c>
      <c r="V149" t="e">
        <f>VLOOKUP(A149,Projetos_Ciclo!$H$2:$H$315,1,FALSE)</f>
        <v>#N/A</v>
      </c>
    </row>
    <row r="150" spans="1:22" x14ac:dyDescent="0.25">
      <c r="A150" s="111" t="s">
        <v>520</v>
      </c>
      <c r="B150" s="112" t="s">
        <v>1262</v>
      </c>
      <c r="C150" s="112" t="s">
        <v>57</v>
      </c>
      <c r="D150" s="113">
        <v>116047</v>
      </c>
      <c r="E150" s="114">
        <v>0</v>
      </c>
      <c r="F150" s="113">
        <v>0</v>
      </c>
      <c r="G150" s="114">
        <v>0</v>
      </c>
      <c r="H150" s="113">
        <v>0</v>
      </c>
      <c r="I150" s="114">
        <v>0</v>
      </c>
      <c r="J150" s="113">
        <v>0</v>
      </c>
      <c r="K150" s="114">
        <v>0</v>
      </c>
      <c r="L150" s="113">
        <v>0</v>
      </c>
      <c r="M150" s="114">
        <v>0</v>
      </c>
      <c r="N150" s="113">
        <v>31599</v>
      </c>
      <c r="O150" s="114">
        <v>38899</v>
      </c>
      <c r="P150" s="113">
        <v>19202</v>
      </c>
      <c r="Q150" s="114">
        <v>26347</v>
      </c>
      <c r="R150" s="113">
        <v>0</v>
      </c>
      <c r="S150" s="114">
        <v>0</v>
      </c>
      <c r="T150" s="113">
        <v>0</v>
      </c>
      <c r="U150" s="115">
        <v>0</v>
      </c>
      <c r="V150" t="str">
        <f>VLOOKUP(A150,Projetos_Ciclo!$H$2:$H$315,1,FALSE)</f>
        <v>NA</v>
      </c>
    </row>
    <row r="151" spans="1:22" x14ac:dyDescent="0.25">
      <c r="A151" s="14" t="s">
        <v>1138</v>
      </c>
      <c r="B151" s="116" t="s">
        <v>1139</v>
      </c>
      <c r="C151" s="116" t="s">
        <v>57</v>
      </c>
      <c r="D151" s="117">
        <v>0</v>
      </c>
      <c r="E151" s="120">
        <v>0</v>
      </c>
      <c r="F151" s="117">
        <v>0</v>
      </c>
      <c r="G151" s="120">
        <v>0</v>
      </c>
      <c r="H151" s="117">
        <v>0</v>
      </c>
      <c r="I151" s="120">
        <v>0</v>
      </c>
      <c r="J151" s="117">
        <v>0</v>
      </c>
      <c r="K151" s="120">
        <v>0</v>
      </c>
      <c r="L151" s="117">
        <v>0</v>
      </c>
      <c r="M151" s="120">
        <v>0</v>
      </c>
      <c r="N151" s="117">
        <v>0</v>
      </c>
      <c r="O151" s="120">
        <v>0</v>
      </c>
      <c r="P151" s="117">
        <v>0</v>
      </c>
      <c r="Q151" s="120">
        <v>0</v>
      </c>
      <c r="R151" s="117">
        <v>0</v>
      </c>
      <c r="S151" s="120">
        <v>0</v>
      </c>
      <c r="T151" s="117">
        <v>0</v>
      </c>
      <c r="U151" s="119">
        <v>0</v>
      </c>
      <c r="V151" t="e">
        <f>VLOOKUP(A151,Projetos_Ciclo!$H$2:$H$315,1,FALSE)</f>
        <v>#N/A</v>
      </c>
    </row>
    <row r="152" spans="1:22" x14ac:dyDescent="0.25">
      <c r="A152" s="111" t="s">
        <v>1077</v>
      </c>
      <c r="B152" s="112" t="s">
        <v>1149</v>
      </c>
      <c r="C152" s="112" t="s">
        <v>1263</v>
      </c>
      <c r="D152" s="113">
        <v>0</v>
      </c>
      <c r="E152" s="114">
        <v>0</v>
      </c>
      <c r="F152" s="113">
        <v>0</v>
      </c>
      <c r="G152" s="114">
        <v>479</v>
      </c>
      <c r="H152" s="113">
        <v>0</v>
      </c>
      <c r="I152" s="114">
        <v>479.32675170898437</v>
      </c>
      <c r="J152" s="113">
        <v>0</v>
      </c>
      <c r="K152" s="114">
        <v>479.32675170898437</v>
      </c>
      <c r="L152" s="113">
        <v>0</v>
      </c>
      <c r="M152" s="114">
        <v>479.32675170898437</v>
      </c>
      <c r="N152" s="113">
        <v>0</v>
      </c>
      <c r="O152" s="114">
        <v>0</v>
      </c>
      <c r="P152" s="113">
        <v>0</v>
      </c>
      <c r="Q152" s="114">
        <v>0</v>
      </c>
      <c r="R152" s="113">
        <v>0</v>
      </c>
      <c r="S152" s="114">
        <v>0</v>
      </c>
      <c r="T152" s="113">
        <v>0</v>
      </c>
      <c r="U152" s="115">
        <v>0</v>
      </c>
      <c r="V152" t="str">
        <f>VLOOKUP(A152,Projetos_Ciclo!$H$2:$H$315,1,FALSE)</f>
        <v>TI00118</v>
      </c>
    </row>
    <row r="153" spans="1:22" x14ac:dyDescent="0.25">
      <c r="A153" s="14" t="s">
        <v>1116</v>
      </c>
      <c r="B153" s="116" t="s">
        <v>1118</v>
      </c>
      <c r="C153" s="116" t="s">
        <v>1117</v>
      </c>
      <c r="D153" s="117">
        <v>0</v>
      </c>
      <c r="E153" s="120">
        <v>0</v>
      </c>
      <c r="F153" s="117">
        <v>0</v>
      </c>
      <c r="G153" s="120">
        <v>14</v>
      </c>
      <c r="H153" s="117">
        <v>0</v>
      </c>
      <c r="I153" s="120">
        <v>14.010740280151367</v>
      </c>
      <c r="J153" s="117">
        <v>0</v>
      </c>
      <c r="K153" s="120">
        <v>14.010740280151367</v>
      </c>
      <c r="L153" s="117">
        <v>0</v>
      </c>
      <c r="M153" s="120">
        <v>14.010740280151367</v>
      </c>
      <c r="N153" s="117">
        <v>0</v>
      </c>
      <c r="O153" s="120">
        <v>0</v>
      </c>
      <c r="P153" s="117">
        <v>0</v>
      </c>
      <c r="Q153" s="120">
        <v>0</v>
      </c>
      <c r="R153" s="117">
        <v>0</v>
      </c>
      <c r="S153" s="120">
        <v>0</v>
      </c>
      <c r="T153" s="117">
        <v>0</v>
      </c>
      <c r="U153" s="119">
        <v>0</v>
      </c>
      <c r="V153" t="str">
        <f>VLOOKUP(A153,Projetos_Ciclo!$H$2:$H$315,1,FALSE)</f>
        <v>TI00216</v>
      </c>
    </row>
    <row r="154" spans="1:22" x14ac:dyDescent="0.25">
      <c r="A154" s="111" t="s">
        <v>1124</v>
      </c>
      <c r="B154" s="112" t="s">
        <v>1126</v>
      </c>
      <c r="C154" s="112" t="s">
        <v>1125</v>
      </c>
      <c r="D154" s="113">
        <v>0</v>
      </c>
      <c r="E154" s="114">
        <v>0</v>
      </c>
      <c r="F154" s="113">
        <v>0</v>
      </c>
      <c r="G154" s="114">
        <v>10</v>
      </c>
      <c r="H154" s="113">
        <v>0</v>
      </c>
      <c r="I154" s="114">
        <v>9.5870800018310547</v>
      </c>
      <c r="J154" s="113">
        <v>0</v>
      </c>
      <c r="K154" s="114">
        <v>9.5870800018310547</v>
      </c>
      <c r="L154" s="113">
        <v>0</v>
      </c>
      <c r="M154" s="114">
        <v>9.5870800018310547</v>
      </c>
      <c r="N154" s="113">
        <v>0</v>
      </c>
      <c r="O154" s="114">
        <v>0</v>
      </c>
      <c r="P154" s="113">
        <v>0</v>
      </c>
      <c r="Q154" s="114">
        <v>0</v>
      </c>
      <c r="R154" s="113">
        <v>0</v>
      </c>
      <c r="S154" s="114">
        <v>0</v>
      </c>
      <c r="T154" s="113">
        <v>0</v>
      </c>
      <c r="U154" s="115">
        <v>0</v>
      </c>
      <c r="V154" t="str">
        <f>VLOOKUP(A154,Projetos_Ciclo!$H$2:$H$315,1,FALSE)</f>
        <v>TI00316</v>
      </c>
    </row>
    <row r="155" spans="1:22" x14ac:dyDescent="0.25">
      <c r="A155" s="14" t="s">
        <v>1120</v>
      </c>
      <c r="B155" s="116" t="s">
        <v>1122</v>
      </c>
      <c r="C155" s="116" t="s">
        <v>1121</v>
      </c>
      <c r="D155" s="117">
        <v>0</v>
      </c>
      <c r="E155" s="120">
        <v>0</v>
      </c>
      <c r="F155" s="117">
        <v>0</v>
      </c>
      <c r="G155" s="120">
        <v>11</v>
      </c>
      <c r="H155" s="117">
        <v>0</v>
      </c>
      <c r="I155" s="120">
        <v>10.502650260925293</v>
      </c>
      <c r="J155" s="117">
        <v>0</v>
      </c>
      <c r="K155" s="120">
        <v>10.502650260925293</v>
      </c>
      <c r="L155" s="117">
        <v>0</v>
      </c>
      <c r="M155" s="120">
        <v>10.502650260925293</v>
      </c>
      <c r="N155" s="117">
        <v>0</v>
      </c>
      <c r="O155" s="120">
        <v>0</v>
      </c>
      <c r="P155" s="117">
        <v>0</v>
      </c>
      <c r="Q155" s="120">
        <v>0</v>
      </c>
      <c r="R155" s="117">
        <v>0</v>
      </c>
      <c r="S155" s="120">
        <v>0</v>
      </c>
      <c r="T155" s="117">
        <v>0</v>
      </c>
      <c r="U155" s="119">
        <v>0</v>
      </c>
      <c r="V155" t="str">
        <f>VLOOKUP(A155,Projetos_Ciclo!$H$2:$H$315,1,FALSE)</f>
        <v>TI00416</v>
      </c>
    </row>
    <row r="156" spans="1:22" x14ac:dyDescent="0.25">
      <c r="A156" s="111" t="s">
        <v>702</v>
      </c>
      <c r="B156" s="112" t="s">
        <v>1264</v>
      </c>
      <c r="C156" s="112" t="s">
        <v>1265</v>
      </c>
      <c r="D156" s="113">
        <v>0</v>
      </c>
      <c r="E156" s="114">
        <v>0</v>
      </c>
      <c r="F156" s="113">
        <v>0</v>
      </c>
      <c r="G156" s="114">
        <v>102</v>
      </c>
      <c r="H156" s="113">
        <v>0</v>
      </c>
      <c r="I156" s="114">
        <v>101.37385904788971</v>
      </c>
      <c r="J156" s="113">
        <v>0</v>
      </c>
      <c r="K156" s="114">
        <v>101.37385904788971</v>
      </c>
      <c r="L156" s="113">
        <v>0</v>
      </c>
      <c r="M156" s="114">
        <v>101.37385904788971</v>
      </c>
      <c r="N156" s="113">
        <v>0</v>
      </c>
      <c r="O156" s="114">
        <v>0</v>
      </c>
      <c r="P156" s="113">
        <v>0</v>
      </c>
      <c r="Q156" s="114">
        <v>0</v>
      </c>
      <c r="R156" s="113">
        <v>0</v>
      </c>
      <c r="S156" s="114">
        <v>0</v>
      </c>
      <c r="T156" s="113">
        <v>0</v>
      </c>
      <c r="U156" s="115">
        <v>0</v>
      </c>
      <c r="V156" t="str">
        <f>VLOOKUP(A156,Projetos_Ciclo!$H$2:$H$315,1,FALSE)</f>
        <v>TI00417</v>
      </c>
    </row>
    <row r="157" spans="1:22" x14ac:dyDescent="0.25">
      <c r="A157" s="14" t="s">
        <v>701</v>
      </c>
      <c r="B157" s="116" t="s">
        <v>316</v>
      </c>
      <c r="C157" s="116" t="s">
        <v>1269</v>
      </c>
      <c r="D157" s="117">
        <v>0</v>
      </c>
      <c r="E157" s="120">
        <v>0</v>
      </c>
      <c r="F157" s="117">
        <v>0</v>
      </c>
      <c r="G157" s="120">
        <v>122</v>
      </c>
      <c r="H157" s="117">
        <v>0</v>
      </c>
      <c r="I157" s="120">
        <v>103.01386070251465</v>
      </c>
      <c r="J157" s="117">
        <v>0</v>
      </c>
      <c r="K157" s="120">
        <v>103.01386070251465</v>
      </c>
      <c r="L157" s="117">
        <v>14.492839813232422</v>
      </c>
      <c r="M157" s="120">
        <v>117.50670051574707</v>
      </c>
      <c r="N157" s="117">
        <v>0</v>
      </c>
      <c r="O157" s="120">
        <v>0</v>
      </c>
      <c r="P157" s="117">
        <v>0</v>
      </c>
      <c r="Q157" s="120">
        <v>0</v>
      </c>
      <c r="R157" s="117">
        <v>0</v>
      </c>
      <c r="S157" s="120">
        <v>0</v>
      </c>
      <c r="T157" s="117">
        <v>0</v>
      </c>
      <c r="U157" s="119">
        <v>0</v>
      </c>
      <c r="V157" t="str">
        <f>VLOOKUP(A157,Projetos_Ciclo!$H$2:$H$315,1,FALSE)</f>
        <v>TI00517</v>
      </c>
    </row>
    <row r="158" spans="1:22" x14ac:dyDescent="0.25">
      <c r="A158" s="111" t="s">
        <v>699</v>
      </c>
      <c r="B158" s="112" t="s">
        <v>1270</v>
      </c>
      <c r="C158" s="112" t="s">
        <v>1271</v>
      </c>
      <c r="D158" s="113">
        <v>0</v>
      </c>
      <c r="E158" s="114">
        <v>0</v>
      </c>
      <c r="F158" s="113">
        <v>0</v>
      </c>
      <c r="G158" s="114">
        <v>440</v>
      </c>
      <c r="H158" s="113">
        <v>0</v>
      </c>
      <c r="I158" s="114">
        <v>275.21786499023437</v>
      </c>
      <c r="J158" s="113">
        <v>0</v>
      </c>
      <c r="K158" s="114">
        <v>275.21786499023437</v>
      </c>
      <c r="L158" s="113">
        <v>162.94331359863281</v>
      </c>
      <c r="M158" s="114">
        <v>438.16117858886719</v>
      </c>
      <c r="N158" s="113">
        <v>0</v>
      </c>
      <c r="O158" s="114">
        <v>0</v>
      </c>
      <c r="P158" s="113">
        <v>0</v>
      </c>
      <c r="Q158" s="114">
        <v>0</v>
      </c>
      <c r="R158" s="113">
        <v>0</v>
      </c>
      <c r="S158" s="114">
        <v>0</v>
      </c>
      <c r="T158" s="113">
        <v>0</v>
      </c>
      <c r="U158" s="115">
        <v>0</v>
      </c>
      <c r="V158" t="str">
        <f>VLOOKUP(A158,Projetos_Ciclo!$H$2:$H$315,1,FALSE)</f>
        <v>TI00617</v>
      </c>
    </row>
    <row r="159" spans="1:22" x14ac:dyDescent="0.25">
      <c r="A159" s="14" t="s">
        <v>1275</v>
      </c>
      <c r="B159" s="116" t="s">
        <v>767</v>
      </c>
      <c r="C159" s="116" t="s">
        <v>1276</v>
      </c>
      <c r="D159" s="117">
        <v>0</v>
      </c>
      <c r="E159" s="120">
        <v>0</v>
      </c>
      <c r="F159" s="117">
        <v>0</v>
      </c>
      <c r="G159" s="120">
        <v>0</v>
      </c>
      <c r="H159" s="117">
        <v>0</v>
      </c>
      <c r="I159" s="120">
        <v>0</v>
      </c>
      <c r="J159" s="117">
        <v>0</v>
      </c>
      <c r="K159" s="120">
        <v>0</v>
      </c>
      <c r="L159" s="117">
        <v>0</v>
      </c>
      <c r="M159" s="120">
        <v>0</v>
      </c>
      <c r="N159" s="117">
        <v>0</v>
      </c>
      <c r="O159" s="120">
        <v>0</v>
      </c>
      <c r="P159" s="117">
        <v>0</v>
      </c>
      <c r="Q159" s="120">
        <v>0</v>
      </c>
      <c r="R159" s="117">
        <v>0</v>
      </c>
      <c r="S159" s="120">
        <v>0</v>
      </c>
      <c r="T159" s="117">
        <v>0</v>
      </c>
      <c r="U159" s="119">
        <v>0</v>
      </c>
      <c r="V159" t="str">
        <f>VLOOKUP(A159,Projetos_Ciclo!$H$2:$H$315,1,FALSE)</f>
        <v>TI00818</v>
      </c>
    </row>
    <row r="160" spans="1:22" x14ac:dyDescent="0.25">
      <c r="A160" s="111" t="s">
        <v>1128</v>
      </c>
      <c r="B160" s="112" t="s">
        <v>1277</v>
      </c>
      <c r="C160" s="112" t="s">
        <v>1129</v>
      </c>
      <c r="D160" s="113">
        <v>0</v>
      </c>
      <c r="E160" s="114">
        <v>0</v>
      </c>
      <c r="F160" s="113">
        <v>0</v>
      </c>
      <c r="G160" s="114">
        <v>1</v>
      </c>
      <c r="H160" s="113">
        <v>0</v>
      </c>
      <c r="I160" s="114">
        <v>0.70901525020599365</v>
      </c>
      <c r="J160" s="113">
        <v>0</v>
      </c>
      <c r="K160" s="114">
        <v>0.70901525020599365</v>
      </c>
      <c r="L160" s="113">
        <v>0</v>
      </c>
      <c r="M160" s="114">
        <v>0.70901525020599365</v>
      </c>
      <c r="N160" s="113">
        <v>0</v>
      </c>
      <c r="O160" s="114">
        <v>0</v>
      </c>
      <c r="P160" s="113">
        <v>0</v>
      </c>
      <c r="Q160" s="114">
        <v>0</v>
      </c>
      <c r="R160" s="113">
        <v>0</v>
      </c>
      <c r="S160" s="114">
        <v>0</v>
      </c>
      <c r="T160" s="113">
        <v>0</v>
      </c>
      <c r="U160" s="115">
        <v>0</v>
      </c>
      <c r="V160" t="str">
        <f>VLOOKUP(A160,Projetos_Ciclo!$H$2:$H$315,1,FALSE)</f>
        <v>TI00914</v>
      </c>
    </row>
    <row r="161" spans="1:22" x14ac:dyDescent="0.25">
      <c r="A161" s="14" t="s">
        <v>1278</v>
      </c>
      <c r="B161" s="116" t="s">
        <v>946</v>
      </c>
      <c r="C161" s="116" t="s">
        <v>1279</v>
      </c>
      <c r="D161" s="117">
        <v>0</v>
      </c>
      <c r="E161" s="120">
        <v>0</v>
      </c>
      <c r="F161" s="117">
        <v>0</v>
      </c>
      <c r="G161" s="120">
        <v>0</v>
      </c>
      <c r="H161" s="117">
        <v>0</v>
      </c>
      <c r="I161" s="120">
        <v>0</v>
      </c>
      <c r="J161" s="117">
        <v>0</v>
      </c>
      <c r="K161" s="120">
        <v>0</v>
      </c>
      <c r="L161" s="117">
        <v>0</v>
      </c>
      <c r="M161" s="120">
        <v>0</v>
      </c>
      <c r="N161" s="117">
        <v>0</v>
      </c>
      <c r="O161" s="120">
        <v>0</v>
      </c>
      <c r="P161" s="117">
        <v>0</v>
      </c>
      <c r="Q161" s="120">
        <v>0</v>
      </c>
      <c r="R161" s="117">
        <v>0</v>
      </c>
      <c r="S161" s="120">
        <v>0</v>
      </c>
      <c r="T161" s="117">
        <v>0</v>
      </c>
      <c r="U161" s="119">
        <v>0</v>
      </c>
      <c r="V161" t="str">
        <f>VLOOKUP(A161,Projetos_Ciclo!$H$2:$H$315,1,FALSE)</f>
        <v>TI00918</v>
      </c>
    </row>
    <row r="162" spans="1:22" x14ac:dyDescent="0.25">
      <c r="A162" s="111" t="s">
        <v>519</v>
      </c>
      <c r="B162" s="112" t="s">
        <v>1280</v>
      </c>
      <c r="C162" s="112" t="s">
        <v>1281</v>
      </c>
      <c r="D162" s="113">
        <v>0</v>
      </c>
      <c r="E162" s="114">
        <v>0</v>
      </c>
      <c r="F162" s="113">
        <v>0</v>
      </c>
      <c r="G162" s="114">
        <v>2954</v>
      </c>
      <c r="H162" s="113">
        <v>0</v>
      </c>
      <c r="I162" s="114">
        <v>199.91008186340332</v>
      </c>
      <c r="J162" s="113">
        <v>0</v>
      </c>
      <c r="K162" s="114">
        <v>199.91008186340332</v>
      </c>
      <c r="L162" s="113">
        <v>713.10650634765625</v>
      </c>
      <c r="M162" s="114">
        <v>913.01658821105957</v>
      </c>
      <c r="N162" s="113">
        <v>0</v>
      </c>
      <c r="O162" s="114">
        <v>0</v>
      </c>
      <c r="P162" s="113">
        <v>0</v>
      </c>
      <c r="Q162" s="114">
        <v>0</v>
      </c>
      <c r="R162" s="113">
        <v>0</v>
      </c>
      <c r="S162" s="114">
        <v>0</v>
      </c>
      <c r="T162" s="113">
        <v>0</v>
      </c>
      <c r="U162" s="115">
        <v>0</v>
      </c>
      <c r="V162" t="str">
        <f>VLOOKUP(A162,Projetos_Ciclo!$H$2:$H$315,1,FALSE)</f>
        <v>TI01016</v>
      </c>
    </row>
    <row r="163" spans="1:22" x14ac:dyDescent="0.25">
      <c r="A163" s="14" t="s">
        <v>1282</v>
      </c>
      <c r="B163" s="116" t="s">
        <v>1283</v>
      </c>
      <c r="C163" s="116" t="s">
        <v>1284</v>
      </c>
      <c r="D163" s="117">
        <v>0</v>
      </c>
      <c r="E163" s="120">
        <v>0</v>
      </c>
      <c r="F163" s="117">
        <v>0</v>
      </c>
      <c r="G163" s="120">
        <v>0</v>
      </c>
      <c r="H163" s="117">
        <v>0</v>
      </c>
      <c r="I163" s="120">
        <v>0</v>
      </c>
      <c r="J163" s="117">
        <v>0</v>
      </c>
      <c r="K163" s="120">
        <v>0</v>
      </c>
      <c r="L163" s="117">
        <v>0</v>
      </c>
      <c r="M163" s="120">
        <v>0</v>
      </c>
      <c r="N163" s="117">
        <v>0</v>
      </c>
      <c r="O163" s="120">
        <v>0</v>
      </c>
      <c r="P163" s="117">
        <v>0</v>
      </c>
      <c r="Q163" s="120">
        <v>0</v>
      </c>
      <c r="R163" s="117">
        <v>0</v>
      </c>
      <c r="S163" s="120">
        <v>0</v>
      </c>
      <c r="T163" s="117">
        <v>0</v>
      </c>
      <c r="U163" s="119">
        <v>0</v>
      </c>
      <c r="V163" t="str">
        <f>VLOOKUP(A163,Projetos_Ciclo!$H$2:$H$315,1,FALSE)</f>
        <v>TI01018</v>
      </c>
    </row>
    <row r="164" spans="1:22" x14ac:dyDescent="0.25">
      <c r="A164" s="111" t="s">
        <v>1106</v>
      </c>
      <c r="B164" s="112" t="s">
        <v>1285</v>
      </c>
      <c r="C164" s="112" t="s">
        <v>1107</v>
      </c>
      <c r="D164" s="113">
        <v>0</v>
      </c>
      <c r="E164" s="114">
        <v>0</v>
      </c>
      <c r="F164" s="113">
        <v>0</v>
      </c>
      <c r="G164" s="114">
        <v>1606</v>
      </c>
      <c r="H164" s="113">
        <v>0</v>
      </c>
      <c r="I164" s="114">
        <v>1236.459716796875</v>
      </c>
      <c r="J164" s="113">
        <v>0</v>
      </c>
      <c r="K164" s="114">
        <v>1236.459716796875</v>
      </c>
      <c r="L164" s="113">
        <v>0</v>
      </c>
      <c r="M164" s="114">
        <v>1236.459716796875</v>
      </c>
      <c r="N164" s="113">
        <v>0</v>
      </c>
      <c r="O164" s="114">
        <v>0</v>
      </c>
      <c r="P164" s="113">
        <v>0</v>
      </c>
      <c r="Q164" s="114">
        <v>0</v>
      </c>
      <c r="R164" s="113">
        <v>0</v>
      </c>
      <c r="S164" s="114">
        <v>0</v>
      </c>
      <c r="T164" s="113">
        <v>0</v>
      </c>
      <c r="U164" s="115">
        <v>0</v>
      </c>
      <c r="V164" t="str">
        <f>VLOOKUP(A164,Projetos_Ciclo!$H$2:$H$315,1,FALSE)</f>
        <v>TI01118</v>
      </c>
    </row>
    <row r="165" spans="1:22" x14ac:dyDescent="0.25">
      <c r="A165" s="14" t="s">
        <v>1289</v>
      </c>
      <c r="B165" s="116" t="s">
        <v>1290</v>
      </c>
      <c r="C165" s="116" t="s">
        <v>1291</v>
      </c>
      <c r="D165" s="117">
        <v>0</v>
      </c>
      <c r="E165" s="120">
        <v>0</v>
      </c>
      <c r="F165" s="117">
        <v>0</v>
      </c>
      <c r="G165" s="120">
        <v>0</v>
      </c>
      <c r="H165" s="117">
        <v>0</v>
      </c>
      <c r="I165" s="120">
        <v>0</v>
      </c>
      <c r="J165" s="117">
        <v>0</v>
      </c>
      <c r="K165" s="120">
        <v>0</v>
      </c>
      <c r="L165" s="117">
        <v>0</v>
      </c>
      <c r="M165" s="120">
        <v>0</v>
      </c>
      <c r="N165" s="117">
        <v>0</v>
      </c>
      <c r="O165" s="120">
        <v>0</v>
      </c>
      <c r="P165" s="117">
        <v>0</v>
      </c>
      <c r="Q165" s="120">
        <v>0</v>
      </c>
      <c r="R165" s="117">
        <v>0</v>
      </c>
      <c r="S165" s="120">
        <v>0</v>
      </c>
      <c r="T165" s="117">
        <v>0</v>
      </c>
      <c r="U165" s="119">
        <v>0</v>
      </c>
      <c r="V165" t="str">
        <f>VLOOKUP(A165,Projetos_Ciclo!$H$2:$H$315,1,FALSE)</f>
        <v>TI01218</v>
      </c>
    </row>
    <row r="166" spans="1:22" x14ac:dyDescent="0.25">
      <c r="A166" s="111" t="s">
        <v>703</v>
      </c>
      <c r="B166" s="112" t="s">
        <v>322</v>
      </c>
      <c r="C166" s="112" t="s">
        <v>1292</v>
      </c>
      <c r="D166" s="113">
        <v>0</v>
      </c>
      <c r="E166" s="114">
        <v>0</v>
      </c>
      <c r="F166" s="113">
        <v>0</v>
      </c>
      <c r="G166" s="114">
        <v>217</v>
      </c>
      <c r="H166" s="113">
        <v>0</v>
      </c>
      <c r="I166" s="114">
        <v>199.38568115234375</v>
      </c>
      <c r="J166" s="113">
        <v>0</v>
      </c>
      <c r="K166" s="114">
        <v>199.38568115234375</v>
      </c>
      <c r="L166" s="113">
        <v>17.50554084777832</v>
      </c>
      <c r="M166" s="114">
        <v>216.89122200012207</v>
      </c>
      <c r="N166" s="113">
        <v>0</v>
      </c>
      <c r="O166" s="114">
        <v>0</v>
      </c>
      <c r="P166" s="113">
        <v>0</v>
      </c>
      <c r="Q166" s="114">
        <v>0</v>
      </c>
      <c r="R166" s="113">
        <v>0</v>
      </c>
      <c r="S166" s="114">
        <v>0</v>
      </c>
      <c r="T166" s="113">
        <v>0</v>
      </c>
      <c r="U166" s="115">
        <v>0</v>
      </c>
      <c r="V166" t="str">
        <f>VLOOKUP(A166,Projetos_Ciclo!$H$2:$H$315,1,FALSE)</f>
        <v>TI01317</v>
      </c>
    </row>
    <row r="167" spans="1:22" x14ac:dyDescent="0.25">
      <c r="A167" s="14" t="s">
        <v>1293</v>
      </c>
      <c r="B167" s="116" t="s">
        <v>1294</v>
      </c>
      <c r="C167" s="116" t="s">
        <v>1295</v>
      </c>
      <c r="D167" s="117">
        <v>88048</v>
      </c>
      <c r="E167" s="120">
        <v>0</v>
      </c>
      <c r="F167" s="117">
        <v>54226</v>
      </c>
      <c r="G167" s="120">
        <v>0</v>
      </c>
      <c r="H167" s="117">
        <v>14612</v>
      </c>
      <c r="I167" s="120">
        <v>0</v>
      </c>
      <c r="J167" s="117">
        <v>0</v>
      </c>
      <c r="K167" s="120">
        <v>0</v>
      </c>
      <c r="L167" s="117">
        <v>0</v>
      </c>
      <c r="M167" s="120">
        <v>0</v>
      </c>
      <c r="N167" s="117">
        <v>19712</v>
      </c>
      <c r="O167" s="120">
        <v>10722</v>
      </c>
      <c r="P167" s="117">
        <v>3388</v>
      </c>
      <c r="Q167" s="120">
        <v>0</v>
      </c>
      <c r="R167" s="117">
        <v>0</v>
      </c>
      <c r="S167" s="120">
        <v>0</v>
      </c>
      <c r="T167" s="117">
        <v>0</v>
      </c>
      <c r="U167" s="119">
        <v>0</v>
      </c>
      <c r="V167" t="e">
        <f>VLOOKUP(A167,Projetos_Ciclo!$H$2:$H$315,1,FALSE)</f>
        <v>#N/A</v>
      </c>
    </row>
    <row r="168" spans="1:22" x14ac:dyDescent="0.25">
      <c r="A168" s="111" t="s">
        <v>696</v>
      </c>
      <c r="B168" s="112" t="s">
        <v>304</v>
      </c>
      <c r="C168" s="112" t="s">
        <v>1299</v>
      </c>
      <c r="D168" s="113">
        <v>0</v>
      </c>
      <c r="E168" s="114">
        <v>0</v>
      </c>
      <c r="F168" s="113">
        <v>0</v>
      </c>
      <c r="G168" s="114">
        <v>8624</v>
      </c>
      <c r="H168" s="113">
        <v>0</v>
      </c>
      <c r="I168" s="114">
        <v>5092.7049396038055</v>
      </c>
      <c r="J168" s="113">
        <v>0</v>
      </c>
      <c r="K168" s="114">
        <v>5092.7049396038055</v>
      </c>
      <c r="L168" s="113">
        <v>3217.0104273068719</v>
      </c>
      <c r="M168" s="114">
        <v>8309.7153669106774</v>
      </c>
      <c r="N168" s="113">
        <v>0</v>
      </c>
      <c r="O168" s="114">
        <v>0</v>
      </c>
      <c r="P168" s="113">
        <v>0</v>
      </c>
      <c r="Q168" s="114">
        <v>0</v>
      </c>
      <c r="R168" s="113">
        <v>0</v>
      </c>
      <c r="S168" s="114">
        <v>0</v>
      </c>
      <c r="T168" s="113">
        <v>0</v>
      </c>
      <c r="U168" s="115">
        <v>0</v>
      </c>
      <c r="V168" t="str">
        <f>VLOOKUP(A168,Projetos_Ciclo!$H$2:$H$315,1,FALSE)</f>
        <v>TI01715</v>
      </c>
    </row>
    <row r="169" spans="1:22" x14ac:dyDescent="0.25">
      <c r="A169" s="14" t="s">
        <v>707</v>
      </c>
      <c r="B169" s="116" t="s">
        <v>1300</v>
      </c>
      <c r="C169" s="116" t="s">
        <v>1301</v>
      </c>
      <c r="D169" s="117">
        <v>0</v>
      </c>
      <c r="E169" s="120">
        <v>0</v>
      </c>
      <c r="F169" s="117">
        <v>0</v>
      </c>
      <c r="G169" s="120">
        <v>684</v>
      </c>
      <c r="H169" s="117">
        <v>0</v>
      </c>
      <c r="I169" s="120">
        <v>435.61255645751953</v>
      </c>
      <c r="J169" s="117">
        <v>0</v>
      </c>
      <c r="K169" s="120">
        <v>435.61255645751953</v>
      </c>
      <c r="L169" s="117">
        <v>0</v>
      </c>
      <c r="M169" s="120">
        <v>435.61255645751953</v>
      </c>
      <c r="N169" s="117">
        <v>0</v>
      </c>
      <c r="O169" s="120">
        <v>0</v>
      </c>
      <c r="P169" s="117">
        <v>0</v>
      </c>
      <c r="Q169" s="120">
        <v>0</v>
      </c>
      <c r="R169" s="117">
        <v>0</v>
      </c>
      <c r="S169" s="120">
        <v>0</v>
      </c>
      <c r="T169" s="117">
        <v>0</v>
      </c>
      <c r="U169" s="119">
        <v>0</v>
      </c>
      <c r="V169" t="str">
        <f>VLOOKUP(A169,Projetos_Ciclo!$H$2:$H$315,1,FALSE)</f>
        <v>TI01813</v>
      </c>
    </row>
    <row r="170" spans="1:22" x14ac:dyDescent="0.25">
      <c r="A170" s="111" t="s">
        <v>518</v>
      </c>
      <c r="B170" s="112" t="s">
        <v>1302</v>
      </c>
      <c r="C170" s="112" t="s">
        <v>1303</v>
      </c>
      <c r="D170" s="113">
        <v>0</v>
      </c>
      <c r="E170" s="114">
        <v>0</v>
      </c>
      <c r="F170" s="113">
        <v>0</v>
      </c>
      <c r="G170" s="114">
        <v>6163</v>
      </c>
      <c r="H170" s="113">
        <v>0</v>
      </c>
      <c r="I170" s="114">
        <v>1291.7284393310547</v>
      </c>
      <c r="J170" s="113">
        <v>0</v>
      </c>
      <c r="K170" s="114">
        <v>1291.7284393310547</v>
      </c>
      <c r="L170" s="113">
        <v>71.105120658874512</v>
      </c>
      <c r="M170" s="114">
        <v>1362.8335599899292</v>
      </c>
      <c r="N170" s="113">
        <v>0</v>
      </c>
      <c r="O170" s="114">
        <v>0</v>
      </c>
      <c r="P170" s="113">
        <v>0</v>
      </c>
      <c r="Q170" s="114">
        <v>0</v>
      </c>
      <c r="R170" s="113">
        <v>0</v>
      </c>
      <c r="S170" s="114">
        <v>0</v>
      </c>
      <c r="T170" s="113">
        <v>0</v>
      </c>
      <c r="U170" s="115">
        <v>0</v>
      </c>
      <c r="V170" t="str">
        <f>VLOOKUP(A170,Projetos_Ciclo!$H$2:$H$315,1,FALSE)</f>
        <v>TI02115</v>
      </c>
    </row>
    <row r="171" spans="1:22" x14ac:dyDescent="0.25">
      <c r="A171" s="14" t="s">
        <v>711</v>
      </c>
      <c r="B171" s="116" t="s">
        <v>712</v>
      </c>
      <c r="C171" s="116" t="s">
        <v>1304</v>
      </c>
      <c r="D171" s="117">
        <v>0</v>
      </c>
      <c r="E171" s="120">
        <v>0</v>
      </c>
      <c r="F171" s="117">
        <v>0</v>
      </c>
      <c r="G171" s="120">
        <v>120</v>
      </c>
      <c r="H171" s="117">
        <v>0</v>
      </c>
      <c r="I171" s="120">
        <v>67.199996948242187</v>
      </c>
      <c r="J171" s="117">
        <v>0</v>
      </c>
      <c r="K171" s="120">
        <v>67.199996948242187</v>
      </c>
      <c r="L171" s="117">
        <v>52.799999237060547</v>
      </c>
      <c r="M171" s="120">
        <v>119.99999618530273</v>
      </c>
      <c r="N171" s="117">
        <v>0</v>
      </c>
      <c r="O171" s="120">
        <v>0</v>
      </c>
      <c r="P171" s="117">
        <v>0</v>
      </c>
      <c r="Q171" s="120">
        <v>0</v>
      </c>
      <c r="R171" s="117">
        <v>0</v>
      </c>
      <c r="S171" s="120">
        <v>0</v>
      </c>
      <c r="T171" s="117">
        <v>0</v>
      </c>
      <c r="U171" s="119">
        <v>0</v>
      </c>
      <c r="V171" t="str">
        <f>VLOOKUP(A171,Projetos_Ciclo!$H$2:$H$315,1,FALSE)</f>
        <v>TI02217</v>
      </c>
    </row>
    <row r="172" spans="1:22" x14ac:dyDescent="0.25">
      <c r="A172" s="111" t="s">
        <v>1114</v>
      </c>
      <c r="B172" s="112" t="s">
        <v>1112</v>
      </c>
      <c r="C172" s="112" t="s">
        <v>1115</v>
      </c>
      <c r="D172" s="113">
        <v>0</v>
      </c>
      <c r="E172" s="114">
        <v>0</v>
      </c>
      <c r="F172" s="113">
        <v>0</v>
      </c>
      <c r="G172" s="114">
        <v>142</v>
      </c>
      <c r="H172" s="113">
        <v>0</v>
      </c>
      <c r="I172" s="114">
        <v>0</v>
      </c>
      <c r="J172" s="113">
        <v>0</v>
      </c>
      <c r="K172" s="114">
        <v>0</v>
      </c>
      <c r="L172" s="113">
        <v>141.69599914550781</v>
      </c>
      <c r="M172" s="114">
        <v>141.69599914550781</v>
      </c>
      <c r="N172" s="113">
        <v>0</v>
      </c>
      <c r="O172" s="114">
        <v>0</v>
      </c>
      <c r="P172" s="113">
        <v>0</v>
      </c>
      <c r="Q172" s="114">
        <v>0</v>
      </c>
      <c r="R172" s="113">
        <v>0</v>
      </c>
      <c r="S172" s="114">
        <v>0</v>
      </c>
      <c r="T172" s="113">
        <v>0</v>
      </c>
      <c r="U172" s="115">
        <v>0</v>
      </c>
      <c r="V172" t="str">
        <f>VLOOKUP(A172,Projetos_Ciclo!$H$2:$H$315,1,FALSE)</f>
        <v>TI02318</v>
      </c>
    </row>
    <row r="173" spans="1:22" x14ac:dyDescent="0.25">
      <c r="A173" s="14" t="s">
        <v>1307</v>
      </c>
      <c r="B173" s="116" t="s">
        <v>1308</v>
      </c>
      <c r="C173" s="116" t="s">
        <v>1309</v>
      </c>
      <c r="D173" s="117">
        <v>0</v>
      </c>
      <c r="E173" s="120">
        <v>0</v>
      </c>
      <c r="F173" s="117">
        <v>0</v>
      </c>
      <c r="G173" s="120">
        <v>373</v>
      </c>
      <c r="H173" s="117">
        <v>0</v>
      </c>
      <c r="I173" s="120">
        <v>73.648349761962891</v>
      </c>
      <c r="J173" s="117">
        <v>0</v>
      </c>
      <c r="K173" s="120">
        <v>73.648349761962891</v>
      </c>
      <c r="L173" s="117">
        <v>176.40750122070312</v>
      </c>
      <c r="M173" s="120">
        <v>250.05585098266602</v>
      </c>
      <c r="N173" s="117">
        <v>0</v>
      </c>
      <c r="O173" s="120">
        <v>0</v>
      </c>
      <c r="P173" s="117">
        <v>0</v>
      </c>
      <c r="Q173" s="120">
        <v>0</v>
      </c>
      <c r="R173" s="117">
        <v>0</v>
      </c>
      <c r="S173" s="120">
        <v>0</v>
      </c>
      <c r="T173" s="117">
        <v>0</v>
      </c>
      <c r="U173" s="119">
        <v>0</v>
      </c>
      <c r="V173" t="str">
        <f>VLOOKUP(A173,Projetos_Ciclo!$H$2:$H$315,1,FALSE)</f>
        <v>TI02416</v>
      </c>
    </row>
    <row r="174" spans="1:22" x14ac:dyDescent="0.25">
      <c r="A174" s="111" t="s">
        <v>1110</v>
      </c>
      <c r="B174" s="112" t="s">
        <v>708</v>
      </c>
      <c r="C174" s="112" t="s">
        <v>1111</v>
      </c>
      <c r="D174" s="113">
        <v>0</v>
      </c>
      <c r="E174" s="114">
        <v>0</v>
      </c>
      <c r="F174" s="113">
        <v>0</v>
      </c>
      <c r="G174" s="114">
        <v>693</v>
      </c>
      <c r="H174" s="113">
        <v>0</v>
      </c>
      <c r="I174" s="114">
        <v>693.4403076171875</v>
      </c>
      <c r="J174" s="113">
        <v>0</v>
      </c>
      <c r="K174" s="114">
        <v>693.4403076171875</v>
      </c>
      <c r="L174" s="113">
        <v>0</v>
      </c>
      <c r="M174" s="114">
        <v>693.4403076171875</v>
      </c>
      <c r="N174" s="113">
        <v>0</v>
      </c>
      <c r="O174" s="114">
        <v>0</v>
      </c>
      <c r="P174" s="113">
        <v>0</v>
      </c>
      <c r="Q174" s="114">
        <v>0</v>
      </c>
      <c r="R174" s="113">
        <v>0</v>
      </c>
      <c r="S174" s="114">
        <v>0</v>
      </c>
      <c r="T174" s="113">
        <v>0</v>
      </c>
      <c r="U174" s="115">
        <v>0</v>
      </c>
      <c r="V174" t="str">
        <f>VLOOKUP(A174,Projetos_Ciclo!$H$2:$H$315,1,FALSE)</f>
        <v>TI02418</v>
      </c>
    </row>
    <row r="175" spans="1:22" x14ac:dyDescent="0.25">
      <c r="A175" s="14" t="s">
        <v>697</v>
      </c>
      <c r="B175" s="116" t="s">
        <v>1310</v>
      </c>
      <c r="C175" s="116" t="s">
        <v>1311</v>
      </c>
      <c r="D175" s="117">
        <v>0</v>
      </c>
      <c r="E175" s="120">
        <v>0</v>
      </c>
      <c r="F175" s="117">
        <v>0</v>
      </c>
      <c r="G175" s="120">
        <v>350</v>
      </c>
      <c r="H175" s="117">
        <v>0</v>
      </c>
      <c r="I175" s="120">
        <v>44.140701055526733</v>
      </c>
      <c r="J175" s="117">
        <v>0</v>
      </c>
      <c r="K175" s="120">
        <v>44.140701055526733</v>
      </c>
      <c r="L175" s="117">
        <v>78.574318170547485</v>
      </c>
      <c r="M175" s="120">
        <v>122.71501922607422</v>
      </c>
      <c r="N175" s="117">
        <v>0</v>
      </c>
      <c r="O175" s="120">
        <v>0</v>
      </c>
      <c r="P175" s="117">
        <v>0</v>
      </c>
      <c r="Q175" s="120">
        <v>0</v>
      </c>
      <c r="R175" s="117">
        <v>0</v>
      </c>
      <c r="S175" s="120">
        <v>0</v>
      </c>
      <c r="T175" s="117">
        <v>0</v>
      </c>
      <c r="U175" s="119">
        <v>0</v>
      </c>
      <c r="V175" t="str">
        <f>VLOOKUP(A175,Projetos_Ciclo!$H$2:$H$315,1,FALSE)</f>
        <v>TI02515</v>
      </c>
    </row>
    <row r="176" spans="1:22" x14ac:dyDescent="0.25">
      <c r="A176" s="111" t="s">
        <v>521</v>
      </c>
      <c r="B176" s="112" t="s">
        <v>1312</v>
      </c>
      <c r="C176" s="112" t="s">
        <v>1313</v>
      </c>
      <c r="D176" s="113">
        <v>0</v>
      </c>
      <c r="E176" s="114">
        <v>0</v>
      </c>
      <c r="F176" s="113">
        <v>0</v>
      </c>
      <c r="G176" s="114">
        <v>149</v>
      </c>
      <c r="H176" s="113">
        <v>0</v>
      </c>
      <c r="I176" s="114">
        <v>0</v>
      </c>
      <c r="J176" s="113">
        <v>0</v>
      </c>
      <c r="K176" s="114">
        <v>0</v>
      </c>
      <c r="L176" s="113">
        <v>148.70700073242187</v>
      </c>
      <c r="M176" s="114">
        <v>148.70700073242187</v>
      </c>
      <c r="N176" s="113">
        <v>0</v>
      </c>
      <c r="O176" s="114">
        <v>0</v>
      </c>
      <c r="P176" s="113">
        <v>0</v>
      </c>
      <c r="Q176" s="114">
        <v>0</v>
      </c>
      <c r="R176" s="113">
        <v>0</v>
      </c>
      <c r="S176" s="114">
        <v>0</v>
      </c>
      <c r="T176" s="113">
        <v>0</v>
      </c>
      <c r="U176" s="115">
        <v>0</v>
      </c>
      <c r="V176" t="str">
        <f>VLOOKUP(A176,Projetos_Ciclo!$H$2:$H$315,1,FALSE)</f>
        <v>TI02516</v>
      </c>
    </row>
    <row r="177" spans="1:22" x14ac:dyDescent="0.25">
      <c r="A177" s="14" t="s">
        <v>523</v>
      </c>
      <c r="B177" s="116" t="s">
        <v>522</v>
      </c>
      <c r="C177" s="116" t="s">
        <v>1314</v>
      </c>
      <c r="D177" s="117">
        <v>0</v>
      </c>
      <c r="E177" s="120">
        <v>0</v>
      </c>
      <c r="F177" s="117">
        <v>0</v>
      </c>
      <c r="G177" s="120">
        <v>55</v>
      </c>
      <c r="H177" s="117">
        <v>0</v>
      </c>
      <c r="I177" s="120">
        <v>0</v>
      </c>
      <c r="J177" s="117">
        <v>0</v>
      </c>
      <c r="K177" s="120">
        <v>0</v>
      </c>
      <c r="L177" s="117">
        <v>34.817581176757813</v>
      </c>
      <c r="M177" s="120">
        <v>34.817581176757813</v>
      </c>
      <c r="N177" s="117">
        <v>0</v>
      </c>
      <c r="O177" s="120">
        <v>0</v>
      </c>
      <c r="P177" s="117">
        <v>0</v>
      </c>
      <c r="Q177" s="120">
        <v>0</v>
      </c>
      <c r="R177" s="117">
        <v>0</v>
      </c>
      <c r="S177" s="120">
        <v>0</v>
      </c>
      <c r="T177" s="117">
        <v>0</v>
      </c>
      <c r="U177" s="119">
        <v>0</v>
      </c>
      <c r="V177" t="str">
        <f>VLOOKUP(A177,Projetos_Ciclo!$H$2:$H$315,1,FALSE)</f>
        <v>TI02616</v>
      </c>
    </row>
    <row r="178" spans="1:22" x14ac:dyDescent="0.25">
      <c r="A178" s="111" t="s">
        <v>1103</v>
      </c>
      <c r="B178" s="112" t="s">
        <v>1315</v>
      </c>
      <c r="C178" s="112" t="s">
        <v>1104</v>
      </c>
      <c r="D178" s="113">
        <v>0</v>
      </c>
      <c r="E178" s="114">
        <v>0</v>
      </c>
      <c r="F178" s="113">
        <v>0</v>
      </c>
      <c r="G178" s="114">
        <v>1225</v>
      </c>
      <c r="H178" s="113">
        <v>0</v>
      </c>
      <c r="I178" s="114">
        <v>0</v>
      </c>
      <c r="J178" s="113">
        <v>0</v>
      </c>
      <c r="K178" s="114">
        <v>0</v>
      </c>
      <c r="L178" s="113">
        <v>969.04043579101562</v>
      </c>
      <c r="M178" s="114">
        <v>969.04043579101562</v>
      </c>
      <c r="N178" s="113">
        <v>0</v>
      </c>
      <c r="O178" s="114">
        <v>0</v>
      </c>
      <c r="P178" s="113">
        <v>0</v>
      </c>
      <c r="Q178" s="114">
        <v>0</v>
      </c>
      <c r="R178" s="113">
        <v>0</v>
      </c>
      <c r="S178" s="114">
        <v>0</v>
      </c>
      <c r="T178" s="113">
        <v>0</v>
      </c>
      <c r="U178" s="115">
        <v>0</v>
      </c>
      <c r="V178" t="str">
        <f>VLOOKUP(A178,Projetos_Ciclo!$H$2:$H$315,1,FALSE)</f>
        <v>TI02618</v>
      </c>
    </row>
    <row r="179" spans="1:22" x14ac:dyDescent="0.25">
      <c r="A179" s="14" t="s">
        <v>1316</v>
      </c>
      <c r="B179" s="116" t="s">
        <v>1317</v>
      </c>
      <c r="C179" s="116" t="s">
        <v>1318</v>
      </c>
      <c r="D179" s="117">
        <v>0</v>
      </c>
      <c r="E179" s="120">
        <v>0</v>
      </c>
      <c r="F179" s="117">
        <v>0</v>
      </c>
      <c r="G179" s="120">
        <v>3223</v>
      </c>
      <c r="H179" s="117">
        <v>0</v>
      </c>
      <c r="I179" s="120">
        <v>267.26645660400391</v>
      </c>
      <c r="J179" s="117">
        <v>0</v>
      </c>
      <c r="K179" s="120">
        <v>267.26645660400391</v>
      </c>
      <c r="L179" s="117">
        <v>2627.8525381088257</v>
      </c>
      <c r="M179" s="120">
        <v>2895.1189947128296</v>
      </c>
      <c r="N179" s="117">
        <v>0</v>
      </c>
      <c r="O179" s="120">
        <v>0</v>
      </c>
      <c r="P179" s="117">
        <v>0</v>
      </c>
      <c r="Q179" s="120">
        <v>0</v>
      </c>
      <c r="R179" s="117">
        <v>0</v>
      </c>
      <c r="S179" s="120">
        <v>0</v>
      </c>
      <c r="T179" s="117">
        <v>0</v>
      </c>
      <c r="U179" s="119">
        <v>0</v>
      </c>
      <c r="V179" t="str">
        <f>VLOOKUP(A179,Projetos_Ciclo!$H$2:$H$315,1,FALSE)</f>
        <v>TI02718</v>
      </c>
    </row>
    <row r="180" spans="1:22" x14ac:dyDescent="0.25">
      <c r="A180" s="111" t="s">
        <v>953</v>
      </c>
      <c r="B180" s="112" t="s">
        <v>954</v>
      </c>
      <c r="C180" s="112" t="s">
        <v>1319</v>
      </c>
      <c r="D180" s="113">
        <v>0</v>
      </c>
      <c r="E180" s="114">
        <v>0</v>
      </c>
      <c r="F180" s="113">
        <v>0</v>
      </c>
      <c r="G180" s="114">
        <v>600</v>
      </c>
      <c r="H180" s="113">
        <v>0</v>
      </c>
      <c r="I180" s="114">
        <v>599.97772216796875</v>
      </c>
      <c r="J180" s="113">
        <v>0</v>
      </c>
      <c r="K180" s="114">
        <v>599.97772216796875</v>
      </c>
      <c r="L180" s="113">
        <v>0</v>
      </c>
      <c r="M180" s="114">
        <v>599.97772216796875</v>
      </c>
      <c r="N180" s="113">
        <v>0</v>
      </c>
      <c r="O180" s="114">
        <v>0</v>
      </c>
      <c r="P180" s="113">
        <v>0</v>
      </c>
      <c r="Q180" s="114">
        <v>0</v>
      </c>
      <c r="R180" s="113">
        <v>0</v>
      </c>
      <c r="S180" s="114">
        <v>0</v>
      </c>
      <c r="T180" s="113">
        <v>0</v>
      </c>
      <c r="U180" s="115">
        <v>0</v>
      </c>
      <c r="V180" t="str">
        <f>VLOOKUP(A180,Projetos_Ciclo!$H$2:$H$315,1,FALSE)</f>
        <v>TI02817</v>
      </c>
    </row>
    <row r="181" spans="1:22" x14ac:dyDescent="0.25">
      <c r="A181" s="14" t="s">
        <v>1102</v>
      </c>
      <c r="B181" s="116" t="s">
        <v>310</v>
      </c>
      <c r="C181" s="116" t="s">
        <v>1320</v>
      </c>
      <c r="D181" s="117">
        <v>0</v>
      </c>
      <c r="E181" s="120">
        <v>0</v>
      </c>
      <c r="F181" s="117">
        <v>0</v>
      </c>
      <c r="G181" s="120">
        <v>504</v>
      </c>
      <c r="H181" s="117">
        <v>0</v>
      </c>
      <c r="I181" s="120">
        <v>175.63199806213379</v>
      </c>
      <c r="J181" s="117">
        <v>0</v>
      </c>
      <c r="K181" s="120">
        <v>175.63199806213379</v>
      </c>
      <c r="L181" s="117">
        <v>328.54609346389771</v>
      </c>
      <c r="M181" s="120">
        <v>504.17809152603149</v>
      </c>
      <c r="N181" s="117">
        <v>0</v>
      </c>
      <c r="O181" s="120">
        <v>0</v>
      </c>
      <c r="P181" s="117">
        <v>0</v>
      </c>
      <c r="Q181" s="120">
        <v>0</v>
      </c>
      <c r="R181" s="117">
        <v>0</v>
      </c>
      <c r="S181" s="120">
        <v>0</v>
      </c>
      <c r="T181" s="117">
        <v>0</v>
      </c>
      <c r="U181" s="119">
        <v>0</v>
      </c>
      <c r="V181" t="str">
        <f>VLOOKUP(A181,Projetos_Ciclo!$H$2:$H$315,1,FALSE)</f>
        <v>TI03015</v>
      </c>
    </row>
    <row r="182" spans="1:22" x14ac:dyDescent="0.25">
      <c r="A182" s="111" t="s">
        <v>1840</v>
      </c>
      <c r="B182" s="112" t="s">
        <v>1841</v>
      </c>
      <c r="C182" s="112" t="s">
        <v>1842</v>
      </c>
      <c r="D182" s="113">
        <v>0</v>
      </c>
      <c r="E182" s="114">
        <v>0</v>
      </c>
      <c r="F182" s="113">
        <v>0</v>
      </c>
      <c r="G182" s="114">
        <v>166</v>
      </c>
      <c r="H182" s="113">
        <v>0</v>
      </c>
      <c r="I182" s="114">
        <v>5.8700799942016602</v>
      </c>
      <c r="J182" s="113">
        <v>0</v>
      </c>
      <c r="K182" s="114">
        <v>5.8700799942016602</v>
      </c>
      <c r="L182" s="113">
        <v>160</v>
      </c>
      <c r="M182" s="114">
        <v>165.87007999420166</v>
      </c>
      <c r="N182" s="113">
        <v>0</v>
      </c>
      <c r="O182" s="114">
        <v>0</v>
      </c>
      <c r="P182" s="113">
        <v>0</v>
      </c>
      <c r="Q182" s="114">
        <v>0</v>
      </c>
      <c r="R182" s="113">
        <v>0</v>
      </c>
      <c r="S182" s="114">
        <v>0</v>
      </c>
      <c r="T182" s="113">
        <v>0</v>
      </c>
      <c r="U182" s="115">
        <v>0</v>
      </c>
      <c r="V182" t="str">
        <f>VLOOKUP(A182,Projetos_Ciclo!$H$2:$H$315,1,FALSE)</f>
        <v>TI03017</v>
      </c>
    </row>
    <row r="183" spans="1:22" x14ac:dyDescent="0.25">
      <c r="A183" s="14" t="s">
        <v>1084</v>
      </c>
      <c r="B183" s="116" t="s">
        <v>1321</v>
      </c>
      <c r="C183" s="116" t="s">
        <v>1322</v>
      </c>
      <c r="D183" s="117">
        <v>0</v>
      </c>
      <c r="E183" s="120">
        <v>0</v>
      </c>
      <c r="F183" s="117">
        <v>0</v>
      </c>
      <c r="G183" s="120">
        <v>216</v>
      </c>
      <c r="H183" s="117">
        <v>0</v>
      </c>
      <c r="I183" s="120">
        <v>60.324001312255859</v>
      </c>
      <c r="J183" s="117">
        <v>0</v>
      </c>
      <c r="K183" s="120">
        <v>60.324001312255859</v>
      </c>
      <c r="L183" s="117">
        <v>155.67599487304687</v>
      </c>
      <c r="M183" s="120">
        <v>215.99999618530273</v>
      </c>
      <c r="N183" s="117">
        <v>0</v>
      </c>
      <c r="O183" s="120">
        <v>0</v>
      </c>
      <c r="P183" s="117">
        <v>0</v>
      </c>
      <c r="Q183" s="120">
        <v>0</v>
      </c>
      <c r="R183" s="117">
        <v>0</v>
      </c>
      <c r="S183" s="120">
        <v>0</v>
      </c>
      <c r="T183" s="117">
        <v>0</v>
      </c>
      <c r="U183" s="119">
        <v>0</v>
      </c>
      <c r="V183" t="str">
        <f>VLOOKUP(A183,Projetos_Ciclo!$H$2:$H$315,1,FALSE)</f>
        <v>TI03117</v>
      </c>
    </row>
    <row r="184" spans="1:22" x14ac:dyDescent="0.25">
      <c r="A184" s="111" t="s">
        <v>990</v>
      </c>
      <c r="B184" s="112" t="s">
        <v>1277</v>
      </c>
      <c r="C184" s="112" t="s">
        <v>1323</v>
      </c>
      <c r="D184" s="113">
        <v>0</v>
      </c>
      <c r="E184" s="114">
        <v>0</v>
      </c>
      <c r="F184" s="113">
        <v>0</v>
      </c>
      <c r="G184" s="114">
        <v>2100</v>
      </c>
      <c r="H184" s="113">
        <v>0</v>
      </c>
      <c r="I184" s="114">
        <v>341.49017333984375</v>
      </c>
      <c r="J184" s="113">
        <v>0</v>
      </c>
      <c r="K184" s="114">
        <v>341.49017333984375</v>
      </c>
      <c r="L184" s="113">
        <v>1154.5678939819336</v>
      </c>
      <c r="M184" s="114">
        <v>1496.0580673217773</v>
      </c>
      <c r="N184" s="113">
        <v>0</v>
      </c>
      <c r="O184" s="114">
        <v>0</v>
      </c>
      <c r="P184" s="113">
        <v>0</v>
      </c>
      <c r="Q184" s="114">
        <v>0</v>
      </c>
      <c r="R184" s="113">
        <v>0</v>
      </c>
      <c r="S184" s="114">
        <v>0</v>
      </c>
      <c r="T184" s="113">
        <v>0</v>
      </c>
      <c r="U184" s="115">
        <v>0</v>
      </c>
      <c r="V184" t="str">
        <f>VLOOKUP(A184,Projetos_Ciclo!$H$2:$H$315,1,FALSE)</f>
        <v>TI03217</v>
      </c>
    </row>
    <row r="185" spans="1:22" x14ac:dyDescent="0.25">
      <c r="A185" s="14" t="s">
        <v>992</v>
      </c>
      <c r="B185" s="116" t="s">
        <v>967</v>
      </c>
      <c r="C185" s="116" t="s">
        <v>1324</v>
      </c>
      <c r="D185" s="117">
        <v>0</v>
      </c>
      <c r="E185" s="120">
        <v>0</v>
      </c>
      <c r="F185" s="117">
        <v>0</v>
      </c>
      <c r="G185" s="120">
        <v>278</v>
      </c>
      <c r="H185" s="117">
        <v>0</v>
      </c>
      <c r="I185" s="120">
        <v>108.51967239379883</v>
      </c>
      <c r="J185" s="117">
        <v>0</v>
      </c>
      <c r="K185" s="120">
        <v>108.51967239379883</v>
      </c>
      <c r="L185" s="117">
        <v>169.582275390625</v>
      </c>
      <c r="M185" s="120">
        <v>278.10194778442383</v>
      </c>
      <c r="N185" s="117">
        <v>0</v>
      </c>
      <c r="O185" s="120">
        <v>0</v>
      </c>
      <c r="P185" s="117">
        <v>0</v>
      </c>
      <c r="Q185" s="120">
        <v>0</v>
      </c>
      <c r="R185" s="117">
        <v>0</v>
      </c>
      <c r="S185" s="120">
        <v>0</v>
      </c>
      <c r="T185" s="117">
        <v>0</v>
      </c>
      <c r="U185" s="119">
        <v>0</v>
      </c>
      <c r="V185" t="str">
        <f>VLOOKUP(A185,Projetos_Ciclo!$H$2:$H$315,1,FALSE)</f>
        <v>TI03317</v>
      </c>
    </row>
    <row r="186" spans="1:22" x14ac:dyDescent="0.25">
      <c r="A186" s="111" t="s">
        <v>1404</v>
      </c>
      <c r="B186" s="112" t="s">
        <v>1405</v>
      </c>
      <c r="C186" s="112" t="s">
        <v>1406</v>
      </c>
      <c r="D186" s="113">
        <v>0</v>
      </c>
      <c r="E186" s="114">
        <v>0</v>
      </c>
      <c r="F186" s="113">
        <v>0</v>
      </c>
      <c r="G186" s="114">
        <v>245</v>
      </c>
      <c r="H186" s="113">
        <v>0</v>
      </c>
      <c r="I186" s="114">
        <v>232.37596130371094</v>
      </c>
      <c r="J186" s="113">
        <v>0</v>
      </c>
      <c r="K186" s="114">
        <v>232.37596130371094</v>
      </c>
      <c r="L186" s="113">
        <v>0</v>
      </c>
      <c r="M186" s="114">
        <v>232.37596130371094</v>
      </c>
      <c r="N186" s="113">
        <v>0</v>
      </c>
      <c r="O186" s="114">
        <v>0</v>
      </c>
      <c r="P186" s="113">
        <v>0</v>
      </c>
      <c r="Q186" s="114">
        <v>0</v>
      </c>
      <c r="R186" s="113">
        <v>0</v>
      </c>
      <c r="S186" s="114">
        <v>0</v>
      </c>
      <c r="T186" s="113">
        <v>0</v>
      </c>
      <c r="U186" s="115">
        <v>0</v>
      </c>
      <c r="V186" t="str">
        <f>VLOOKUP(A186,Projetos_Ciclo!$H$2:$H$315,1,FALSE)</f>
        <v>TI03318</v>
      </c>
    </row>
    <row r="187" spans="1:22" x14ac:dyDescent="0.25">
      <c r="A187" s="14" t="s">
        <v>1080</v>
      </c>
      <c r="B187" s="116" t="s">
        <v>1325</v>
      </c>
      <c r="C187" s="116" t="s">
        <v>1326</v>
      </c>
      <c r="D187" s="117">
        <v>0</v>
      </c>
      <c r="E187" s="120">
        <v>0</v>
      </c>
      <c r="F187" s="117">
        <v>0</v>
      </c>
      <c r="G187" s="120">
        <v>900</v>
      </c>
      <c r="H187" s="117">
        <v>0</v>
      </c>
      <c r="I187" s="120">
        <v>899.99990081787109</v>
      </c>
      <c r="J187" s="117">
        <v>0</v>
      </c>
      <c r="K187" s="120">
        <v>899.99990081787109</v>
      </c>
      <c r="L187" s="117">
        <v>0</v>
      </c>
      <c r="M187" s="120">
        <v>899.99990081787109</v>
      </c>
      <c r="N187" s="117">
        <v>0</v>
      </c>
      <c r="O187" s="120">
        <v>0</v>
      </c>
      <c r="P187" s="117">
        <v>0</v>
      </c>
      <c r="Q187" s="120">
        <v>0</v>
      </c>
      <c r="R187" s="117">
        <v>0</v>
      </c>
      <c r="S187" s="120">
        <v>0</v>
      </c>
      <c r="T187" s="117">
        <v>0</v>
      </c>
      <c r="U187" s="119">
        <v>0</v>
      </c>
      <c r="V187" t="str">
        <f>VLOOKUP(A187,Projetos_Ciclo!$H$2:$H$315,1,FALSE)</f>
        <v>TI03417</v>
      </c>
    </row>
    <row r="188" spans="1:22" x14ac:dyDescent="0.25">
      <c r="A188" s="111" t="s">
        <v>1087</v>
      </c>
      <c r="B188" s="112" t="s">
        <v>966</v>
      </c>
      <c r="C188" s="112" t="s">
        <v>1327</v>
      </c>
      <c r="D188" s="113">
        <v>0</v>
      </c>
      <c r="E188" s="114">
        <v>0</v>
      </c>
      <c r="F188" s="113">
        <v>0</v>
      </c>
      <c r="G188" s="114">
        <v>155</v>
      </c>
      <c r="H188" s="113">
        <v>0</v>
      </c>
      <c r="I188" s="114">
        <v>0</v>
      </c>
      <c r="J188" s="113">
        <v>0</v>
      </c>
      <c r="K188" s="114">
        <v>0</v>
      </c>
      <c r="L188" s="113">
        <v>154.5</v>
      </c>
      <c r="M188" s="114">
        <v>154.5</v>
      </c>
      <c r="N188" s="113">
        <v>0</v>
      </c>
      <c r="O188" s="114">
        <v>0</v>
      </c>
      <c r="P188" s="113">
        <v>0</v>
      </c>
      <c r="Q188" s="114">
        <v>0</v>
      </c>
      <c r="R188" s="113">
        <v>0</v>
      </c>
      <c r="S188" s="114">
        <v>0</v>
      </c>
      <c r="T188" s="113">
        <v>0</v>
      </c>
      <c r="U188" s="115">
        <v>0</v>
      </c>
      <c r="V188" t="str">
        <f>VLOOKUP(A188,Projetos_Ciclo!$H$2:$H$315,1,FALSE)</f>
        <v>TI03517</v>
      </c>
    </row>
    <row r="189" spans="1:22" x14ac:dyDescent="0.25">
      <c r="A189" s="14" t="s">
        <v>991</v>
      </c>
      <c r="B189" s="116" t="s">
        <v>965</v>
      </c>
      <c r="C189" s="116" t="s">
        <v>1328</v>
      </c>
      <c r="D189" s="117">
        <v>0</v>
      </c>
      <c r="E189" s="120">
        <v>0</v>
      </c>
      <c r="F189" s="117">
        <v>0</v>
      </c>
      <c r="G189" s="120">
        <v>247</v>
      </c>
      <c r="H189" s="117">
        <v>0</v>
      </c>
      <c r="I189" s="120">
        <v>110.67523956298828</v>
      </c>
      <c r="J189" s="117">
        <v>0</v>
      </c>
      <c r="K189" s="120">
        <v>110.67523956298828</v>
      </c>
      <c r="L189" s="117">
        <v>136.52476501464844</v>
      </c>
      <c r="M189" s="120">
        <v>247.20000457763672</v>
      </c>
      <c r="N189" s="117">
        <v>0</v>
      </c>
      <c r="O189" s="120">
        <v>0</v>
      </c>
      <c r="P189" s="117">
        <v>0</v>
      </c>
      <c r="Q189" s="120">
        <v>0</v>
      </c>
      <c r="R189" s="117">
        <v>0</v>
      </c>
      <c r="S189" s="120">
        <v>0</v>
      </c>
      <c r="T189" s="117">
        <v>0</v>
      </c>
      <c r="U189" s="119">
        <v>0</v>
      </c>
      <c r="V189" t="str">
        <f>VLOOKUP(A189,Projetos_Ciclo!$H$2:$H$315,1,FALSE)</f>
        <v>TI03617</v>
      </c>
    </row>
    <row r="190" spans="1:22" x14ac:dyDescent="0.25">
      <c r="A190" s="111" t="s">
        <v>1083</v>
      </c>
      <c r="B190" s="112" t="s">
        <v>1329</v>
      </c>
      <c r="C190" s="112" t="s">
        <v>1330</v>
      </c>
      <c r="D190" s="113">
        <v>0</v>
      </c>
      <c r="E190" s="114">
        <v>0</v>
      </c>
      <c r="F190" s="113">
        <v>0</v>
      </c>
      <c r="G190" s="114">
        <v>871</v>
      </c>
      <c r="H190" s="113">
        <v>0</v>
      </c>
      <c r="I190" s="114">
        <v>15.5</v>
      </c>
      <c r="J190" s="113">
        <v>0</v>
      </c>
      <c r="K190" s="114">
        <v>15.5</v>
      </c>
      <c r="L190" s="113">
        <v>384.39999389648437</v>
      </c>
      <c r="M190" s="114">
        <v>399.89999389648437</v>
      </c>
      <c r="N190" s="113">
        <v>0</v>
      </c>
      <c r="O190" s="114">
        <v>0</v>
      </c>
      <c r="P190" s="113">
        <v>0</v>
      </c>
      <c r="Q190" s="114">
        <v>0</v>
      </c>
      <c r="R190" s="113">
        <v>0</v>
      </c>
      <c r="S190" s="114">
        <v>0</v>
      </c>
      <c r="T190" s="113">
        <v>0</v>
      </c>
      <c r="U190" s="115">
        <v>0</v>
      </c>
      <c r="V190" t="str">
        <f>VLOOKUP(A190,Projetos_Ciclo!$H$2:$H$315,1,FALSE)</f>
        <v>TI04117</v>
      </c>
    </row>
    <row r="191" spans="1:22" x14ac:dyDescent="0.25">
      <c r="A191" s="14" t="s">
        <v>1487</v>
      </c>
      <c r="B191" s="116" t="s">
        <v>1488</v>
      </c>
      <c r="C191" s="116" t="s">
        <v>1489</v>
      </c>
      <c r="D191" s="117">
        <v>0</v>
      </c>
      <c r="E191" s="120">
        <v>0</v>
      </c>
      <c r="F191" s="117">
        <v>0</v>
      </c>
      <c r="G191" s="120">
        <v>150</v>
      </c>
      <c r="H191" s="117">
        <v>0</v>
      </c>
      <c r="I191" s="120">
        <v>0</v>
      </c>
      <c r="J191" s="117">
        <v>0</v>
      </c>
      <c r="K191" s="120">
        <v>0</v>
      </c>
      <c r="L191" s="117">
        <v>149</v>
      </c>
      <c r="M191" s="120">
        <v>149</v>
      </c>
      <c r="N191" s="117">
        <v>0</v>
      </c>
      <c r="O191" s="120">
        <v>0</v>
      </c>
      <c r="P191" s="117">
        <v>0</v>
      </c>
      <c r="Q191" s="120">
        <v>0</v>
      </c>
      <c r="R191" s="117">
        <v>0</v>
      </c>
      <c r="S191" s="120">
        <v>0</v>
      </c>
      <c r="T191" s="117">
        <v>0</v>
      </c>
      <c r="U191" s="119">
        <v>0</v>
      </c>
      <c r="V191" t="str">
        <f>VLOOKUP(A191,Projetos_Ciclo!$H$2:$H$315,1,FALSE)</f>
        <v>TI04618</v>
      </c>
    </row>
    <row r="192" spans="1:22" x14ac:dyDescent="0.25">
      <c r="A192" s="111" t="s">
        <v>1418</v>
      </c>
      <c r="B192" s="112" t="s">
        <v>1419</v>
      </c>
      <c r="C192" s="112" t="s">
        <v>1420</v>
      </c>
      <c r="D192" s="113">
        <v>0</v>
      </c>
      <c r="E192" s="114">
        <v>0</v>
      </c>
      <c r="F192" s="113">
        <v>0</v>
      </c>
      <c r="G192" s="114">
        <v>141</v>
      </c>
      <c r="H192" s="113">
        <v>0</v>
      </c>
      <c r="I192" s="114">
        <v>25.882419586181641</v>
      </c>
      <c r="J192" s="113">
        <v>0</v>
      </c>
      <c r="K192" s="114">
        <v>25.882419586181641</v>
      </c>
      <c r="L192" s="113">
        <v>115.34107971191406</v>
      </c>
      <c r="M192" s="114">
        <v>141.2234992980957</v>
      </c>
      <c r="N192" s="113">
        <v>0</v>
      </c>
      <c r="O192" s="114">
        <v>0</v>
      </c>
      <c r="P192" s="113">
        <v>0</v>
      </c>
      <c r="Q192" s="114">
        <v>0</v>
      </c>
      <c r="R192" s="113">
        <v>0</v>
      </c>
      <c r="S192" s="114">
        <v>0</v>
      </c>
      <c r="T192" s="113">
        <v>0</v>
      </c>
      <c r="U192" s="115">
        <v>0</v>
      </c>
      <c r="V192" t="str">
        <f>VLOOKUP(A192,Projetos_Ciclo!$H$2:$H$315,1,FALSE)</f>
        <v>TI04718</v>
      </c>
    </row>
    <row r="193" spans="1:22" x14ac:dyDescent="0.25">
      <c r="A193" s="14" t="s">
        <v>1524</v>
      </c>
      <c r="B193" s="116" t="s">
        <v>1525</v>
      </c>
      <c r="C193" s="116" t="s">
        <v>1526</v>
      </c>
      <c r="D193" s="117">
        <v>0</v>
      </c>
      <c r="E193" s="120">
        <v>0</v>
      </c>
      <c r="F193" s="117">
        <v>0</v>
      </c>
      <c r="G193" s="120">
        <v>420</v>
      </c>
      <c r="H193" s="117">
        <v>0</v>
      </c>
      <c r="I193" s="120">
        <v>0</v>
      </c>
      <c r="J193" s="117">
        <v>0</v>
      </c>
      <c r="K193" s="120">
        <v>0</v>
      </c>
      <c r="L193" s="117">
        <v>420.44839477539062</v>
      </c>
      <c r="M193" s="120">
        <v>420.44839477539062</v>
      </c>
      <c r="N193" s="117">
        <v>0</v>
      </c>
      <c r="O193" s="120">
        <v>0</v>
      </c>
      <c r="P193" s="117">
        <v>0</v>
      </c>
      <c r="Q193" s="120">
        <v>0</v>
      </c>
      <c r="R193" s="117">
        <v>0</v>
      </c>
      <c r="S193" s="120">
        <v>0</v>
      </c>
      <c r="T193" s="117">
        <v>0</v>
      </c>
      <c r="U193" s="119">
        <v>0</v>
      </c>
      <c r="V193" t="str">
        <f>VLOOKUP(A193,Projetos_Ciclo!$H$2:$H$315,1,FALSE)</f>
        <v>TI05218</v>
      </c>
    </row>
    <row r="194" spans="1:22" x14ac:dyDescent="0.25">
      <c r="A194" s="111" t="s">
        <v>1547</v>
      </c>
      <c r="B194" s="112" t="s">
        <v>1548</v>
      </c>
      <c r="C194" s="112" t="s">
        <v>1549</v>
      </c>
      <c r="D194" s="113">
        <v>0</v>
      </c>
      <c r="E194" s="114">
        <v>0</v>
      </c>
      <c r="F194" s="113">
        <v>0</v>
      </c>
      <c r="G194" s="114">
        <v>800</v>
      </c>
      <c r="H194" s="113">
        <v>0</v>
      </c>
      <c r="I194" s="114">
        <v>800</v>
      </c>
      <c r="J194" s="113">
        <v>0</v>
      </c>
      <c r="K194" s="114">
        <v>800</v>
      </c>
      <c r="L194" s="113">
        <v>0</v>
      </c>
      <c r="M194" s="114">
        <v>800</v>
      </c>
      <c r="N194" s="113">
        <v>0</v>
      </c>
      <c r="O194" s="114">
        <v>0</v>
      </c>
      <c r="P194" s="113">
        <v>0</v>
      </c>
      <c r="Q194" s="114">
        <v>0</v>
      </c>
      <c r="R194" s="113">
        <v>0</v>
      </c>
      <c r="S194" s="114">
        <v>0</v>
      </c>
      <c r="T194" s="113">
        <v>0</v>
      </c>
      <c r="U194" s="115">
        <v>0</v>
      </c>
      <c r="V194" t="str">
        <f>VLOOKUP(A194,Projetos_Ciclo!$H$2:$H$315,1,FALSE)</f>
        <v>TI05318</v>
      </c>
    </row>
    <row r="195" spans="1:22" x14ac:dyDescent="0.25">
      <c r="A195" s="14" t="s">
        <v>1571</v>
      </c>
      <c r="B195" s="116" t="s">
        <v>1537</v>
      </c>
      <c r="C195" s="116" t="s">
        <v>1572</v>
      </c>
      <c r="D195" s="117">
        <v>0</v>
      </c>
      <c r="E195" s="120">
        <v>0</v>
      </c>
      <c r="F195" s="117">
        <v>0</v>
      </c>
      <c r="G195" s="120">
        <v>500</v>
      </c>
      <c r="H195" s="117">
        <v>0</v>
      </c>
      <c r="I195" s="120">
        <v>0</v>
      </c>
      <c r="J195" s="117">
        <v>0</v>
      </c>
      <c r="K195" s="120">
        <v>0</v>
      </c>
      <c r="L195" s="117">
        <v>439.99998474121094</v>
      </c>
      <c r="M195" s="120">
        <v>439.99998474121094</v>
      </c>
      <c r="N195" s="117">
        <v>0</v>
      </c>
      <c r="O195" s="120">
        <v>0</v>
      </c>
      <c r="P195" s="117">
        <v>0</v>
      </c>
      <c r="Q195" s="120">
        <v>0</v>
      </c>
      <c r="R195" s="117">
        <v>0</v>
      </c>
      <c r="S195" s="120">
        <v>0</v>
      </c>
      <c r="T195" s="117">
        <v>0</v>
      </c>
      <c r="U195" s="119">
        <v>0</v>
      </c>
      <c r="V195" t="str">
        <f>VLOOKUP(A195,Projetos_Ciclo!$H$2:$H$315,1,FALSE)</f>
        <v>TI05418</v>
      </c>
    </row>
    <row r="196" spans="1:22" x14ac:dyDescent="0.25">
      <c r="A196" s="111" t="s">
        <v>1573</v>
      </c>
      <c r="B196" s="112" t="s">
        <v>1511</v>
      </c>
      <c r="C196" s="112" t="s">
        <v>1574</v>
      </c>
      <c r="D196" s="113">
        <v>0</v>
      </c>
      <c r="E196" s="114">
        <v>0</v>
      </c>
      <c r="F196" s="113">
        <v>0</v>
      </c>
      <c r="G196" s="114">
        <v>760</v>
      </c>
      <c r="H196" s="113">
        <v>0</v>
      </c>
      <c r="I196" s="114">
        <v>0</v>
      </c>
      <c r="J196" s="113">
        <v>0</v>
      </c>
      <c r="K196" s="114">
        <v>0</v>
      </c>
      <c r="L196" s="113">
        <v>580.49600219726562</v>
      </c>
      <c r="M196" s="114">
        <v>580.49600219726562</v>
      </c>
      <c r="N196" s="113">
        <v>0</v>
      </c>
      <c r="O196" s="114">
        <v>0</v>
      </c>
      <c r="P196" s="113">
        <v>0</v>
      </c>
      <c r="Q196" s="114">
        <v>0</v>
      </c>
      <c r="R196" s="113">
        <v>0</v>
      </c>
      <c r="S196" s="114">
        <v>0</v>
      </c>
      <c r="T196" s="113">
        <v>0</v>
      </c>
      <c r="U196" s="115">
        <v>0</v>
      </c>
      <c r="V196" t="str">
        <f>VLOOKUP(A196,Projetos_Ciclo!$H$2:$H$315,1,FALSE)</f>
        <v>TI05518</v>
      </c>
    </row>
    <row r="197" spans="1:22" x14ac:dyDescent="0.25">
      <c r="A197" s="14" t="s">
        <v>1575</v>
      </c>
      <c r="B197" s="116" t="s">
        <v>787</v>
      </c>
      <c r="C197" s="116" t="s">
        <v>1576</v>
      </c>
      <c r="D197" s="117">
        <v>0</v>
      </c>
      <c r="E197" s="120">
        <v>0</v>
      </c>
      <c r="F197" s="117">
        <v>0</v>
      </c>
      <c r="G197" s="120">
        <v>1865</v>
      </c>
      <c r="H197" s="117">
        <v>0</v>
      </c>
      <c r="I197" s="120">
        <v>0</v>
      </c>
      <c r="J197" s="117">
        <v>0</v>
      </c>
      <c r="K197" s="120">
        <v>0</v>
      </c>
      <c r="L197" s="117">
        <v>1678.5040016174316</v>
      </c>
      <c r="M197" s="120">
        <v>1678.5040016174316</v>
      </c>
      <c r="N197" s="117">
        <v>0</v>
      </c>
      <c r="O197" s="120">
        <v>0</v>
      </c>
      <c r="P197" s="117">
        <v>0</v>
      </c>
      <c r="Q197" s="120">
        <v>0</v>
      </c>
      <c r="R197" s="117">
        <v>0</v>
      </c>
      <c r="S197" s="120">
        <v>0</v>
      </c>
      <c r="T197" s="117">
        <v>0</v>
      </c>
      <c r="U197" s="119">
        <v>0</v>
      </c>
      <c r="V197" t="str">
        <f>VLOOKUP(A197,Projetos_Ciclo!$H$2:$H$315,1,FALSE)</f>
        <v>TI05618</v>
      </c>
    </row>
    <row r="198" spans="1:22" x14ac:dyDescent="0.25">
      <c r="A198" s="111" t="s">
        <v>1577</v>
      </c>
      <c r="B198" s="112" t="s">
        <v>1578</v>
      </c>
      <c r="C198" s="112" t="s">
        <v>1579</v>
      </c>
      <c r="D198" s="113">
        <v>0</v>
      </c>
      <c r="E198" s="114">
        <v>0</v>
      </c>
      <c r="F198" s="113">
        <v>0</v>
      </c>
      <c r="G198" s="114">
        <v>120</v>
      </c>
      <c r="H198" s="113">
        <v>0</v>
      </c>
      <c r="I198" s="114">
        <v>0</v>
      </c>
      <c r="J198" s="113">
        <v>0</v>
      </c>
      <c r="K198" s="114">
        <v>0</v>
      </c>
      <c r="L198" s="113">
        <v>120.05999755859375</v>
      </c>
      <c r="M198" s="114">
        <v>120.05999755859375</v>
      </c>
      <c r="N198" s="113">
        <v>0</v>
      </c>
      <c r="O198" s="114">
        <v>0</v>
      </c>
      <c r="P198" s="113">
        <v>0</v>
      </c>
      <c r="Q198" s="114">
        <v>0</v>
      </c>
      <c r="R198" s="113">
        <v>0</v>
      </c>
      <c r="S198" s="114">
        <v>0</v>
      </c>
      <c r="T198" s="113">
        <v>0</v>
      </c>
      <c r="U198" s="115">
        <v>0</v>
      </c>
      <c r="V198" t="str">
        <f>VLOOKUP(A198,Projetos_Ciclo!$H$2:$H$315,1,FALSE)</f>
        <v>TI05718</v>
      </c>
    </row>
    <row r="199" spans="1:22" x14ac:dyDescent="0.25">
      <c r="A199" s="14" t="s">
        <v>1663</v>
      </c>
      <c r="B199" s="116" t="s">
        <v>1606</v>
      </c>
      <c r="C199" s="116" t="s">
        <v>1664</v>
      </c>
      <c r="D199" s="117">
        <v>0</v>
      </c>
      <c r="E199" s="120">
        <v>0</v>
      </c>
      <c r="F199" s="117">
        <v>0</v>
      </c>
      <c r="G199" s="120">
        <v>0</v>
      </c>
      <c r="H199" s="117">
        <v>0</v>
      </c>
      <c r="I199" s="120">
        <v>0</v>
      </c>
      <c r="J199" s="117">
        <v>0</v>
      </c>
      <c r="K199" s="120">
        <v>0</v>
      </c>
      <c r="L199" s="117">
        <v>0</v>
      </c>
      <c r="M199" s="120">
        <v>0</v>
      </c>
      <c r="N199" s="117">
        <v>0</v>
      </c>
      <c r="O199" s="120">
        <v>0</v>
      </c>
      <c r="P199" s="117">
        <v>0</v>
      </c>
      <c r="Q199" s="120">
        <v>0</v>
      </c>
      <c r="R199" s="117">
        <v>0</v>
      </c>
      <c r="S199" s="120">
        <v>0</v>
      </c>
      <c r="T199" s="117">
        <v>0</v>
      </c>
      <c r="U199" s="119">
        <v>0</v>
      </c>
      <c r="V199" t="str">
        <f>VLOOKUP(A199,Projetos_Ciclo!$H$2:$H$315,1,FALSE)</f>
        <v>TI06218</v>
      </c>
    </row>
    <row r="200" spans="1:22" x14ac:dyDescent="0.25">
      <c r="A200" s="111" t="s">
        <v>1665</v>
      </c>
      <c r="B200" s="112" t="s">
        <v>1600</v>
      </c>
      <c r="C200" s="112" t="s">
        <v>1666</v>
      </c>
      <c r="D200" s="113">
        <v>0</v>
      </c>
      <c r="E200" s="114">
        <v>0</v>
      </c>
      <c r="F200" s="113">
        <v>0</v>
      </c>
      <c r="G200" s="114">
        <v>26</v>
      </c>
      <c r="H200" s="113">
        <v>0</v>
      </c>
      <c r="I200" s="114">
        <v>0</v>
      </c>
      <c r="J200" s="113">
        <v>0</v>
      </c>
      <c r="K200" s="114">
        <v>0</v>
      </c>
      <c r="L200" s="113">
        <v>25.677000045776367</v>
      </c>
      <c r="M200" s="114">
        <v>25.677000045776367</v>
      </c>
      <c r="N200" s="113">
        <v>0</v>
      </c>
      <c r="O200" s="114">
        <v>0</v>
      </c>
      <c r="P200" s="113">
        <v>0</v>
      </c>
      <c r="Q200" s="114">
        <v>0</v>
      </c>
      <c r="R200" s="113">
        <v>0</v>
      </c>
      <c r="S200" s="114">
        <v>0</v>
      </c>
      <c r="T200" s="113">
        <v>0</v>
      </c>
      <c r="U200" s="115">
        <v>0</v>
      </c>
      <c r="V200" t="str">
        <f>VLOOKUP(A200,Projetos_Ciclo!$H$2:$H$315,1,FALSE)</f>
        <v>TI06318</v>
      </c>
    </row>
    <row r="201" spans="1:22" x14ac:dyDescent="0.25">
      <c r="A201" s="14" t="s">
        <v>1667</v>
      </c>
      <c r="B201" s="116" t="s">
        <v>968</v>
      </c>
      <c r="C201" s="116" t="s">
        <v>1668</v>
      </c>
      <c r="D201" s="117">
        <v>0</v>
      </c>
      <c r="E201" s="120">
        <v>0</v>
      </c>
      <c r="F201" s="117">
        <v>0</v>
      </c>
      <c r="G201" s="120">
        <v>68</v>
      </c>
      <c r="H201" s="117">
        <v>0</v>
      </c>
      <c r="I201" s="120">
        <v>0</v>
      </c>
      <c r="J201" s="117">
        <v>0</v>
      </c>
      <c r="K201" s="120">
        <v>0</v>
      </c>
      <c r="L201" s="117">
        <v>68.472000122070313</v>
      </c>
      <c r="M201" s="120">
        <v>68.472000122070313</v>
      </c>
      <c r="N201" s="117">
        <v>0</v>
      </c>
      <c r="O201" s="120">
        <v>0</v>
      </c>
      <c r="P201" s="117">
        <v>0</v>
      </c>
      <c r="Q201" s="120">
        <v>0</v>
      </c>
      <c r="R201" s="117">
        <v>0</v>
      </c>
      <c r="S201" s="120">
        <v>0</v>
      </c>
      <c r="T201" s="117">
        <v>0</v>
      </c>
      <c r="U201" s="119">
        <v>0</v>
      </c>
      <c r="V201" t="str">
        <f>VLOOKUP(A201,Projetos_Ciclo!$H$2:$H$315,1,FALSE)</f>
        <v>TI06418</v>
      </c>
    </row>
    <row r="202" spans="1:22" x14ac:dyDescent="0.25">
      <c r="A202" s="111" t="s">
        <v>1669</v>
      </c>
      <c r="B202" s="112" t="s">
        <v>778</v>
      </c>
      <c r="C202" s="112" t="s">
        <v>1670</v>
      </c>
      <c r="D202" s="113">
        <v>0</v>
      </c>
      <c r="E202" s="114">
        <v>0</v>
      </c>
      <c r="F202" s="113">
        <v>0</v>
      </c>
      <c r="G202" s="114">
        <v>1123</v>
      </c>
      <c r="H202" s="113">
        <v>0</v>
      </c>
      <c r="I202" s="114">
        <v>0</v>
      </c>
      <c r="J202" s="113">
        <v>0</v>
      </c>
      <c r="K202" s="114">
        <v>0</v>
      </c>
      <c r="L202" s="113">
        <v>992.60840749740601</v>
      </c>
      <c r="M202" s="114">
        <v>992.60840749740601</v>
      </c>
      <c r="N202" s="113">
        <v>0</v>
      </c>
      <c r="O202" s="114">
        <v>0</v>
      </c>
      <c r="P202" s="113">
        <v>0</v>
      </c>
      <c r="Q202" s="114">
        <v>0</v>
      </c>
      <c r="R202" s="113">
        <v>0</v>
      </c>
      <c r="S202" s="114">
        <v>0</v>
      </c>
      <c r="T202" s="113">
        <v>0</v>
      </c>
      <c r="U202" s="115">
        <v>0</v>
      </c>
      <c r="V202" t="str">
        <f>VLOOKUP(A202,Projetos_Ciclo!$H$2:$H$315,1,FALSE)</f>
        <v>TI06518</v>
      </c>
    </row>
    <row r="203" spans="1:22" x14ac:dyDescent="0.25">
      <c r="A203" s="14" t="s">
        <v>1708</v>
      </c>
      <c r="B203" s="116" t="s">
        <v>798</v>
      </c>
      <c r="C203" s="116" t="s">
        <v>1709</v>
      </c>
      <c r="D203" s="117">
        <v>0</v>
      </c>
      <c r="E203" s="120">
        <v>0</v>
      </c>
      <c r="F203" s="117">
        <v>0</v>
      </c>
      <c r="G203" s="120">
        <v>12</v>
      </c>
      <c r="H203" s="117">
        <v>0</v>
      </c>
      <c r="I203" s="120">
        <v>0</v>
      </c>
      <c r="J203" s="117">
        <v>0</v>
      </c>
      <c r="K203" s="120">
        <v>0</v>
      </c>
      <c r="L203" s="117">
        <v>11</v>
      </c>
      <c r="M203" s="120">
        <v>11</v>
      </c>
      <c r="N203" s="117">
        <v>0</v>
      </c>
      <c r="O203" s="120">
        <v>0</v>
      </c>
      <c r="P203" s="117">
        <v>0</v>
      </c>
      <c r="Q203" s="120">
        <v>0</v>
      </c>
      <c r="R203" s="117">
        <v>0</v>
      </c>
      <c r="S203" s="120">
        <v>0</v>
      </c>
      <c r="T203" s="117">
        <v>0</v>
      </c>
      <c r="U203" s="119">
        <v>0</v>
      </c>
      <c r="V203" t="str">
        <f>VLOOKUP(A203,Projetos_Ciclo!$H$2:$H$315,1,FALSE)</f>
        <v>TI06718</v>
      </c>
    </row>
    <row r="204" spans="1:22" x14ac:dyDescent="0.25">
      <c r="A204" s="111" t="s">
        <v>1710</v>
      </c>
      <c r="B204" s="112" t="s">
        <v>1706</v>
      </c>
      <c r="C204" s="112" t="s">
        <v>1711</v>
      </c>
      <c r="D204" s="113">
        <v>0</v>
      </c>
      <c r="E204" s="114">
        <v>0</v>
      </c>
      <c r="F204" s="113">
        <v>0</v>
      </c>
      <c r="G204" s="114">
        <v>99</v>
      </c>
      <c r="H204" s="113">
        <v>0</v>
      </c>
      <c r="I204" s="114">
        <v>0</v>
      </c>
      <c r="J204" s="113">
        <v>0</v>
      </c>
      <c r="K204" s="114">
        <v>0</v>
      </c>
      <c r="L204" s="113">
        <v>99.022499084472656</v>
      </c>
      <c r="M204" s="114">
        <v>99.022499084472656</v>
      </c>
      <c r="N204" s="113">
        <v>0</v>
      </c>
      <c r="O204" s="114">
        <v>0</v>
      </c>
      <c r="P204" s="113">
        <v>0</v>
      </c>
      <c r="Q204" s="114">
        <v>0</v>
      </c>
      <c r="R204" s="113">
        <v>0</v>
      </c>
      <c r="S204" s="114">
        <v>0</v>
      </c>
      <c r="T204" s="113">
        <v>0</v>
      </c>
      <c r="U204" s="115">
        <v>0</v>
      </c>
      <c r="V204" t="str">
        <f>VLOOKUP(A204,Projetos_Ciclo!$H$2:$H$315,1,FALSE)</f>
        <v>TI07018</v>
      </c>
    </row>
    <row r="205" spans="1:22" x14ac:dyDescent="0.25">
      <c r="A205" s="14" t="s">
        <v>1818</v>
      </c>
      <c r="B205" s="116" t="s">
        <v>1819</v>
      </c>
      <c r="C205" s="116" t="s">
        <v>1820</v>
      </c>
      <c r="D205" s="117">
        <v>0</v>
      </c>
      <c r="E205" s="120">
        <v>0</v>
      </c>
      <c r="F205" s="117">
        <v>0</v>
      </c>
      <c r="G205" s="120">
        <v>69</v>
      </c>
      <c r="H205" s="117">
        <v>0</v>
      </c>
      <c r="I205" s="120">
        <v>0</v>
      </c>
      <c r="J205" s="117">
        <v>0</v>
      </c>
      <c r="K205" s="120">
        <v>0</v>
      </c>
      <c r="L205" s="117">
        <v>0</v>
      </c>
      <c r="M205" s="120">
        <v>0</v>
      </c>
      <c r="N205" s="117">
        <v>0</v>
      </c>
      <c r="O205" s="120">
        <v>0</v>
      </c>
      <c r="P205" s="117">
        <v>0</v>
      </c>
      <c r="Q205" s="120">
        <v>0</v>
      </c>
      <c r="R205" s="117">
        <v>0</v>
      </c>
      <c r="S205" s="120">
        <v>0</v>
      </c>
      <c r="T205" s="117">
        <v>0</v>
      </c>
      <c r="U205" s="119">
        <v>0</v>
      </c>
      <c r="V205" t="str">
        <f>VLOOKUP(A205,Projetos_Ciclo!$H$2:$H$315,1,FALSE)</f>
        <v>TI07418</v>
      </c>
    </row>
    <row r="206" spans="1:22" x14ac:dyDescent="0.25">
      <c r="A206" s="111" t="s">
        <v>1821</v>
      </c>
      <c r="B206" s="112" t="s">
        <v>1822</v>
      </c>
      <c r="C206" s="112" t="s">
        <v>1823</v>
      </c>
      <c r="D206" s="113">
        <v>0</v>
      </c>
      <c r="E206" s="114">
        <v>0</v>
      </c>
      <c r="F206" s="113">
        <v>0</v>
      </c>
      <c r="G206" s="114">
        <v>485</v>
      </c>
      <c r="H206" s="113">
        <v>0</v>
      </c>
      <c r="I206" s="114">
        <v>0</v>
      </c>
      <c r="J206" s="113">
        <v>0</v>
      </c>
      <c r="K206" s="114">
        <v>0</v>
      </c>
      <c r="L206" s="113">
        <v>485</v>
      </c>
      <c r="M206" s="114">
        <v>485</v>
      </c>
      <c r="N206" s="113">
        <v>0</v>
      </c>
      <c r="O206" s="114">
        <v>0</v>
      </c>
      <c r="P206" s="113">
        <v>0</v>
      </c>
      <c r="Q206" s="114">
        <v>0</v>
      </c>
      <c r="R206" s="113">
        <v>0</v>
      </c>
      <c r="S206" s="114">
        <v>0</v>
      </c>
      <c r="T206" s="113">
        <v>0</v>
      </c>
      <c r="U206" s="115">
        <v>0</v>
      </c>
      <c r="V206" t="str">
        <f>VLOOKUP(A206,Projetos_Ciclo!$H$2:$H$315,1,FALSE)</f>
        <v>TI07518</v>
      </c>
    </row>
    <row r="207" spans="1:22" x14ac:dyDescent="0.25">
      <c r="A207" s="14" t="s">
        <v>1849</v>
      </c>
      <c r="B207" s="116" t="s">
        <v>1850</v>
      </c>
      <c r="C207" s="116" t="s">
        <v>1851</v>
      </c>
      <c r="D207" s="117">
        <v>0</v>
      </c>
      <c r="E207" s="120">
        <v>0</v>
      </c>
      <c r="F207" s="117">
        <v>0</v>
      </c>
      <c r="G207" s="120">
        <v>115</v>
      </c>
      <c r="H207" s="117">
        <v>0</v>
      </c>
      <c r="I207" s="120">
        <v>0</v>
      </c>
      <c r="J207" s="117">
        <v>0</v>
      </c>
      <c r="K207" s="120">
        <v>0</v>
      </c>
      <c r="L207" s="117">
        <v>114.364501953125</v>
      </c>
      <c r="M207" s="120">
        <v>114.364501953125</v>
      </c>
      <c r="N207" s="117">
        <v>0</v>
      </c>
      <c r="O207" s="120">
        <v>0</v>
      </c>
      <c r="P207" s="117">
        <v>0</v>
      </c>
      <c r="Q207" s="120">
        <v>0</v>
      </c>
      <c r="R207" s="117">
        <v>0</v>
      </c>
      <c r="S207" s="120">
        <v>0</v>
      </c>
      <c r="T207" s="117">
        <v>0</v>
      </c>
      <c r="U207" s="119">
        <v>0</v>
      </c>
      <c r="V207" t="str">
        <f>VLOOKUP(A207,Projetos_Ciclo!$H$2:$H$315,1,FALSE)</f>
        <v>TI08218</v>
      </c>
    </row>
    <row r="208" spans="1:22" x14ac:dyDescent="0.25">
      <c r="A208" s="111" t="s">
        <v>1879</v>
      </c>
      <c r="B208" s="112" t="s">
        <v>1899</v>
      </c>
      <c r="C208" s="112" t="s">
        <v>1900</v>
      </c>
      <c r="D208" s="113">
        <v>0</v>
      </c>
      <c r="E208" s="114">
        <v>0</v>
      </c>
      <c r="F208" s="113">
        <v>0</v>
      </c>
      <c r="G208" s="114">
        <v>50</v>
      </c>
      <c r="H208" s="113">
        <v>0</v>
      </c>
      <c r="I208" s="114">
        <v>0</v>
      </c>
      <c r="J208" s="113">
        <v>0</v>
      </c>
      <c r="K208" s="114">
        <v>0</v>
      </c>
      <c r="L208" s="113">
        <v>50</v>
      </c>
      <c r="M208" s="114">
        <v>50</v>
      </c>
      <c r="N208" s="113">
        <v>0</v>
      </c>
      <c r="O208" s="114">
        <v>0</v>
      </c>
      <c r="P208" s="113">
        <v>0</v>
      </c>
      <c r="Q208" s="114">
        <v>0</v>
      </c>
      <c r="R208" s="113">
        <v>0</v>
      </c>
      <c r="S208" s="114">
        <v>0</v>
      </c>
      <c r="T208" s="113">
        <v>0</v>
      </c>
      <c r="U208" s="115">
        <v>0</v>
      </c>
      <c r="V208" t="str">
        <f>VLOOKUP(A208,Projetos_Ciclo!$H$2:$H$315,1,FALSE)</f>
        <v>TI08318</v>
      </c>
    </row>
    <row r="209" spans="1:22" x14ac:dyDescent="0.25">
      <c r="A209" s="14" t="s">
        <v>1901</v>
      </c>
      <c r="B209" s="116" t="s">
        <v>1902</v>
      </c>
      <c r="C209" s="116" t="s">
        <v>1903</v>
      </c>
      <c r="D209" s="117">
        <v>0</v>
      </c>
      <c r="E209" s="120">
        <v>0</v>
      </c>
      <c r="F209" s="117">
        <v>0</v>
      </c>
      <c r="G209" s="120">
        <v>50</v>
      </c>
      <c r="H209" s="117">
        <v>0</v>
      </c>
      <c r="I209" s="120">
        <v>0</v>
      </c>
      <c r="J209" s="117">
        <v>0</v>
      </c>
      <c r="K209" s="120">
        <v>0</v>
      </c>
      <c r="L209" s="117">
        <v>49.999950408935547</v>
      </c>
      <c r="M209" s="120">
        <v>49.999950408935547</v>
      </c>
      <c r="N209" s="117">
        <v>0</v>
      </c>
      <c r="O209" s="120">
        <v>0</v>
      </c>
      <c r="P209" s="117">
        <v>0</v>
      </c>
      <c r="Q209" s="120">
        <v>0</v>
      </c>
      <c r="R209" s="117">
        <v>0</v>
      </c>
      <c r="S209" s="120">
        <v>0</v>
      </c>
      <c r="T209" s="117">
        <v>0</v>
      </c>
      <c r="U209" s="119">
        <v>0</v>
      </c>
      <c r="V209" t="str">
        <f>VLOOKUP(A209,Projetos_Ciclo!$H$2:$H$315,1,FALSE)</f>
        <v>TI08418</v>
      </c>
    </row>
    <row r="210" spans="1:22" x14ac:dyDescent="0.25">
      <c r="A210" s="111" t="s">
        <v>1917</v>
      </c>
      <c r="B210" s="112" t="s">
        <v>1918</v>
      </c>
      <c r="C210" s="112" t="s">
        <v>1919</v>
      </c>
      <c r="D210" s="113">
        <v>0</v>
      </c>
      <c r="E210" s="114">
        <v>0</v>
      </c>
      <c r="F210" s="113">
        <v>0</v>
      </c>
      <c r="G210" s="114">
        <v>200</v>
      </c>
      <c r="H210" s="113">
        <v>0</v>
      </c>
      <c r="I210" s="114">
        <v>0</v>
      </c>
      <c r="J210" s="113">
        <v>0</v>
      </c>
      <c r="K210" s="114">
        <v>0</v>
      </c>
      <c r="L210" s="113">
        <v>200.10000610351562</v>
      </c>
      <c r="M210" s="114">
        <v>200.10000610351562</v>
      </c>
      <c r="N210" s="113">
        <v>0</v>
      </c>
      <c r="O210" s="114">
        <v>0</v>
      </c>
      <c r="P210" s="113">
        <v>0</v>
      </c>
      <c r="Q210" s="114">
        <v>0</v>
      </c>
      <c r="R210" s="113">
        <v>0</v>
      </c>
      <c r="S210" s="114">
        <v>0</v>
      </c>
      <c r="T210" s="113">
        <v>0</v>
      </c>
      <c r="U210" s="115">
        <v>0</v>
      </c>
      <c r="V210" t="str">
        <f>VLOOKUP(A210,Projetos_Ciclo!$H$2:$H$315,1,FALSE)</f>
        <v>TI08518</v>
      </c>
    </row>
    <row r="211" spans="1:22" x14ac:dyDescent="0.25">
      <c r="A211" s="14" t="s">
        <v>1957</v>
      </c>
      <c r="B211" s="116" t="s">
        <v>1701</v>
      </c>
      <c r="C211" s="116" t="s">
        <v>1958</v>
      </c>
      <c r="D211" s="117">
        <v>0</v>
      </c>
      <c r="E211" s="120">
        <v>0</v>
      </c>
      <c r="F211" s="117">
        <v>0</v>
      </c>
      <c r="G211" s="120">
        <v>2400</v>
      </c>
      <c r="H211" s="117">
        <v>0</v>
      </c>
      <c r="I211" s="120">
        <v>0</v>
      </c>
      <c r="J211" s="117">
        <v>0</v>
      </c>
      <c r="K211" s="120">
        <v>0</v>
      </c>
      <c r="L211" s="117">
        <v>0</v>
      </c>
      <c r="M211" s="120">
        <v>0</v>
      </c>
      <c r="N211" s="117">
        <v>0</v>
      </c>
      <c r="O211" s="120">
        <v>0</v>
      </c>
      <c r="P211" s="117">
        <v>0</v>
      </c>
      <c r="Q211" s="120">
        <v>0</v>
      </c>
      <c r="R211" s="117">
        <v>0</v>
      </c>
      <c r="S211" s="120">
        <v>0</v>
      </c>
      <c r="T211" s="117">
        <v>0</v>
      </c>
      <c r="U211" s="119">
        <v>0</v>
      </c>
      <c r="V211" t="e">
        <f>VLOOKUP(A211,Projetos_Ciclo!$H$2:$H$315,1,FALSE)</f>
        <v>#N/A</v>
      </c>
    </row>
    <row r="212" spans="1:22" x14ac:dyDescent="0.25">
      <c r="A212" s="111" t="s">
        <v>1133</v>
      </c>
      <c r="B212" s="112" t="s">
        <v>1331</v>
      </c>
      <c r="C212" s="112" t="s">
        <v>57</v>
      </c>
      <c r="D212" s="113">
        <v>0</v>
      </c>
      <c r="E212" s="114">
        <v>0</v>
      </c>
      <c r="F212" s="113">
        <v>0</v>
      </c>
      <c r="G212" s="114">
        <v>0</v>
      </c>
      <c r="H212" s="113">
        <v>0</v>
      </c>
      <c r="I212" s="114">
        <v>0</v>
      </c>
      <c r="J212" s="113">
        <v>0</v>
      </c>
      <c r="K212" s="114">
        <v>0</v>
      </c>
      <c r="L212" s="113">
        <v>0</v>
      </c>
      <c r="M212" s="114">
        <v>0</v>
      </c>
      <c r="N212" s="113">
        <v>0</v>
      </c>
      <c r="O212" s="114">
        <v>0</v>
      </c>
      <c r="P212" s="113">
        <v>0</v>
      </c>
      <c r="Q212" s="114">
        <v>0</v>
      </c>
      <c r="R212" s="113">
        <v>0</v>
      </c>
      <c r="S212" s="114">
        <v>0</v>
      </c>
      <c r="T212" s="113">
        <v>0</v>
      </c>
      <c r="U212" s="115">
        <v>0</v>
      </c>
      <c r="V212" t="e">
        <f>VLOOKUP(A212,Projetos_Ciclo!$H$2:$H$315,1,FALSE)</f>
        <v>#N/A</v>
      </c>
    </row>
    <row r="213" spans="1:22" x14ac:dyDescent="0.25">
      <c r="A213" s="14" t="s">
        <v>1135</v>
      </c>
      <c r="B213" s="116" t="s">
        <v>1136</v>
      </c>
      <c r="C213" s="116" t="s">
        <v>57</v>
      </c>
      <c r="D213" s="117">
        <v>0</v>
      </c>
      <c r="E213" s="120">
        <v>0</v>
      </c>
      <c r="F213" s="117">
        <v>0</v>
      </c>
      <c r="G213" s="120">
        <v>0</v>
      </c>
      <c r="H213" s="117">
        <v>0</v>
      </c>
      <c r="I213" s="120">
        <v>0</v>
      </c>
      <c r="J213" s="117">
        <v>0</v>
      </c>
      <c r="K213" s="120">
        <v>0</v>
      </c>
      <c r="L213" s="117">
        <v>0</v>
      </c>
      <c r="M213" s="120">
        <v>0</v>
      </c>
      <c r="N213" s="117">
        <v>0</v>
      </c>
      <c r="O213" s="120">
        <v>0</v>
      </c>
      <c r="P213" s="117">
        <v>0</v>
      </c>
      <c r="Q213" s="120">
        <v>0</v>
      </c>
      <c r="R213" s="117">
        <v>0</v>
      </c>
      <c r="S213" s="120">
        <v>0</v>
      </c>
      <c r="T213" s="117">
        <v>0</v>
      </c>
      <c r="U213" s="119">
        <v>0</v>
      </c>
      <c r="V213" t="e">
        <f>VLOOKUP(A213,Projetos_Ciclo!$H$2:$H$315,1,FALSE)</f>
        <v>#N/A</v>
      </c>
    </row>
    <row r="214" spans="1:22" x14ac:dyDescent="0.25">
      <c r="A214" s="111" t="s">
        <v>1332</v>
      </c>
      <c r="B214" s="112" t="s">
        <v>1333</v>
      </c>
      <c r="C214" s="112" t="s">
        <v>1449</v>
      </c>
      <c r="D214" s="113">
        <v>1746</v>
      </c>
      <c r="E214" s="114">
        <v>0</v>
      </c>
      <c r="F214" s="113">
        <v>90</v>
      </c>
      <c r="G214" s="114">
        <v>0</v>
      </c>
      <c r="H214" s="113">
        <v>0</v>
      </c>
      <c r="I214" s="114">
        <v>0</v>
      </c>
      <c r="J214" s="113">
        <v>0</v>
      </c>
      <c r="K214" s="114">
        <v>0</v>
      </c>
      <c r="L214" s="113">
        <v>0</v>
      </c>
      <c r="M214" s="114">
        <v>0</v>
      </c>
      <c r="N214" s="113">
        <v>1656</v>
      </c>
      <c r="O214" s="114">
        <v>0</v>
      </c>
      <c r="P214" s="113">
        <v>0</v>
      </c>
      <c r="Q214" s="114">
        <v>0</v>
      </c>
      <c r="R214" s="113">
        <v>0</v>
      </c>
      <c r="S214" s="114">
        <v>0</v>
      </c>
      <c r="T214" s="113">
        <v>0</v>
      </c>
      <c r="U214" s="115">
        <v>0</v>
      </c>
      <c r="V214" t="e">
        <f>VLOOKUP(A214,Projetos_Ciclo!$H$2:$H$315,1,FALSE)</f>
        <v>#N/A</v>
      </c>
    </row>
    <row r="215" spans="1:22" x14ac:dyDescent="0.25">
      <c r="A215" s="14" t="s">
        <v>1365</v>
      </c>
      <c r="B215" s="116" t="s">
        <v>1450</v>
      </c>
      <c r="C215" s="116" t="s">
        <v>1451</v>
      </c>
      <c r="D215" s="117">
        <v>0</v>
      </c>
      <c r="E215" s="120">
        <v>0</v>
      </c>
      <c r="F215" s="117">
        <v>0</v>
      </c>
      <c r="G215" s="120">
        <v>0</v>
      </c>
      <c r="H215" s="117">
        <v>0</v>
      </c>
      <c r="I215" s="120">
        <v>0</v>
      </c>
      <c r="J215" s="117">
        <v>0</v>
      </c>
      <c r="K215" s="120">
        <v>0</v>
      </c>
      <c r="L215" s="117">
        <v>0</v>
      </c>
      <c r="M215" s="120">
        <v>0</v>
      </c>
      <c r="N215" s="117">
        <v>0</v>
      </c>
      <c r="O215" s="120">
        <v>0</v>
      </c>
      <c r="P215" s="117">
        <v>0</v>
      </c>
      <c r="Q215" s="120">
        <v>0</v>
      </c>
      <c r="R215" s="117">
        <v>0</v>
      </c>
      <c r="S215" s="120">
        <v>0</v>
      </c>
      <c r="T215" s="117">
        <v>0</v>
      </c>
      <c r="U215" s="119">
        <v>0</v>
      </c>
      <c r="V215" t="str">
        <f>VLOOKUP(A215,Projetos_Ciclo!$H$2:$H$315,1,FALSE)</f>
        <v>MD00218</v>
      </c>
    </row>
    <row r="216" spans="1:22" x14ac:dyDescent="0.25">
      <c r="A216" s="111" t="s">
        <v>1936</v>
      </c>
      <c r="B216" s="112" t="s">
        <v>1937</v>
      </c>
      <c r="C216" s="112" t="s">
        <v>1938</v>
      </c>
      <c r="D216" s="113">
        <v>0</v>
      </c>
      <c r="E216" s="114">
        <v>0</v>
      </c>
      <c r="F216" s="113">
        <v>0</v>
      </c>
      <c r="G216" s="114">
        <v>90</v>
      </c>
      <c r="H216" s="113">
        <v>0</v>
      </c>
      <c r="I216" s="114">
        <v>0</v>
      </c>
      <c r="J216" s="113">
        <v>0</v>
      </c>
      <c r="K216" s="114">
        <v>0</v>
      </c>
      <c r="L216" s="113">
        <v>0</v>
      </c>
      <c r="M216" s="114">
        <v>0</v>
      </c>
      <c r="N216" s="113">
        <v>0</v>
      </c>
      <c r="O216" s="114">
        <v>0</v>
      </c>
      <c r="P216" s="113">
        <v>0</v>
      </c>
      <c r="Q216" s="114">
        <v>0</v>
      </c>
      <c r="R216" s="113">
        <v>0</v>
      </c>
      <c r="S216" s="114">
        <v>0</v>
      </c>
      <c r="T216" s="113">
        <v>0</v>
      </c>
      <c r="U216" s="115">
        <v>0</v>
      </c>
      <c r="V216" t="str">
        <f>VLOOKUP(A216,Projetos_Ciclo!$H$2:$H$315,1,FALSE)</f>
        <v>MD00418</v>
      </c>
    </row>
    <row r="217" spans="1:22" x14ac:dyDescent="0.25">
      <c r="A217" s="14" t="s">
        <v>520</v>
      </c>
      <c r="B217" s="116" t="s">
        <v>1137</v>
      </c>
      <c r="C217" s="116" t="s">
        <v>57</v>
      </c>
      <c r="D217" s="117">
        <v>3710</v>
      </c>
      <c r="E217" s="120">
        <v>0</v>
      </c>
      <c r="F217" s="117">
        <v>0</v>
      </c>
      <c r="G217" s="120">
        <v>0</v>
      </c>
      <c r="H217" s="117">
        <v>0</v>
      </c>
      <c r="I217" s="120">
        <v>0</v>
      </c>
      <c r="J217" s="117">
        <v>0</v>
      </c>
      <c r="K217" s="120">
        <v>0</v>
      </c>
      <c r="L217" s="117">
        <v>0</v>
      </c>
      <c r="M217" s="120">
        <v>0</v>
      </c>
      <c r="N217" s="117">
        <v>208</v>
      </c>
      <c r="O217" s="120">
        <v>2982</v>
      </c>
      <c r="P217" s="117">
        <v>350</v>
      </c>
      <c r="Q217" s="120">
        <v>170</v>
      </c>
      <c r="R217" s="117">
        <v>0</v>
      </c>
      <c r="S217" s="120">
        <v>0</v>
      </c>
      <c r="T217" s="117">
        <v>0</v>
      </c>
      <c r="U217" s="119">
        <v>0</v>
      </c>
      <c r="V217" t="str">
        <f>VLOOKUP(A217,Projetos_Ciclo!$H$2:$H$315,1,FALSE)</f>
        <v>NA</v>
      </c>
    </row>
    <row r="218" spans="1:22" x14ac:dyDescent="0.25">
      <c r="A218" s="111" t="s">
        <v>1138</v>
      </c>
      <c r="B218" s="112" t="s">
        <v>1139</v>
      </c>
      <c r="C218" s="112" t="s">
        <v>57</v>
      </c>
      <c r="D218" s="113">
        <v>3092</v>
      </c>
      <c r="E218" s="114">
        <v>0</v>
      </c>
      <c r="F218" s="113">
        <v>0</v>
      </c>
      <c r="G218" s="114">
        <v>0</v>
      </c>
      <c r="H218" s="113">
        <v>0</v>
      </c>
      <c r="I218" s="114">
        <v>0</v>
      </c>
      <c r="J218" s="113">
        <v>0</v>
      </c>
      <c r="K218" s="114">
        <v>0</v>
      </c>
      <c r="L218" s="113">
        <v>0</v>
      </c>
      <c r="M218" s="114">
        <v>0</v>
      </c>
      <c r="N218" s="113">
        <v>0</v>
      </c>
      <c r="O218" s="114">
        <v>0</v>
      </c>
      <c r="P218" s="113">
        <v>0</v>
      </c>
      <c r="Q218" s="114">
        <v>0</v>
      </c>
      <c r="R218" s="113">
        <v>0</v>
      </c>
      <c r="S218" s="114">
        <v>0</v>
      </c>
      <c r="T218" s="113">
        <v>0</v>
      </c>
      <c r="U218" s="115">
        <v>0</v>
      </c>
      <c r="V218" t="e">
        <f>VLOOKUP(A218,Projetos_Ciclo!$H$2:$H$315,1,FALSE)</f>
        <v>#N/A</v>
      </c>
    </row>
    <row r="219" spans="1:22" x14ac:dyDescent="0.25">
      <c r="A219" s="14" t="s">
        <v>1133</v>
      </c>
      <c r="B219" s="116" t="s">
        <v>1254</v>
      </c>
      <c r="C219" s="116" t="s">
        <v>57</v>
      </c>
      <c r="D219" s="117">
        <v>0</v>
      </c>
      <c r="E219" s="120">
        <v>0</v>
      </c>
      <c r="F219" s="117">
        <v>0</v>
      </c>
      <c r="G219" s="120">
        <v>0</v>
      </c>
      <c r="H219" s="117">
        <v>0</v>
      </c>
      <c r="I219" s="120">
        <v>0</v>
      </c>
      <c r="J219" s="117">
        <v>0</v>
      </c>
      <c r="K219" s="120">
        <v>0</v>
      </c>
      <c r="L219" s="117">
        <v>0</v>
      </c>
      <c r="M219" s="120">
        <v>0</v>
      </c>
      <c r="N219" s="117">
        <v>0</v>
      </c>
      <c r="O219" s="120">
        <v>0</v>
      </c>
      <c r="P219" s="117">
        <v>0</v>
      </c>
      <c r="Q219" s="120">
        <v>0</v>
      </c>
      <c r="R219" s="117">
        <v>0</v>
      </c>
      <c r="S219" s="120">
        <v>0</v>
      </c>
      <c r="T219" s="117">
        <v>0</v>
      </c>
      <c r="U219" s="119">
        <v>0</v>
      </c>
      <c r="V219" t="e">
        <f>VLOOKUP(A219,Projetos_Ciclo!$H$2:$H$315,1,FALSE)</f>
        <v>#N/A</v>
      </c>
    </row>
    <row r="220" spans="1:22" x14ac:dyDescent="0.25">
      <c r="A220" s="111" t="s">
        <v>1135</v>
      </c>
      <c r="B220" s="112" t="s">
        <v>1136</v>
      </c>
      <c r="C220" s="112" t="s">
        <v>57</v>
      </c>
      <c r="D220" s="113">
        <v>0</v>
      </c>
      <c r="E220" s="114">
        <v>0</v>
      </c>
      <c r="F220" s="113">
        <v>0</v>
      </c>
      <c r="G220" s="114">
        <v>0</v>
      </c>
      <c r="H220" s="113">
        <v>0</v>
      </c>
      <c r="I220" s="114">
        <v>0</v>
      </c>
      <c r="J220" s="113">
        <v>0</v>
      </c>
      <c r="K220" s="114">
        <v>0</v>
      </c>
      <c r="L220" s="113">
        <v>0</v>
      </c>
      <c r="M220" s="114">
        <v>0</v>
      </c>
      <c r="N220" s="113">
        <v>0</v>
      </c>
      <c r="O220" s="114">
        <v>0</v>
      </c>
      <c r="P220" s="113">
        <v>0</v>
      </c>
      <c r="Q220" s="114">
        <v>0</v>
      </c>
      <c r="R220" s="113">
        <v>0</v>
      </c>
      <c r="S220" s="114">
        <v>0</v>
      </c>
      <c r="T220" s="113">
        <v>0</v>
      </c>
      <c r="U220" s="115">
        <v>0</v>
      </c>
      <c r="V220" t="e">
        <f>VLOOKUP(A220,Projetos_Ciclo!$H$2:$H$315,1,FALSE)</f>
        <v>#N/A</v>
      </c>
    </row>
    <row r="221" spans="1:22" x14ac:dyDescent="0.25">
      <c r="A221" s="14" t="s">
        <v>520</v>
      </c>
      <c r="B221" s="116" t="s">
        <v>1335</v>
      </c>
      <c r="C221" s="116" t="s">
        <v>57</v>
      </c>
      <c r="D221" s="117">
        <v>625</v>
      </c>
      <c r="E221" s="120">
        <v>0</v>
      </c>
      <c r="F221" s="117">
        <v>0</v>
      </c>
      <c r="G221" s="120">
        <v>0</v>
      </c>
      <c r="H221" s="117">
        <v>0</v>
      </c>
      <c r="I221" s="120">
        <v>0</v>
      </c>
      <c r="J221" s="117">
        <v>0</v>
      </c>
      <c r="K221" s="120">
        <v>0</v>
      </c>
      <c r="L221" s="117">
        <v>0</v>
      </c>
      <c r="M221" s="120">
        <v>0</v>
      </c>
      <c r="N221" s="117">
        <v>75</v>
      </c>
      <c r="O221" s="120">
        <v>150</v>
      </c>
      <c r="P221" s="117">
        <v>150</v>
      </c>
      <c r="Q221" s="120">
        <v>250</v>
      </c>
      <c r="R221" s="117">
        <v>0</v>
      </c>
      <c r="S221" s="120">
        <v>0</v>
      </c>
      <c r="T221" s="117">
        <v>0</v>
      </c>
      <c r="U221" s="119">
        <v>0</v>
      </c>
      <c r="V221" t="str">
        <f>VLOOKUP(A221,Projetos_Ciclo!$H$2:$H$315,1,FALSE)</f>
        <v>NA</v>
      </c>
    </row>
    <row r="222" spans="1:22" x14ac:dyDescent="0.25">
      <c r="A222" s="111" t="s">
        <v>1138</v>
      </c>
      <c r="B222" s="112" t="s">
        <v>1139</v>
      </c>
      <c r="C222" s="112" t="s">
        <v>57</v>
      </c>
      <c r="D222" s="113">
        <v>0</v>
      </c>
      <c r="E222" s="114">
        <v>0</v>
      </c>
      <c r="F222" s="113">
        <v>0</v>
      </c>
      <c r="G222" s="114">
        <v>0</v>
      </c>
      <c r="H222" s="113">
        <v>0</v>
      </c>
      <c r="I222" s="114">
        <v>0</v>
      </c>
      <c r="J222" s="113">
        <v>0</v>
      </c>
      <c r="K222" s="114">
        <v>0</v>
      </c>
      <c r="L222" s="113">
        <v>0</v>
      </c>
      <c r="M222" s="114">
        <v>0</v>
      </c>
      <c r="N222" s="113">
        <v>0</v>
      </c>
      <c r="O222" s="114">
        <v>0</v>
      </c>
      <c r="P222" s="113">
        <v>0</v>
      </c>
      <c r="Q222" s="114">
        <v>0</v>
      </c>
      <c r="R222" s="113">
        <v>0</v>
      </c>
      <c r="S222" s="114">
        <v>0</v>
      </c>
      <c r="T222" s="113">
        <v>0</v>
      </c>
      <c r="U222" s="115">
        <v>0</v>
      </c>
      <c r="V222" t="e">
        <f>VLOOKUP(A222,Projetos_Ciclo!$H$2:$H$315,1,FALSE)</f>
        <v>#N/A</v>
      </c>
    </row>
    <row r="223" spans="1:22" x14ac:dyDescent="0.25">
      <c r="A223" s="14" t="s">
        <v>1336</v>
      </c>
      <c r="B223" s="116" t="s">
        <v>1337</v>
      </c>
      <c r="C223" s="116" t="s">
        <v>1338</v>
      </c>
      <c r="D223" s="117">
        <v>75</v>
      </c>
      <c r="E223" s="120">
        <v>0</v>
      </c>
      <c r="F223" s="117">
        <v>75</v>
      </c>
      <c r="G223" s="120">
        <v>0</v>
      </c>
      <c r="H223" s="117">
        <v>0</v>
      </c>
      <c r="I223" s="120">
        <v>0</v>
      </c>
      <c r="J223" s="117">
        <v>0</v>
      </c>
      <c r="K223" s="120">
        <v>0</v>
      </c>
      <c r="L223" s="117">
        <v>0</v>
      </c>
      <c r="M223" s="120">
        <v>0</v>
      </c>
      <c r="N223" s="117">
        <v>0</v>
      </c>
      <c r="O223" s="120">
        <v>0</v>
      </c>
      <c r="P223" s="117">
        <v>0</v>
      </c>
      <c r="Q223" s="120">
        <v>0</v>
      </c>
      <c r="R223" s="117">
        <v>0</v>
      </c>
      <c r="S223" s="120">
        <v>0</v>
      </c>
      <c r="T223" s="117">
        <v>0</v>
      </c>
      <c r="U223" s="119">
        <v>0</v>
      </c>
      <c r="V223" t="e">
        <f>VLOOKUP(A223,Projetos_Ciclo!$H$2:$H$315,1,FALSE)</f>
        <v>#N/A</v>
      </c>
    </row>
    <row r="224" spans="1:22" x14ac:dyDescent="0.25">
      <c r="A224" s="111" t="s">
        <v>1421</v>
      </c>
      <c r="B224" s="112" t="s">
        <v>1402</v>
      </c>
      <c r="C224" s="112" t="s">
        <v>1422</v>
      </c>
      <c r="D224" s="113">
        <v>0</v>
      </c>
      <c r="E224" s="114">
        <v>0</v>
      </c>
      <c r="F224" s="113">
        <v>0</v>
      </c>
      <c r="G224" s="114">
        <v>75</v>
      </c>
      <c r="H224" s="113">
        <v>0</v>
      </c>
      <c r="I224" s="114">
        <v>0</v>
      </c>
      <c r="J224" s="113">
        <v>0</v>
      </c>
      <c r="K224" s="114">
        <v>0</v>
      </c>
      <c r="L224" s="113">
        <v>47.248001098632812</v>
      </c>
      <c r="M224" s="114">
        <v>47.248001098632812</v>
      </c>
      <c r="N224" s="113">
        <v>0</v>
      </c>
      <c r="O224" s="114">
        <v>0</v>
      </c>
      <c r="P224" s="113">
        <v>0</v>
      </c>
      <c r="Q224" s="114">
        <v>0</v>
      </c>
      <c r="R224" s="113">
        <v>0</v>
      </c>
      <c r="S224" s="114">
        <v>0</v>
      </c>
      <c r="T224" s="113">
        <v>0</v>
      </c>
      <c r="U224" s="115">
        <v>0</v>
      </c>
      <c r="V224" t="str">
        <f>VLOOKUP(A224,Projetos_Ciclo!$H$2:$H$315,1,FALSE)</f>
        <v>TI04518</v>
      </c>
    </row>
    <row r="225" spans="1:21" x14ac:dyDescent="0.25">
      <c r="A225" s="14" t="s">
        <v>1133</v>
      </c>
      <c r="B225" s="116" t="s">
        <v>1339</v>
      </c>
      <c r="C225" s="116" t="s">
        <v>57</v>
      </c>
      <c r="D225" s="117">
        <v>0</v>
      </c>
      <c r="E225" s="120">
        <v>0</v>
      </c>
      <c r="F225" s="117">
        <v>0</v>
      </c>
      <c r="G225" s="120">
        <v>0</v>
      </c>
      <c r="H225" s="117">
        <v>0</v>
      </c>
      <c r="I225" s="120">
        <v>0</v>
      </c>
      <c r="J225" s="117">
        <v>0</v>
      </c>
      <c r="K225" s="120">
        <v>0</v>
      </c>
      <c r="L225" s="117">
        <v>0</v>
      </c>
      <c r="M225" s="120">
        <v>0</v>
      </c>
      <c r="N225" s="117">
        <v>0</v>
      </c>
      <c r="O225" s="120">
        <v>0</v>
      </c>
      <c r="P225" s="117">
        <v>0</v>
      </c>
      <c r="Q225" s="120">
        <v>0</v>
      </c>
      <c r="R225" s="117">
        <v>0</v>
      </c>
      <c r="S225" s="120">
        <v>0</v>
      </c>
      <c r="T225" s="117">
        <v>0</v>
      </c>
      <c r="U225" s="119">
        <v>0</v>
      </c>
    </row>
    <row r="226" spans="1:21" x14ac:dyDescent="0.25">
      <c r="A226" s="111" t="s">
        <v>1135</v>
      </c>
      <c r="B226" s="112" t="s">
        <v>1136</v>
      </c>
      <c r="C226" s="112" t="s">
        <v>57</v>
      </c>
      <c r="D226" s="113">
        <v>0</v>
      </c>
      <c r="E226" s="114">
        <v>0</v>
      </c>
      <c r="F226" s="113">
        <v>0</v>
      </c>
      <c r="G226" s="114">
        <v>0</v>
      </c>
      <c r="H226" s="113">
        <v>0</v>
      </c>
      <c r="I226" s="114">
        <v>0</v>
      </c>
      <c r="J226" s="113">
        <v>0</v>
      </c>
      <c r="K226" s="114">
        <v>0</v>
      </c>
      <c r="L226" s="113">
        <v>0</v>
      </c>
      <c r="M226" s="114">
        <v>0</v>
      </c>
      <c r="N226" s="113">
        <v>0</v>
      </c>
      <c r="O226" s="114">
        <v>0</v>
      </c>
      <c r="P226" s="113">
        <v>0</v>
      </c>
      <c r="Q226" s="114">
        <v>0</v>
      </c>
      <c r="R226" s="113">
        <v>0</v>
      </c>
      <c r="S226" s="114">
        <v>0</v>
      </c>
      <c r="T226" s="113">
        <v>0</v>
      </c>
      <c r="U226" s="115">
        <v>0</v>
      </c>
    </row>
    <row r="227" spans="1:21" x14ac:dyDescent="0.25">
      <c r="A227" s="14" t="s">
        <v>520</v>
      </c>
      <c r="B227" s="116" t="s">
        <v>1340</v>
      </c>
      <c r="C227" s="116" t="s">
        <v>57</v>
      </c>
      <c r="D227" s="117">
        <v>571</v>
      </c>
      <c r="E227" s="120">
        <v>0</v>
      </c>
      <c r="F227" s="117">
        <v>0</v>
      </c>
      <c r="G227" s="120">
        <v>0</v>
      </c>
      <c r="H227" s="117">
        <v>0</v>
      </c>
      <c r="I227" s="120">
        <v>0</v>
      </c>
      <c r="J227" s="117">
        <v>0</v>
      </c>
      <c r="K227" s="120">
        <v>0</v>
      </c>
      <c r="L227" s="117">
        <v>0</v>
      </c>
      <c r="M227" s="120">
        <v>0</v>
      </c>
      <c r="N227" s="117">
        <v>135</v>
      </c>
      <c r="O227" s="120">
        <v>136</v>
      </c>
      <c r="P227" s="117">
        <v>150</v>
      </c>
      <c r="Q227" s="120">
        <v>150</v>
      </c>
      <c r="R227" s="117">
        <v>0</v>
      </c>
      <c r="S227" s="120">
        <v>0</v>
      </c>
      <c r="T227" s="117">
        <v>0</v>
      </c>
      <c r="U227" s="119">
        <v>0</v>
      </c>
    </row>
    <row r="228" spans="1:21" x14ac:dyDescent="0.25">
      <c r="A228" s="111" t="s">
        <v>1138</v>
      </c>
      <c r="B228" s="112" t="s">
        <v>1139</v>
      </c>
      <c r="C228" s="112" t="s">
        <v>57</v>
      </c>
      <c r="D228" s="113">
        <v>0</v>
      </c>
      <c r="E228" s="114">
        <v>0</v>
      </c>
      <c r="F228" s="113">
        <v>0</v>
      </c>
      <c r="G228" s="114">
        <v>0</v>
      </c>
      <c r="H228" s="113">
        <v>0</v>
      </c>
      <c r="I228" s="114">
        <v>0</v>
      </c>
      <c r="J228" s="113">
        <v>0</v>
      </c>
      <c r="K228" s="114">
        <v>0</v>
      </c>
      <c r="L228" s="113">
        <v>0</v>
      </c>
      <c r="M228" s="114">
        <v>0</v>
      </c>
      <c r="N228" s="113">
        <v>0</v>
      </c>
      <c r="O228" s="114">
        <v>0</v>
      </c>
      <c r="P228" s="113">
        <v>0</v>
      </c>
      <c r="Q228" s="114">
        <v>0</v>
      </c>
      <c r="R228" s="113">
        <v>0</v>
      </c>
      <c r="S228" s="114">
        <v>0</v>
      </c>
      <c r="T228" s="113">
        <v>0</v>
      </c>
      <c r="U228" s="115">
        <v>0</v>
      </c>
    </row>
    <row r="229" spans="1:21" ht="13.5" customHeight="1" x14ac:dyDescent="0.25">
      <c r="A229" s="14" t="s">
        <v>745</v>
      </c>
      <c r="B229" s="116" t="s">
        <v>1344</v>
      </c>
      <c r="C229" s="116" t="s">
        <v>1345</v>
      </c>
      <c r="D229" s="117">
        <v>0</v>
      </c>
      <c r="E229" s="120">
        <v>0</v>
      </c>
      <c r="F229" s="117">
        <v>0</v>
      </c>
      <c r="G229" s="120">
        <v>178</v>
      </c>
      <c r="H229" s="117">
        <v>0</v>
      </c>
      <c r="I229" s="120">
        <v>7.6050000190734863</v>
      </c>
      <c r="J229" s="117">
        <v>0</v>
      </c>
      <c r="K229" s="120">
        <v>7.6050000190734863</v>
      </c>
      <c r="L229" s="117">
        <v>0</v>
      </c>
      <c r="M229" s="120">
        <v>7.6050000190734863</v>
      </c>
      <c r="N229" s="117">
        <v>0</v>
      </c>
      <c r="O229" s="120">
        <v>0</v>
      </c>
      <c r="P229" s="117">
        <v>0</v>
      </c>
      <c r="Q229" s="120">
        <v>0</v>
      </c>
      <c r="R229" s="117">
        <v>0</v>
      </c>
      <c r="S229" s="120">
        <v>0</v>
      </c>
      <c r="T229" s="117">
        <v>0</v>
      </c>
      <c r="U229" s="119">
        <v>0</v>
      </c>
    </row>
    <row r="230" spans="1:21" x14ac:dyDescent="0.25">
      <c r="A230" s="111" t="s">
        <v>1336</v>
      </c>
      <c r="B230" s="112" t="s">
        <v>1346</v>
      </c>
      <c r="C230" s="112" t="s">
        <v>1347</v>
      </c>
      <c r="D230" s="113">
        <v>1318</v>
      </c>
      <c r="E230" s="114">
        <v>0</v>
      </c>
      <c r="F230" s="113">
        <v>1289</v>
      </c>
      <c r="G230" s="114">
        <v>0</v>
      </c>
      <c r="H230" s="113">
        <v>235</v>
      </c>
      <c r="I230" s="114">
        <v>0</v>
      </c>
      <c r="J230" s="113">
        <v>0</v>
      </c>
      <c r="K230" s="114">
        <v>0</v>
      </c>
      <c r="L230" s="113">
        <v>0</v>
      </c>
      <c r="M230" s="114">
        <v>0</v>
      </c>
      <c r="N230" s="113">
        <v>15</v>
      </c>
      <c r="O230" s="114">
        <v>14</v>
      </c>
      <c r="P230" s="113">
        <v>0</v>
      </c>
      <c r="Q230" s="114">
        <v>0</v>
      </c>
      <c r="R230" s="113">
        <v>0</v>
      </c>
      <c r="S230" s="114">
        <v>0</v>
      </c>
      <c r="T230" s="113">
        <v>0</v>
      </c>
      <c r="U230" s="115">
        <v>0</v>
      </c>
    </row>
    <row r="231" spans="1:21" x14ac:dyDescent="0.25">
      <c r="A231" s="14" t="s">
        <v>1712</v>
      </c>
      <c r="B231" s="116" t="s">
        <v>1706</v>
      </c>
      <c r="C231" s="116" t="s">
        <v>1713</v>
      </c>
      <c r="D231" s="117">
        <v>0</v>
      </c>
      <c r="E231" s="120">
        <v>0</v>
      </c>
      <c r="F231" s="117">
        <v>0</v>
      </c>
      <c r="G231" s="120">
        <v>15</v>
      </c>
      <c r="H231" s="117">
        <v>0</v>
      </c>
      <c r="I231" s="120">
        <v>0</v>
      </c>
      <c r="J231" s="117">
        <v>0</v>
      </c>
      <c r="K231" s="120">
        <v>0</v>
      </c>
      <c r="L231" s="117">
        <v>14.723099708557129</v>
      </c>
      <c r="M231" s="120">
        <v>14.723099708557129</v>
      </c>
      <c r="N231" s="117">
        <v>0</v>
      </c>
      <c r="O231" s="120">
        <v>0</v>
      </c>
      <c r="P231" s="117">
        <v>0</v>
      </c>
      <c r="Q231" s="120">
        <v>0</v>
      </c>
      <c r="R231" s="117">
        <v>0</v>
      </c>
      <c r="S231" s="120">
        <v>0</v>
      </c>
      <c r="T231" s="117">
        <v>0</v>
      </c>
      <c r="U231" s="119">
        <v>0</v>
      </c>
    </row>
    <row r="232" spans="1:21" x14ac:dyDescent="0.25">
      <c r="A232" s="111" t="s">
        <v>1824</v>
      </c>
      <c r="B232" s="112" t="s">
        <v>1796</v>
      </c>
      <c r="C232" s="112" t="s">
        <v>1825</v>
      </c>
      <c r="D232" s="113">
        <v>0</v>
      </c>
      <c r="E232" s="114">
        <v>0</v>
      </c>
      <c r="F232" s="113">
        <v>0</v>
      </c>
      <c r="G232" s="114">
        <v>55</v>
      </c>
      <c r="H232" s="113">
        <v>0</v>
      </c>
      <c r="I232" s="114">
        <v>0</v>
      </c>
      <c r="J232" s="113">
        <v>0</v>
      </c>
      <c r="K232" s="114">
        <v>0</v>
      </c>
      <c r="L232" s="113">
        <v>0</v>
      </c>
      <c r="M232" s="114">
        <v>0</v>
      </c>
      <c r="N232" s="113">
        <v>0</v>
      </c>
      <c r="O232" s="114">
        <v>0</v>
      </c>
      <c r="P232" s="113">
        <v>0</v>
      </c>
      <c r="Q232" s="114">
        <v>0</v>
      </c>
      <c r="R232" s="113">
        <v>0</v>
      </c>
      <c r="S232" s="114">
        <v>0</v>
      </c>
      <c r="T232" s="113">
        <v>0</v>
      </c>
      <c r="U232" s="115">
        <v>0</v>
      </c>
    </row>
    <row r="233" spans="1:21" x14ac:dyDescent="0.25">
      <c r="D233" s="91">
        <f>SUBTOTAL(9,D4:D232)</f>
        <v>356727.6</v>
      </c>
      <c r="E233" s="91">
        <f t="shared" ref="E233:U233" si="0">SUBTOTAL(9,E4:E232)</f>
        <v>0</v>
      </c>
      <c r="F233" s="91">
        <f t="shared" si="0"/>
        <v>77045</v>
      </c>
      <c r="G233" s="91">
        <f t="shared" si="0"/>
        <v>62722</v>
      </c>
      <c r="H233" s="91">
        <f t="shared" si="0"/>
        <v>15878</v>
      </c>
      <c r="I233" s="91">
        <f t="shared" si="0"/>
        <v>15094.605648353696</v>
      </c>
      <c r="J233" s="91">
        <f t="shared" si="0"/>
        <v>0</v>
      </c>
      <c r="K233" s="91">
        <f t="shared" si="0"/>
        <v>15094.605648353696</v>
      </c>
      <c r="L233" s="91">
        <f t="shared" si="0"/>
        <v>30168.583792905789</v>
      </c>
      <c r="M233" s="91">
        <f t="shared" si="0"/>
        <v>45263.189441259485</v>
      </c>
      <c r="N233" s="91">
        <f t="shared" si="0"/>
        <v>89792.5</v>
      </c>
      <c r="O233" s="91">
        <f t="shared" si="0"/>
        <v>81660</v>
      </c>
      <c r="P233" s="91">
        <f t="shared" si="0"/>
        <v>54136</v>
      </c>
      <c r="Q233" s="91">
        <f t="shared" si="0"/>
        <v>47400</v>
      </c>
      <c r="R233" s="91">
        <f t="shared" si="0"/>
        <v>0</v>
      </c>
      <c r="S233" s="91">
        <f t="shared" si="0"/>
        <v>0</v>
      </c>
      <c r="T233" s="91">
        <f t="shared" si="0"/>
        <v>0</v>
      </c>
      <c r="U233" s="91">
        <f t="shared" si="0"/>
        <v>0</v>
      </c>
    </row>
  </sheetData>
  <autoFilter ref="A2:V225"/>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7"/>
  <sheetViews>
    <sheetView showGridLines="0" zoomScale="87" zoomScaleNormal="87" workbookViewId="0">
      <selection activeCell="D3" sqref="D3"/>
    </sheetView>
  </sheetViews>
  <sheetFormatPr defaultRowHeight="15" x14ac:dyDescent="0.25"/>
  <cols>
    <col min="1" max="1" width="3.28515625" customWidth="1"/>
    <col min="2" max="2" width="40.42578125" customWidth="1"/>
    <col min="3" max="9" width="23" customWidth="1"/>
    <col min="10" max="10" width="13.5703125" customWidth="1"/>
    <col min="12" max="12" width="10.7109375" bestFit="1" customWidth="1"/>
  </cols>
  <sheetData>
    <row r="2" spans="2:9" ht="15.75" x14ac:dyDescent="0.25">
      <c r="B2" s="152" t="s">
        <v>1447</v>
      </c>
      <c r="C2" s="152"/>
    </row>
    <row r="4" spans="2:9" x14ac:dyDescent="0.25">
      <c r="B4" s="143" t="s">
        <v>1426</v>
      </c>
      <c r="C4" s="143"/>
    </row>
    <row r="5" spans="2:9" x14ac:dyDescent="0.25">
      <c r="B5" s="143" t="s">
        <v>1430</v>
      </c>
      <c r="C5" s="143"/>
    </row>
    <row r="6" spans="2:9" x14ac:dyDescent="0.25">
      <c r="B6" s="143"/>
      <c r="C6" s="143"/>
    </row>
    <row r="7" spans="2:9" ht="15.75" x14ac:dyDescent="0.25">
      <c r="B7" s="464" t="s">
        <v>1448</v>
      </c>
      <c r="C7" s="465"/>
      <c r="D7" s="465"/>
      <c r="E7" s="465"/>
      <c r="F7" s="465"/>
      <c r="G7" s="465"/>
      <c r="H7" s="465"/>
      <c r="I7" s="466"/>
    </row>
    <row r="8" spans="2:9" ht="25.5" x14ac:dyDescent="0.25">
      <c r="B8" s="345"/>
      <c r="C8" s="344" t="s">
        <v>1974</v>
      </c>
      <c r="D8" s="344" t="s">
        <v>1975</v>
      </c>
      <c r="E8" s="344" t="s">
        <v>1976</v>
      </c>
      <c r="F8" s="344" t="s">
        <v>1977</v>
      </c>
      <c r="G8" s="344" t="s">
        <v>1436</v>
      </c>
      <c r="H8" s="344" t="s">
        <v>934</v>
      </c>
      <c r="I8" s="344" t="s">
        <v>1978</v>
      </c>
    </row>
    <row r="9" spans="2:9" x14ac:dyDescent="0.25">
      <c r="B9" s="155"/>
      <c r="C9" s="155" t="s">
        <v>1433</v>
      </c>
      <c r="D9" s="155" t="s">
        <v>1434</v>
      </c>
      <c r="E9" s="155" t="s">
        <v>1658</v>
      </c>
      <c r="F9" s="155" t="s">
        <v>1960</v>
      </c>
      <c r="G9" s="155" t="s">
        <v>1961</v>
      </c>
      <c r="H9" s="155" t="s">
        <v>1962</v>
      </c>
      <c r="I9" s="155" t="s">
        <v>1963</v>
      </c>
    </row>
    <row r="10" spans="2:9" x14ac:dyDescent="0.25">
      <c r="B10" s="144" t="s">
        <v>27</v>
      </c>
      <c r="C10" s="352">
        <v>781.71679999999992</v>
      </c>
      <c r="D10" s="352">
        <v>167.3</v>
      </c>
      <c r="E10" s="352">
        <f>SUMIF(Projetos_Ciclo!$B$2:$B$358,B10,Projetos_Ciclo!$FE$2:$FE$358)</f>
        <v>28.784600853919983</v>
      </c>
      <c r="F10" s="353">
        <f>IFERROR((E10/D10),0)</f>
        <v>0.17205380068093235</v>
      </c>
      <c r="G10" s="352">
        <f>SUMIF(Projetos_Ciclo!$B$2:$B$358,B10,Projetos_Ciclo!$FJ$2:$FJ$358)</f>
        <v>158.06665921211243</v>
      </c>
      <c r="H10" s="352">
        <f>E10+G10</f>
        <v>186.85126006603241</v>
      </c>
      <c r="I10" s="353">
        <f>IFERROR((H10/C10),0)</f>
        <v>0.23902679341934627</v>
      </c>
    </row>
    <row r="11" spans="2:9" x14ac:dyDescent="0.25">
      <c r="B11" s="144" t="s">
        <v>28</v>
      </c>
      <c r="C11" s="352">
        <v>29.25</v>
      </c>
      <c r="D11" s="352">
        <v>29.25</v>
      </c>
      <c r="E11" s="352">
        <f>SUMIF(Projetos_Ciclo!$B$2:$B$358,B11,Projetos_Ciclo!$FE$2:$FE$358)</f>
        <v>2.2655799686908722</v>
      </c>
      <c r="F11" s="353">
        <f t="shared" ref="F11:F29" si="0">IFERROR((E11/D11),0)</f>
        <v>7.745572542532897E-2</v>
      </c>
      <c r="G11" s="352">
        <f>SUMIF(Projetos_Ciclo!$B$2:$B$358,B11,Projetos_Ciclo!$FJ$2:$FJ$358)</f>
        <v>0</v>
      </c>
      <c r="H11" s="352">
        <f t="shared" ref="H11:H29" si="1">E11+G11</f>
        <v>2.2655799686908722</v>
      </c>
      <c r="I11" s="353">
        <f t="shared" ref="I11:I29" si="2">IFERROR((H11/C11),0)</f>
        <v>7.745572542532897E-2</v>
      </c>
    </row>
    <row r="12" spans="2:9" x14ac:dyDescent="0.25">
      <c r="B12" s="144" t="s">
        <v>29</v>
      </c>
      <c r="C12" s="352">
        <v>58.6</v>
      </c>
      <c r="D12" s="352">
        <v>58.6</v>
      </c>
      <c r="E12" s="352">
        <f>SUMIF(Projetos_Ciclo!$B$2:$B$358,B12,Projetos_Ciclo!$FE$2:$FE$358)</f>
        <v>0</v>
      </c>
      <c r="F12" s="353">
        <f t="shared" si="0"/>
        <v>0</v>
      </c>
      <c r="G12" s="352">
        <f>SUMIF(Projetos_Ciclo!$B$2:$B$358,B12,Projetos_Ciclo!$FJ$2:$FJ$358)</f>
        <v>47.798999786376953</v>
      </c>
      <c r="H12" s="352">
        <f t="shared" si="1"/>
        <v>47.798999786376953</v>
      </c>
      <c r="I12" s="353">
        <f t="shared" si="2"/>
        <v>0.81568259021121081</v>
      </c>
    </row>
    <row r="13" spans="2:9" x14ac:dyDescent="0.25">
      <c r="B13" s="144" t="s">
        <v>30</v>
      </c>
      <c r="C13" s="352">
        <v>1886.40985</v>
      </c>
      <c r="D13" s="352">
        <v>1737.61985</v>
      </c>
      <c r="E13" s="352">
        <f>SUMIF(Projetos_Ciclo!$B$2:$B$358,B13,Projetos_Ciclo!$FE$2:$FE$358)</f>
        <v>318.60638236999512</v>
      </c>
      <c r="F13" s="353">
        <f t="shared" si="0"/>
        <v>0.18335793204134673</v>
      </c>
      <c r="G13" s="352">
        <f>SUMIF(Projetos_Ciclo!$B$2:$B$358,B13,Projetos_Ciclo!$FJ$2:$FJ$358)</f>
        <v>862.81965637207031</v>
      </c>
      <c r="H13" s="352">
        <f t="shared" si="1"/>
        <v>1181.4260387420654</v>
      </c>
      <c r="I13" s="353">
        <f t="shared" si="2"/>
        <v>0.62628279784590046</v>
      </c>
    </row>
    <row r="14" spans="2:9" x14ac:dyDescent="0.25">
      <c r="B14" s="144" t="s">
        <v>31</v>
      </c>
      <c r="C14" s="352">
        <v>102.5</v>
      </c>
      <c r="D14" s="352">
        <v>0</v>
      </c>
      <c r="E14" s="352">
        <f>SUMIF(Projetos_Ciclo!$B$2:$B$358,B14,Projetos_Ciclo!$FE$2:$FE$358)</f>
        <v>0</v>
      </c>
      <c r="F14" s="353">
        <f t="shared" si="0"/>
        <v>0</v>
      </c>
      <c r="G14" s="352">
        <f>SUMIF(Projetos_Ciclo!$B$2:$B$358,B14,Projetos_Ciclo!$FJ$2:$FJ$358)</f>
        <v>0</v>
      </c>
      <c r="H14" s="352">
        <f t="shared" si="1"/>
        <v>0</v>
      </c>
      <c r="I14" s="353">
        <f t="shared" si="2"/>
        <v>0</v>
      </c>
    </row>
    <row r="15" spans="2:9" x14ac:dyDescent="0.25">
      <c r="B15" s="144" t="s">
        <v>1431</v>
      </c>
      <c r="C15" s="352">
        <v>518</v>
      </c>
      <c r="D15" s="352">
        <v>370</v>
      </c>
      <c r="E15" s="352">
        <f>SUMIF(Projetos_Ciclo!$B$2:$B$358,B15,Projetos_Ciclo!$FE$2:$FE$358)</f>
        <v>99.209080934524536</v>
      </c>
      <c r="F15" s="353">
        <f t="shared" si="0"/>
        <v>0.26813265117439061</v>
      </c>
      <c r="G15" s="352">
        <f>SUMIF(Projetos_Ciclo!$B$2:$B$358,B15,Projetos_Ciclo!$FJ$2:$FJ$358)</f>
        <v>156.1749792098999</v>
      </c>
      <c r="H15" s="352">
        <f t="shared" si="1"/>
        <v>255.38406014442444</v>
      </c>
      <c r="I15" s="353">
        <f t="shared" si="2"/>
        <v>0.49301942112823249</v>
      </c>
    </row>
    <row r="16" spans="2:9" x14ac:dyDescent="0.25">
      <c r="B16" s="144" t="s">
        <v>33</v>
      </c>
      <c r="C16" s="352">
        <v>0</v>
      </c>
      <c r="D16" s="352">
        <v>0</v>
      </c>
      <c r="E16" s="352">
        <f>SUMIF(Projetos_Ciclo!$B$2:$B$358,B16,Projetos_Ciclo!$FE$2:$FE$358)</f>
        <v>0</v>
      </c>
      <c r="F16" s="353">
        <f t="shared" si="0"/>
        <v>0</v>
      </c>
      <c r="G16" s="352">
        <f>SUMIF(Projetos_Ciclo!$B$2:$B$358,B16,Projetos_Ciclo!$FJ$2:$FJ$358)</f>
        <v>0</v>
      </c>
      <c r="H16" s="352">
        <f t="shared" si="1"/>
        <v>0</v>
      </c>
      <c r="I16" s="353">
        <f t="shared" si="2"/>
        <v>0</v>
      </c>
    </row>
    <row r="17" spans="2:10" x14ac:dyDescent="0.25">
      <c r="B17" s="144" t="s">
        <v>34</v>
      </c>
      <c r="C17" s="352">
        <v>142.25</v>
      </c>
      <c r="D17" s="352">
        <v>0</v>
      </c>
      <c r="E17" s="352">
        <f>SUMIF(Projetos_Ciclo!$B$2:$B$358,B17,Projetos_Ciclo!$FE$2:$FE$358)</f>
        <v>0</v>
      </c>
      <c r="F17" s="353">
        <f t="shared" si="0"/>
        <v>0</v>
      </c>
      <c r="G17" s="352">
        <f>SUMIF(Projetos_Ciclo!$B$2:$B$358,B17,Projetos_Ciclo!$FJ$2:$FJ$358)</f>
        <v>113.35815811157227</v>
      </c>
      <c r="H17" s="352">
        <f t="shared" si="1"/>
        <v>113.35815811157227</v>
      </c>
      <c r="I17" s="353">
        <f t="shared" si="2"/>
        <v>0.79689390588100006</v>
      </c>
    </row>
    <row r="18" spans="2:10" x14ac:dyDescent="0.25">
      <c r="B18" s="144" t="s">
        <v>35</v>
      </c>
      <c r="C18" s="352">
        <v>415</v>
      </c>
      <c r="D18" s="352">
        <v>415</v>
      </c>
      <c r="E18" s="352">
        <f>SUMIF(Projetos_Ciclo!$B$2:$B$358,B18,Projetos_Ciclo!$FE$2:$FE$358)</f>
        <v>0</v>
      </c>
      <c r="F18" s="353">
        <f t="shared" si="0"/>
        <v>0</v>
      </c>
      <c r="G18" s="352">
        <f>SUMIF(Projetos_Ciclo!$B$2:$B$358,B18,Projetos_Ciclo!$FJ$2:$FJ$358)</f>
        <v>388.48779296875</v>
      </c>
      <c r="H18" s="352">
        <f t="shared" si="1"/>
        <v>388.48779296875</v>
      </c>
      <c r="I18" s="353">
        <f t="shared" si="2"/>
        <v>0.9361151637801205</v>
      </c>
    </row>
    <row r="19" spans="2:10" x14ac:dyDescent="0.25">
      <c r="B19" s="144" t="s">
        <v>36</v>
      </c>
      <c r="C19" s="352">
        <v>128.52000000000001</v>
      </c>
      <c r="D19" s="352">
        <v>128.52000000000001</v>
      </c>
      <c r="E19" s="352">
        <f>SUMIF(Projetos_Ciclo!$B$2:$B$358,B19,Projetos_Ciclo!$FE$2:$FE$358)</f>
        <v>97.797317504882813</v>
      </c>
      <c r="F19" s="353">
        <f t="shared" si="0"/>
        <v>0.7609501828889107</v>
      </c>
      <c r="G19" s="352">
        <f>SUMIF(Projetos_Ciclo!$B$2:$B$358,B19,Projetos_Ciclo!$FJ$2:$FJ$358)</f>
        <v>0</v>
      </c>
      <c r="H19" s="352">
        <f t="shared" si="1"/>
        <v>97.797317504882813</v>
      </c>
      <c r="I19" s="353">
        <f t="shared" si="2"/>
        <v>0.7609501828889107</v>
      </c>
    </row>
    <row r="20" spans="2:10" x14ac:dyDescent="0.25">
      <c r="B20" s="144" t="s">
        <v>37</v>
      </c>
      <c r="C20" s="352">
        <v>1618.44</v>
      </c>
      <c r="D20" s="352">
        <v>0</v>
      </c>
      <c r="E20" s="352">
        <f>SUMIF(Projetos_Ciclo!$B$2:$B$358,B20,Projetos_Ciclo!$FE$2:$FE$358)</f>
        <v>0</v>
      </c>
      <c r="F20" s="353">
        <f t="shared" si="0"/>
        <v>0</v>
      </c>
      <c r="G20" s="352">
        <f>SUMIF(Projetos_Ciclo!$B$2:$B$358,B20,Projetos_Ciclo!$FJ$2:$FJ$358)</f>
        <v>988</v>
      </c>
      <c r="H20" s="352">
        <f t="shared" si="1"/>
        <v>988</v>
      </c>
      <c r="I20" s="353">
        <f t="shared" si="2"/>
        <v>0.61046439781518003</v>
      </c>
    </row>
    <row r="21" spans="2:10" x14ac:dyDescent="0.25">
      <c r="B21" s="144" t="s">
        <v>1432</v>
      </c>
      <c r="C21" s="352">
        <v>1815.217365</v>
      </c>
      <c r="D21" s="352">
        <v>643.92343249999999</v>
      </c>
      <c r="E21" s="352">
        <f>SUMIF(Projetos_Ciclo!$B$2:$B$358,B21,Projetos_Ciclo!$FE$2:$FE$358)</f>
        <v>168.60572934150696</v>
      </c>
      <c r="F21" s="353">
        <f t="shared" si="0"/>
        <v>0.26184126998904789</v>
      </c>
      <c r="G21" s="352">
        <f>SUMIF(Projetos_Ciclo!$B$2:$B$358,B21,Projetos_Ciclo!$FJ$2:$FJ$358)</f>
        <v>1427.8661592791359</v>
      </c>
      <c r="H21" s="352">
        <f t="shared" si="1"/>
        <v>1596.4718886206429</v>
      </c>
      <c r="I21" s="353">
        <f t="shared" si="2"/>
        <v>0.879493508272296</v>
      </c>
    </row>
    <row r="22" spans="2:10" x14ac:dyDescent="0.25">
      <c r="B22" s="144" t="s">
        <v>38</v>
      </c>
      <c r="C22" s="352">
        <v>2416.9827999999998</v>
      </c>
      <c r="D22" s="352">
        <v>1237.5999999999999</v>
      </c>
      <c r="E22" s="352">
        <f>SUMIF(Projetos_Ciclo!$B$2:$B$358,B22,Projetos_Ciclo!$FE$2:$FE$358)</f>
        <v>19.024649977684021</v>
      </c>
      <c r="F22" s="353">
        <f t="shared" si="0"/>
        <v>1.5372212328445396E-2</v>
      </c>
      <c r="G22" s="352">
        <f>SUMIF(Projetos_Ciclo!$B$2:$B$358,B22,Projetos_Ciclo!$FJ$2:$FJ$358)</f>
        <v>1420.7852306365967</v>
      </c>
      <c r="H22" s="352">
        <f t="shared" si="1"/>
        <v>1439.8098806142807</v>
      </c>
      <c r="I22" s="353">
        <f t="shared" si="2"/>
        <v>0.59570547238245997</v>
      </c>
    </row>
    <row r="23" spans="2:10" x14ac:dyDescent="0.25">
      <c r="B23" s="144" t="s">
        <v>39</v>
      </c>
      <c r="C23" s="352">
        <v>6259.442</v>
      </c>
      <c r="D23" s="352">
        <v>1349.83</v>
      </c>
      <c r="E23" s="352">
        <f>SUMIF(Projetos_Ciclo!$B$2:$B$358,B23,Projetos_Ciclo!$FE$2:$FE$358)</f>
        <v>151.41643989086151</v>
      </c>
      <c r="F23" s="353">
        <f t="shared" si="0"/>
        <v>0.11217445151675509</v>
      </c>
      <c r="G23" s="352">
        <f>SUMIF(Projetos_Ciclo!$B$2:$B$358,B23,Projetos_Ciclo!$FJ$2:$FJ$358)</f>
        <v>1875.9232478141785</v>
      </c>
      <c r="H23" s="352">
        <f t="shared" si="1"/>
        <v>2027.33968770504</v>
      </c>
      <c r="I23" s="353">
        <f t="shared" si="2"/>
        <v>0.32388505040945181</v>
      </c>
    </row>
    <row r="24" spans="2:10" x14ac:dyDescent="0.25">
      <c r="B24" s="144" t="s">
        <v>40</v>
      </c>
      <c r="C24" s="352">
        <v>4111.9169999999995</v>
      </c>
      <c r="D24" s="352">
        <v>2174.9169999999999</v>
      </c>
      <c r="E24" s="352">
        <f>SUMIF(Projetos_Ciclo!$B$2:$B$358,B24,Projetos_Ciclo!$FE$2:$FE$358)</f>
        <v>182.99014966189861</v>
      </c>
      <c r="F24" s="353">
        <f t="shared" si="0"/>
        <v>8.4136612873915939E-2</v>
      </c>
      <c r="G24" s="352">
        <f>SUMIF(Projetos_Ciclo!$B$2:$B$358,B24,Projetos_Ciclo!$FJ$2:$FJ$358)</f>
        <v>1315.6191552653909</v>
      </c>
      <c r="H24" s="352">
        <f t="shared" si="1"/>
        <v>1498.6093049272895</v>
      </c>
      <c r="I24" s="353">
        <f t="shared" si="2"/>
        <v>0.36445514462653056</v>
      </c>
    </row>
    <row r="25" spans="2:10" x14ac:dyDescent="0.25">
      <c r="B25" s="144" t="s">
        <v>41</v>
      </c>
      <c r="C25" s="352">
        <v>4684</v>
      </c>
      <c r="D25" s="352">
        <v>4684</v>
      </c>
      <c r="E25" s="352">
        <f>SUMIF(Projetos_Ciclo!$B$2:$B$358,B25,Projetos_Ciclo!$FE$2:$FE$358)</f>
        <v>0</v>
      </c>
      <c r="F25" s="353">
        <f t="shared" si="0"/>
        <v>0</v>
      </c>
      <c r="G25" s="352">
        <f>SUMIF(Projetos_Ciclo!$B$2:$B$358,B25,Projetos_Ciclo!$FJ$2:$FJ$358)</f>
        <v>4650.193359375</v>
      </c>
      <c r="H25" s="352">
        <f t="shared" si="1"/>
        <v>4650.193359375</v>
      </c>
      <c r="I25" s="353">
        <f t="shared" si="2"/>
        <v>0.99278252762062336</v>
      </c>
    </row>
    <row r="26" spans="2:10" x14ac:dyDescent="0.25">
      <c r="B26" s="144" t="s">
        <v>42</v>
      </c>
      <c r="C26" s="352">
        <v>54226.487000000001</v>
      </c>
      <c r="D26" s="352">
        <v>32507.087</v>
      </c>
      <c r="E26" s="352">
        <f>SUMIF(Projetos_Ciclo!$B$2:$B$358,B26,Projetos_Ciclo!$FE$2:$FE$358)</f>
        <v>14018.300717830658</v>
      </c>
      <c r="F26" s="353">
        <f t="shared" si="0"/>
        <v>0.43123829329372571</v>
      </c>
      <c r="G26" s="352">
        <f>SUMIF(Projetos_Ciclo!$B$2:$B$358,B26,Projetos_Ciclo!$FJ$2:$FJ$358)+21000</f>
        <v>35782.749924235046</v>
      </c>
      <c r="H26" s="352">
        <f t="shared" si="1"/>
        <v>49801.050642065704</v>
      </c>
      <c r="I26" s="353">
        <f t="shared" si="2"/>
        <v>0.91838976480378864</v>
      </c>
    </row>
    <row r="27" spans="2:10" x14ac:dyDescent="0.25">
      <c r="B27" s="144" t="s">
        <v>43</v>
      </c>
      <c r="C27" s="352">
        <v>3182.4</v>
      </c>
      <c r="D27" s="352">
        <v>1482</v>
      </c>
      <c r="E27" s="352">
        <f>SUMIF(Projetos_Ciclo!$B$2:$B$358,B27,Projetos_Ciclo!$FE$2:$FE$358)</f>
        <v>0</v>
      </c>
      <c r="F27" s="353">
        <f t="shared" si="0"/>
        <v>0</v>
      </c>
      <c r="G27" s="352">
        <f>SUMIF(Projetos_Ciclo!$B$2:$B$358,B27,Projetos_Ciclo!$FJ$2:$FJ$358)</f>
        <v>89.843727111816406</v>
      </c>
      <c r="H27" s="352">
        <f t="shared" si="1"/>
        <v>89.843727111816406</v>
      </c>
      <c r="I27" s="353">
        <f t="shared" si="2"/>
        <v>2.823143762940435E-2</v>
      </c>
    </row>
    <row r="28" spans="2:10" x14ac:dyDescent="0.25">
      <c r="B28" s="144" t="s">
        <v>44</v>
      </c>
      <c r="C28" s="352">
        <v>75</v>
      </c>
      <c r="D28" s="352">
        <v>0</v>
      </c>
      <c r="E28" s="352">
        <f>SUMIF(Projetos_Ciclo!$B$2:$B$358,B28,Projetos_Ciclo!$FE$2:$FE$358)</f>
        <v>0</v>
      </c>
      <c r="F28" s="353">
        <f t="shared" si="0"/>
        <v>0</v>
      </c>
      <c r="G28" s="352">
        <f>SUMIF(Projetos_Ciclo!$B$2:$B$358,B28,Projetos_Ciclo!$FJ$2:$FJ$358)</f>
        <v>47.248001098632812</v>
      </c>
      <c r="H28" s="352">
        <f t="shared" si="1"/>
        <v>47.248001098632812</v>
      </c>
      <c r="I28" s="353">
        <f t="shared" si="2"/>
        <v>0.62997334798177085</v>
      </c>
    </row>
    <row r="29" spans="2:10" x14ac:dyDescent="0.25">
      <c r="B29" s="144" t="s">
        <v>45</v>
      </c>
      <c r="C29" s="352">
        <v>1289</v>
      </c>
      <c r="D29" s="352">
        <v>1289</v>
      </c>
      <c r="E29" s="352">
        <f>SUMIF(Projetos_Ciclo!$B$2:$B$358,B29,Projetos_Ciclo!$FE$2:$FE$358)</f>
        <v>7.6050000190734863</v>
      </c>
      <c r="F29" s="353">
        <f t="shared" si="0"/>
        <v>5.8999224352781123E-3</v>
      </c>
      <c r="G29" s="352">
        <f>SUMIF(Projetos_Ciclo!$B$2:$B$358,B29,Projetos_Ciclo!$FJ$2:$FJ$358)</f>
        <v>14.723099708557129</v>
      </c>
      <c r="H29" s="352">
        <f t="shared" si="1"/>
        <v>22.328099727630615</v>
      </c>
      <c r="I29" s="353">
        <f t="shared" si="2"/>
        <v>1.7322032372095123E-2</v>
      </c>
    </row>
    <row r="30" spans="2:10" x14ac:dyDescent="0.25">
      <c r="B30" s="148" t="s">
        <v>1427</v>
      </c>
      <c r="C30" s="354">
        <f>SUM(C10:C29)</f>
        <v>83741.13281499999</v>
      </c>
      <c r="D30" s="354">
        <f>SUM(D10:D29)</f>
        <v>48274.647282499995</v>
      </c>
      <c r="E30" s="354">
        <f>SUM(E10:E29)</f>
        <v>15094.605648353696</v>
      </c>
      <c r="F30" s="355">
        <f>IFERROR((E30/D30),0)</f>
        <v>0.31268184229334867</v>
      </c>
      <c r="G30" s="354">
        <f>SUM(G10:G29)</f>
        <v>49339.658150185132</v>
      </c>
      <c r="H30" s="354">
        <f>SUM(H10:H29)</f>
        <v>64434.263798538828</v>
      </c>
      <c r="I30" s="356">
        <f>IFERROR((H30/C30),0)</f>
        <v>0.76944581035088588</v>
      </c>
      <c r="J30" s="87"/>
    </row>
    <row r="32" spans="2:10" ht="15.75" x14ac:dyDescent="0.25">
      <c r="B32" s="464" t="s">
        <v>1979</v>
      </c>
      <c r="C32" s="465"/>
      <c r="D32" s="465"/>
      <c r="E32" s="465"/>
      <c r="F32" s="466"/>
    </row>
    <row r="33" spans="2:6" ht="25.5" x14ac:dyDescent="0.25">
      <c r="B33" s="347"/>
      <c r="C33" s="346" t="s">
        <v>1980</v>
      </c>
      <c r="D33" s="346" t="s">
        <v>1985</v>
      </c>
      <c r="E33" s="346" t="s">
        <v>1982</v>
      </c>
      <c r="F33" s="346" t="s">
        <v>1981</v>
      </c>
    </row>
    <row r="34" spans="2:6" x14ac:dyDescent="0.25">
      <c r="B34" s="155"/>
      <c r="C34" s="155" t="s">
        <v>1433</v>
      </c>
      <c r="D34" s="155" t="s">
        <v>1434</v>
      </c>
      <c r="E34" s="349" t="s">
        <v>1983</v>
      </c>
      <c r="F34" s="155" t="s">
        <v>1984</v>
      </c>
    </row>
    <row r="35" spans="2:6" x14ac:dyDescent="0.25">
      <c r="B35" s="144" t="s">
        <v>27</v>
      </c>
      <c r="C35" s="146">
        <v>634</v>
      </c>
      <c r="D35" s="146">
        <v>585.97096002384296</v>
      </c>
      <c r="E35" s="146">
        <f>D35-C35</f>
        <v>-48.029039976157037</v>
      </c>
      <c r="F35" s="147">
        <f>E35/C35</f>
        <v>-7.5755583558607315E-2</v>
      </c>
    </row>
    <row r="36" spans="2:6" x14ac:dyDescent="0.25">
      <c r="B36" s="144" t="s">
        <v>28</v>
      </c>
      <c r="C36" s="146">
        <v>16</v>
      </c>
      <c r="D36" s="146">
        <v>157</v>
      </c>
      <c r="E36" s="146">
        <f t="shared" ref="E36:E54" si="3">D36-C36</f>
        <v>141</v>
      </c>
      <c r="F36" s="147">
        <f t="shared" ref="F36:F54" si="4">E36/C36</f>
        <v>8.8125</v>
      </c>
    </row>
    <row r="37" spans="2:6" x14ac:dyDescent="0.25">
      <c r="B37" s="144" t="s">
        <v>29</v>
      </c>
      <c r="C37" s="146">
        <v>351.9</v>
      </c>
      <c r="D37" s="146">
        <v>351.9</v>
      </c>
      <c r="E37" s="146">
        <f t="shared" si="3"/>
        <v>0</v>
      </c>
      <c r="F37" s="147">
        <f t="shared" si="4"/>
        <v>0</v>
      </c>
    </row>
    <row r="38" spans="2:6" x14ac:dyDescent="0.25">
      <c r="B38" s="144" t="s">
        <v>30</v>
      </c>
      <c r="C38" s="146">
        <v>1138</v>
      </c>
      <c r="D38" s="146">
        <v>476</v>
      </c>
      <c r="E38" s="146">
        <f t="shared" si="3"/>
        <v>-662</v>
      </c>
      <c r="F38" s="147">
        <f t="shared" si="4"/>
        <v>-0.58172231985940248</v>
      </c>
    </row>
    <row r="39" spans="2:6" x14ac:dyDescent="0.25">
      <c r="B39" s="144" t="s">
        <v>31</v>
      </c>
      <c r="C39" s="146">
        <v>0</v>
      </c>
      <c r="D39" s="146">
        <v>102.5</v>
      </c>
      <c r="E39" s="146">
        <f t="shared" si="3"/>
        <v>102.5</v>
      </c>
      <c r="F39" s="351" t="s">
        <v>57</v>
      </c>
    </row>
    <row r="40" spans="2:6" x14ac:dyDescent="0.25">
      <c r="B40" s="144" t="s">
        <v>1431</v>
      </c>
      <c r="C40" s="146">
        <v>485.50699999999989</v>
      </c>
      <c r="D40" s="146">
        <v>583.21700229484532</v>
      </c>
      <c r="E40" s="146">
        <f t="shared" si="3"/>
        <v>97.710002294845424</v>
      </c>
      <c r="F40" s="147">
        <f t="shared" si="4"/>
        <v>0.20125353969117943</v>
      </c>
    </row>
    <row r="41" spans="2:6" x14ac:dyDescent="0.25">
      <c r="B41" s="144" t="s">
        <v>33</v>
      </c>
      <c r="C41" s="146">
        <v>429.53983000000017</v>
      </c>
      <c r="D41" s="146">
        <v>749.53983000000017</v>
      </c>
      <c r="E41" s="146">
        <f t="shared" si="3"/>
        <v>320</v>
      </c>
      <c r="F41" s="147">
        <f t="shared" si="4"/>
        <v>0.74498329991889201</v>
      </c>
    </row>
    <row r="42" spans="2:6" x14ac:dyDescent="0.25">
      <c r="B42" s="144" t="s">
        <v>34</v>
      </c>
      <c r="C42" s="146">
        <v>45.5</v>
      </c>
      <c r="D42" s="146">
        <v>198.83333249511816</v>
      </c>
      <c r="E42" s="146">
        <f t="shared" si="3"/>
        <v>153.33333249511816</v>
      </c>
      <c r="F42" s="147">
        <f t="shared" si="4"/>
        <v>3.3699633515410583</v>
      </c>
    </row>
    <row r="43" spans="2:6" x14ac:dyDescent="0.25">
      <c r="B43" s="144" t="s">
        <v>35</v>
      </c>
      <c r="C43" s="146">
        <v>55</v>
      </c>
      <c r="D43" s="146">
        <v>55</v>
      </c>
      <c r="E43" s="146">
        <f t="shared" si="3"/>
        <v>0</v>
      </c>
      <c r="F43" s="147">
        <f t="shared" si="4"/>
        <v>0</v>
      </c>
    </row>
    <row r="44" spans="2:6" x14ac:dyDescent="0.25">
      <c r="B44" s="144" t="s">
        <v>36</v>
      </c>
      <c r="C44" s="146">
        <v>128.52000000000001</v>
      </c>
      <c r="D44" s="146">
        <v>200</v>
      </c>
      <c r="E44" s="146">
        <f t="shared" si="3"/>
        <v>71.47999999999999</v>
      </c>
      <c r="F44" s="147">
        <f t="shared" si="4"/>
        <v>0.55617802676626193</v>
      </c>
    </row>
    <row r="45" spans="2:6" x14ac:dyDescent="0.25">
      <c r="B45" s="144" t="s">
        <v>37</v>
      </c>
      <c r="C45" s="146">
        <v>0</v>
      </c>
      <c r="D45" s="146">
        <v>1618.44</v>
      </c>
      <c r="E45" s="146">
        <f t="shared" si="3"/>
        <v>1618.44</v>
      </c>
      <c r="F45" s="351" t="s">
        <v>57</v>
      </c>
    </row>
    <row r="46" spans="2:6" x14ac:dyDescent="0.25">
      <c r="B46" s="144" t="s">
        <v>1432</v>
      </c>
      <c r="C46" s="146">
        <v>1495.7401699999996</v>
      </c>
      <c r="D46" s="146">
        <v>1324.2812850193402</v>
      </c>
      <c r="E46" s="146">
        <f t="shared" si="3"/>
        <v>-171.45888498065938</v>
      </c>
      <c r="F46" s="147">
        <f t="shared" si="4"/>
        <v>-0.11463146368574124</v>
      </c>
    </row>
    <row r="47" spans="2:6" x14ac:dyDescent="0.25">
      <c r="B47" s="144" t="s">
        <v>38</v>
      </c>
      <c r="C47" s="146">
        <v>2234.6552000000001</v>
      </c>
      <c r="D47" s="146">
        <v>2667.9163800000001</v>
      </c>
      <c r="E47" s="146">
        <f t="shared" si="3"/>
        <v>433.26117999999997</v>
      </c>
      <c r="F47" s="147">
        <f t="shared" si="4"/>
        <v>0.19388278782337426</v>
      </c>
    </row>
    <row r="48" spans="2:6" x14ac:dyDescent="0.25">
      <c r="B48" s="144" t="s">
        <v>39</v>
      </c>
      <c r="C48" s="146">
        <v>8702.5841583299989</v>
      </c>
      <c r="D48" s="146">
        <v>9677.8479970865264</v>
      </c>
      <c r="E48" s="146">
        <f t="shared" si="3"/>
        <v>975.26383875652755</v>
      </c>
      <c r="F48" s="147">
        <f t="shared" si="4"/>
        <v>0.11206600488005829</v>
      </c>
    </row>
    <row r="49" spans="2:9" x14ac:dyDescent="0.25">
      <c r="B49" s="144" t="s">
        <v>40</v>
      </c>
      <c r="C49" s="146">
        <v>5203.2019999999993</v>
      </c>
      <c r="D49" s="146">
        <v>3511.3220000000001</v>
      </c>
      <c r="E49" s="146">
        <f t="shared" si="3"/>
        <v>-1691.8799999999992</v>
      </c>
      <c r="F49" s="147">
        <f t="shared" si="4"/>
        <v>-0.32516131412926108</v>
      </c>
    </row>
    <row r="50" spans="2:9" x14ac:dyDescent="0.25">
      <c r="B50" s="144" t="s">
        <v>41</v>
      </c>
      <c r="C50" s="146">
        <v>15470</v>
      </c>
      <c r="D50" s="146">
        <v>15480</v>
      </c>
      <c r="E50" s="146">
        <f t="shared" si="3"/>
        <v>10</v>
      </c>
      <c r="F50" s="147">
        <f t="shared" si="4"/>
        <v>6.4641241111829345E-4</v>
      </c>
    </row>
    <row r="51" spans="2:9" x14ac:dyDescent="0.25">
      <c r="B51" s="144" t="s">
        <v>42</v>
      </c>
      <c r="C51" s="146">
        <v>51311.4</v>
      </c>
      <c r="D51" s="146">
        <v>51377.658060000002</v>
      </c>
      <c r="E51" s="146">
        <f t="shared" si="3"/>
        <v>66.258060000000114</v>
      </c>
      <c r="F51" s="147">
        <f t="shared" si="4"/>
        <v>1.2912931629228614E-3</v>
      </c>
    </row>
    <row r="52" spans="2:9" x14ac:dyDescent="0.25">
      <c r="B52" s="144" t="s">
        <v>43</v>
      </c>
      <c r="C52" s="146">
        <v>1864</v>
      </c>
      <c r="D52" s="146">
        <v>4956.3999999999996</v>
      </c>
      <c r="E52" s="146">
        <f t="shared" si="3"/>
        <v>3092.3999999999996</v>
      </c>
      <c r="F52" s="147">
        <f t="shared" si="4"/>
        <v>1.6590128755364806</v>
      </c>
    </row>
    <row r="53" spans="2:9" x14ac:dyDescent="0.25">
      <c r="B53" s="144" t="s">
        <v>44</v>
      </c>
      <c r="C53" s="146">
        <v>75</v>
      </c>
      <c r="D53" s="146">
        <v>75</v>
      </c>
      <c r="E53" s="146">
        <f t="shared" si="3"/>
        <v>0</v>
      </c>
      <c r="F53" s="147">
        <f t="shared" si="4"/>
        <v>0</v>
      </c>
    </row>
    <row r="54" spans="2:9" x14ac:dyDescent="0.25">
      <c r="B54" s="144" t="s">
        <v>45</v>
      </c>
      <c r="C54" s="146">
        <v>150</v>
      </c>
      <c r="D54" s="146">
        <v>15</v>
      </c>
      <c r="E54" s="146">
        <f t="shared" si="3"/>
        <v>-135</v>
      </c>
      <c r="F54" s="147">
        <f t="shared" si="4"/>
        <v>-0.9</v>
      </c>
    </row>
    <row r="55" spans="2:9" x14ac:dyDescent="0.25">
      <c r="B55" s="148" t="s">
        <v>1427</v>
      </c>
      <c r="C55" s="149">
        <f>SUM(C35:C54)</f>
        <v>89790.548358330008</v>
      </c>
      <c r="D55" s="149">
        <f>SUM(D35:D54)</f>
        <v>94163.826846919663</v>
      </c>
      <c r="E55" s="149">
        <f>SUM(E35:E54)</f>
        <v>4373.2784885896754</v>
      </c>
      <c r="F55" s="350">
        <f>IFERROR((E55/D55),0)</f>
        <v>4.6443296062077331E-2</v>
      </c>
    </row>
    <row r="57" spans="2:9" ht="23.25" x14ac:dyDescent="0.35">
      <c r="B57" s="482" t="s">
        <v>1448</v>
      </c>
      <c r="C57" s="483"/>
      <c r="D57" s="483"/>
      <c r="E57" s="483"/>
      <c r="F57" s="483"/>
      <c r="G57" s="483"/>
      <c r="H57" s="483"/>
      <c r="I57" s="484"/>
    </row>
    <row r="58" spans="2:9" ht="36" x14ac:dyDescent="0.25">
      <c r="B58" s="480" t="s">
        <v>1989</v>
      </c>
      <c r="C58" s="360" t="s">
        <v>1974</v>
      </c>
      <c r="D58" s="360" t="s">
        <v>1975</v>
      </c>
      <c r="E58" s="360" t="s">
        <v>1976</v>
      </c>
      <c r="F58" s="360" t="s">
        <v>1977</v>
      </c>
      <c r="G58" s="360" t="s">
        <v>1436</v>
      </c>
      <c r="H58" s="360" t="s">
        <v>934</v>
      </c>
      <c r="I58" s="360" t="s">
        <v>1978</v>
      </c>
    </row>
    <row r="59" spans="2:9" ht="18" x14ac:dyDescent="0.25">
      <c r="B59" s="481"/>
      <c r="C59" s="361" t="s">
        <v>1433</v>
      </c>
      <c r="D59" s="361" t="s">
        <v>1434</v>
      </c>
      <c r="E59" s="361" t="s">
        <v>1658</v>
      </c>
      <c r="F59" s="361" t="s">
        <v>1960</v>
      </c>
      <c r="G59" s="361" t="s">
        <v>1961</v>
      </c>
      <c r="H59" s="361" t="s">
        <v>1962</v>
      </c>
      <c r="I59" s="361" t="s">
        <v>1963</v>
      </c>
    </row>
    <row r="60" spans="2:9" ht="15.75" x14ac:dyDescent="0.25">
      <c r="B60" s="357" t="s">
        <v>1373</v>
      </c>
      <c r="C60" s="358">
        <f t="shared" ref="C60:E61" si="5">C10+C16+C23</f>
        <v>7041.1588000000002</v>
      </c>
      <c r="D60" s="358">
        <f t="shared" si="5"/>
        <v>1517.1299999999999</v>
      </c>
      <c r="E60" s="358">
        <f t="shared" si="5"/>
        <v>180.20104074478149</v>
      </c>
      <c r="F60" s="359">
        <f>IFERROR((E60/D60),0)</f>
        <v>0.11877758711829672</v>
      </c>
      <c r="G60" s="358">
        <f>G10+G16+G23</f>
        <v>2033.9899070262909</v>
      </c>
      <c r="H60" s="358">
        <f>E60+G60</f>
        <v>2214.1909477710724</v>
      </c>
      <c r="I60" s="359">
        <f>IFERROR((H60/C60),0)</f>
        <v>0.31446399813778841</v>
      </c>
    </row>
    <row r="61" spans="2:9" ht="15.75" x14ac:dyDescent="0.25">
      <c r="B61" s="357" t="s">
        <v>1986</v>
      </c>
      <c r="C61" s="358">
        <f t="shared" si="5"/>
        <v>4283.4169999999995</v>
      </c>
      <c r="D61" s="358">
        <f t="shared" si="5"/>
        <v>2204.1669999999999</v>
      </c>
      <c r="E61" s="358">
        <f t="shared" si="5"/>
        <v>185.25572963058949</v>
      </c>
      <c r="F61" s="359">
        <f t="shared" ref="F61:F66" si="6">IFERROR((E61/D61),0)</f>
        <v>8.4047955363903679E-2</v>
      </c>
      <c r="G61" s="358">
        <f>G11+G17+G24</f>
        <v>1428.9773133769631</v>
      </c>
      <c r="H61" s="358">
        <f t="shared" ref="H61:H65" si="7">E61+G61</f>
        <v>1614.2330430075526</v>
      </c>
      <c r="I61" s="359">
        <f t="shared" ref="I61:I66" si="8">IFERROR((H61/C61),0)</f>
        <v>0.37685638428561891</v>
      </c>
    </row>
    <row r="62" spans="2:9" ht="15.75" x14ac:dyDescent="0.25">
      <c r="B62" s="357" t="s">
        <v>1987</v>
      </c>
      <c r="C62" s="358">
        <f t="shared" ref="C62:E63" si="9">C12+C18+C25+C28</f>
        <v>5232.6000000000004</v>
      </c>
      <c r="D62" s="358">
        <f t="shared" si="9"/>
        <v>5157.6000000000004</v>
      </c>
      <c r="E62" s="358">
        <f t="shared" si="9"/>
        <v>0</v>
      </c>
      <c r="F62" s="359">
        <f t="shared" si="6"/>
        <v>0</v>
      </c>
      <c r="G62" s="358">
        <f>G12+G18+G25+G28</f>
        <v>5133.7281532287598</v>
      </c>
      <c r="H62" s="358">
        <f t="shared" si="7"/>
        <v>5133.7281532287598</v>
      </c>
      <c r="I62" s="359">
        <f t="shared" si="8"/>
        <v>0.98110464266879938</v>
      </c>
    </row>
    <row r="63" spans="2:9" ht="15.75" x14ac:dyDescent="0.25">
      <c r="B63" s="357" t="s">
        <v>1340</v>
      </c>
      <c r="C63" s="358">
        <f t="shared" si="9"/>
        <v>57530.416850000001</v>
      </c>
      <c r="D63" s="358">
        <f t="shared" si="9"/>
        <v>35662.226849999999</v>
      </c>
      <c r="E63" s="358">
        <f t="shared" si="9"/>
        <v>14442.309417724609</v>
      </c>
      <c r="F63" s="359">
        <f t="shared" si="6"/>
        <v>0.40497497473926281</v>
      </c>
      <c r="G63" s="358">
        <f>G13+G19+G26+G29</f>
        <v>36660.292680315673</v>
      </c>
      <c r="H63" s="358">
        <f t="shared" si="7"/>
        <v>51102.602098040283</v>
      </c>
      <c r="I63" s="359">
        <f t="shared" si="8"/>
        <v>0.88827102072423592</v>
      </c>
    </row>
    <row r="64" spans="2:9" ht="15.75" x14ac:dyDescent="0.25">
      <c r="B64" s="357" t="s">
        <v>1381</v>
      </c>
      <c r="C64" s="358">
        <f>C14+C20+C27</f>
        <v>4903.34</v>
      </c>
      <c r="D64" s="358">
        <f>D14+D20+D27</f>
        <v>1482</v>
      </c>
      <c r="E64" s="358">
        <f>E14+E20+E27</f>
        <v>0</v>
      </c>
      <c r="F64" s="359">
        <f t="shared" si="6"/>
        <v>0</v>
      </c>
      <c r="G64" s="358">
        <f>G14+G20+G27</f>
        <v>1077.8437271118164</v>
      </c>
      <c r="H64" s="358">
        <f t="shared" si="7"/>
        <v>1077.8437271118164</v>
      </c>
      <c r="I64" s="359">
        <f t="shared" si="8"/>
        <v>0.21981827226172698</v>
      </c>
    </row>
    <row r="65" spans="2:9" ht="15.75" x14ac:dyDescent="0.25">
      <c r="B65" s="357" t="s">
        <v>1988</v>
      </c>
      <c r="C65" s="358">
        <f>C15+C21+C22</f>
        <v>4750.2001650000002</v>
      </c>
      <c r="D65" s="358">
        <f>D15+D21+D22</f>
        <v>2251.5234325000001</v>
      </c>
      <c r="E65" s="358">
        <f>E15+E21+E22</f>
        <v>286.83946025371552</v>
      </c>
      <c r="F65" s="359">
        <f t="shared" si="6"/>
        <v>0.12739794581450153</v>
      </c>
      <c r="G65" s="358">
        <f>G15+G21+G22</f>
        <v>3004.8263691256325</v>
      </c>
      <c r="H65" s="358">
        <f t="shared" si="7"/>
        <v>3291.665829379348</v>
      </c>
      <c r="I65" s="359">
        <f t="shared" si="8"/>
        <v>0.69295307882659463</v>
      </c>
    </row>
    <row r="66" spans="2:9" ht="18" x14ac:dyDescent="0.25">
      <c r="B66" s="362" t="s">
        <v>1427</v>
      </c>
      <c r="C66" s="363">
        <f>SUM(C60:C65)</f>
        <v>83741.132815000004</v>
      </c>
      <c r="D66" s="363">
        <f t="shared" ref="D66:H66" si="10">SUM(D60:D65)</f>
        <v>48274.647282500002</v>
      </c>
      <c r="E66" s="363">
        <f t="shared" si="10"/>
        <v>15094.605648353696</v>
      </c>
      <c r="F66" s="364">
        <f t="shared" si="6"/>
        <v>0.31268184229334861</v>
      </c>
      <c r="G66" s="363">
        <f t="shared" si="10"/>
        <v>49339.658150185132</v>
      </c>
      <c r="H66" s="363">
        <f t="shared" si="10"/>
        <v>64434.263798538828</v>
      </c>
      <c r="I66" s="366">
        <f t="shared" si="8"/>
        <v>0.76944581035088577</v>
      </c>
    </row>
    <row r="68" spans="2:9" ht="23.25" x14ac:dyDescent="0.35">
      <c r="B68" s="482" t="s">
        <v>1979</v>
      </c>
      <c r="C68" s="483"/>
      <c r="D68" s="483"/>
      <c r="E68" s="483"/>
      <c r="F68" s="484"/>
    </row>
    <row r="69" spans="2:9" ht="36" x14ac:dyDescent="0.25">
      <c r="B69" s="480" t="s">
        <v>1989</v>
      </c>
      <c r="C69" s="360" t="s">
        <v>1980</v>
      </c>
      <c r="D69" s="360" t="s">
        <v>1985</v>
      </c>
      <c r="E69" s="360" t="s">
        <v>1982</v>
      </c>
      <c r="F69" s="360" t="s">
        <v>1981</v>
      </c>
    </row>
    <row r="70" spans="2:9" ht="18" x14ac:dyDescent="0.25">
      <c r="B70" s="481"/>
      <c r="C70" s="361" t="s">
        <v>1433</v>
      </c>
      <c r="D70" s="361" t="s">
        <v>1434</v>
      </c>
      <c r="E70" s="365" t="s">
        <v>1983</v>
      </c>
      <c r="F70" s="361" t="s">
        <v>1984</v>
      </c>
    </row>
    <row r="71" spans="2:9" ht="15.75" x14ac:dyDescent="0.25">
      <c r="B71" s="357" t="s">
        <v>1373</v>
      </c>
      <c r="C71" s="358">
        <f>C35+C41+C48</f>
        <v>9766.1239883299986</v>
      </c>
      <c r="D71" s="358">
        <f>D35+D41+D48</f>
        <v>11013.35878711037</v>
      </c>
      <c r="E71" s="358">
        <f>D71-C71</f>
        <v>1247.2347987803714</v>
      </c>
      <c r="F71" s="359">
        <f>E71/C71</f>
        <v>0.12771031785698717</v>
      </c>
    </row>
    <row r="72" spans="2:9" ht="15.75" x14ac:dyDescent="0.25">
      <c r="B72" s="357" t="s">
        <v>1986</v>
      </c>
      <c r="C72" s="358">
        <f>C36+C42+C49</f>
        <v>5264.7019999999993</v>
      </c>
      <c r="D72" s="358">
        <f>D36+D42+D49</f>
        <v>3867.1553324951183</v>
      </c>
      <c r="E72" s="358">
        <f t="shared" ref="E72:E76" si="11">D72-C72</f>
        <v>-1397.546667504881</v>
      </c>
      <c r="F72" s="359">
        <f t="shared" ref="F72:F76" si="12">E72/C72</f>
        <v>-0.26545598734835918</v>
      </c>
    </row>
    <row r="73" spans="2:9" ht="15.75" x14ac:dyDescent="0.25">
      <c r="B73" s="357" t="s">
        <v>1987</v>
      </c>
      <c r="C73" s="358">
        <f>C37+C43+C50+C53</f>
        <v>15951.9</v>
      </c>
      <c r="D73" s="358">
        <f>D37+D43+D50+D53</f>
        <v>15961.9</v>
      </c>
      <c r="E73" s="358">
        <f t="shared" si="11"/>
        <v>10</v>
      </c>
      <c r="F73" s="359">
        <f t="shared" si="12"/>
        <v>6.2688457174380483E-4</v>
      </c>
    </row>
    <row r="74" spans="2:9" ht="15.75" x14ac:dyDescent="0.25">
      <c r="B74" s="357" t="s">
        <v>1340</v>
      </c>
      <c r="C74" s="358">
        <f>C38+C44+C51+C54</f>
        <v>52727.92</v>
      </c>
      <c r="D74" s="358">
        <f>D38+D44+D51+D54</f>
        <v>52068.658060000002</v>
      </c>
      <c r="E74" s="358">
        <f t="shared" si="11"/>
        <v>-659.26193999999668</v>
      </c>
      <c r="F74" s="359">
        <f t="shared" si="12"/>
        <v>-1.2503090203444337E-2</v>
      </c>
    </row>
    <row r="75" spans="2:9" ht="15.75" x14ac:dyDescent="0.25">
      <c r="B75" s="357" t="s">
        <v>1381</v>
      </c>
      <c r="C75" s="358">
        <f>C39+C45+C52</f>
        <v>1864</v>
      </c>
      <c r="D75" s="358">
        <f>D39+D45+D52</f>
        <v>6677.34</v>
      </c>
      <c r="E75" s="358">
        <f t="shared" si="11"/>
        <v>4813.34</v>
      </c>
      <c r="F75" s="359">
        <f t="shared" si="12"/>
        <v>2.5822639484978542</v>
      </c>
    </row>
    <row r="76" spans="2:9" ht="15.75" x14ac:dyDescent="0.25">
      <c r="B76" s="357" t="s">
        <v>1988</v>
      </c>
      <c r="C76" s="358">
        <f>C40+C47+C46</f>
        <v>4215.9023699999998</v>
      </c>
      <c r="D76" s="358">
        <f>D40+D47+D46</f>
        <v>4575.4146673141859</v>
      </c>
      <c r="E76" s="358">
        <f t="shared" si="11"/>
        <v>359.51229731418607</v>
      </c>
      <c r="F76" s="359">
        <f t="shared" si="12"/>
        <v>8.5275290023897318E-2</v>
      </c>
    </row>
    <row r="77" spans="2:9" ht="18" x14ac:dyDescent="0.25">
      <c r="B77" s="362" t="s">
        <v>1427</v>
      </c>
      <c r="C77" s="363">
        <f>SUM(C71:C76)</f>
        <v>89790.548358329994</v>
      </c>
      <c r="D77" s="363">
        <f>SUM(D71:D76)</f>
        <v>94163.826846919663</v>
      </c>
      <c r="E77" s="363">
        <f>SUM(E71:E76)</f>
        <v>4373.2784885896799</v>
      </c>
      <c r="F77" s="366">
        <f>IFERROR((E77/D77),0)</f>
        <v>4.6443296062077373E-2</v>
      </c>
    </row>
  </sheetData>
  <mergeCells count="6">
    <mergeCell ref="B69:B70"/>
    <mergeCell ref="B7:I7"/>
    <mergeCell ref="B32:F32"/>
    <mergeCell ref="B57:I57"/>
    <mergeCell ref="B68:F68"/>
    <mergeCell ref="B58:B59"/>
  </mergeCells>
  <conditionalFormatting sqref="E35:F55 E71:F77">
    <cfRule type="cellIs" dxfId="2" priority="3" operator="lessThan">
      <formula>0</formula>
    </cfRule>
    <cfRule type="cellIs" dxfId="1" priority="4" operator="greaterThanOrEqual">
      <formula>0</formula>
    </cfRule>
  </conditionalFormatting>
  <pageMargins left="0.511811024" right="0.511811024" top="0.78740157499999996" bottom="0.78740157499999996" header="0.31496062000000002" footer="0.31496062000000002"/>
  <pageSetup orientation="portrait" r:id="rId1"/>
  <ignoredErrors>
    <ignoredError sqref="F30 F55 F60:F66" formula="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showGridLines="0" workbookViewId="0">
      <selection activeCell="H30" sqref="H30"/>
    </sheetView>
  </sheetViews>
  <sheetFormatPr defaultRowHeight="16.5" x14ac:dyDescent="0.3"/>
  <cols>
    <col min="1" max="2" width="9.140625" style="367"/>
    <col min="3" max="3" width="42.7109375" style="367" customWidth="1"/>
    <col min="4" max="8" width="13.5703125" style="367" customWidth="1"/>
    <col min="9" max="16384" width="9.140625" style="367"/>
  </cols>
  <sheetData>
    <row r="2" spans="2:8" ht="30" customHeight="1" x14ac:dyDescent="0.3">
      <c r="B2" s="487" t="s">
        <v>0</v>
      </c>
      <c r="C2" s="487" t="s">
        <v>1</v>
      </c>
      <c r="D2" s="486" t="s">
        <v>1991</v>
      </c>
      <c r="E2" s="485" t="s">
        <v>1992</v>
      </c>
      <c r="F2" s="485" t="s">
        <v>1993</v>
      </c>
      <c r="G2" s="485" t="s">
        <v>1994</v>
      </c>
      <c r="H2" s="485" t="s">
        <v>1990</v>
      </c>
    </row>
    <row r="3" spans="2:8" ht="18.75" customHeight="1" x14ac:dyDescent="0.3">
      <c r="B3" s="488"/>
      <c r="C3" s="488"/>
      <c r="D3" s="489"/>
      <c r="E3" s="486"/>
      <c r="F3" s="486"/>
      <c r="G3" s="486" t="e">
        <f>'Quadros resumo'!#REF!</f>
        <v>#REF!</v>
      </c>
      <c r="H3" s="486" t="e">
        <f>'Quadros resumo'!#REF!</f>
        <v>#REF!</v>
      </c>
    </row>
    <row r="4" spans="2:8" x14ac:dyDescent="0.3">
      <c r="B4" s="368" t="s">
        <v>52</v>
      </c>
      <c r="C4" s="368" t="s">
        <v>27</v>
      </c>
      <c r="D4" s="371">
        <v>634</v>
      </c>
      <c r="E4" s="371" t="e">
        <f>GETPIVOTDATA("2019",Resumo!$B$4,"Negócio","Geração","Macroprojeto","1-3-1 Edificações e Complementos G")</f>
        <v>#REF!</v>
      </c>
      <c r="F4" s="371"/>
      <c r="G4" s="371"/>
      <c r="H4" s="371"/>
    </row>
    <row r="5" spans="2:8" x14ac:dyDescent="0.3">
      <c r="B5" s="368"/>
      <c r="C5" s="368" t="s">
        <v>28</v>
      </c>
      <c r="D5" s="371">
        <v>16</v>
      </c>
      <c r="E5" s="371" t="e">
        <f>GETPIVOTDATA("2019",Resumo!$B$4,"Negócio","Geração","Macroprojeto","1-3-2-1 TI - Telecomunicações (Ativo não elétrico) G")</f>
        <v>#REF!</v>
      </c>
      <c r="F5" s="371"/>
      <c r="G5" s="371"/>
      <c r="H5" s="371"/>
    </row>
    <row r="6" spans="2:8" x14ac:dyDescent="0.3">
      <c r="B6" s="369"/>
      <c r="C6" s="369" t="s">
        <v>29</v>
      </c>
      <c r="D6" s="371">
        <v>351.9</v>
      </c>
      <c r="E6" s="371" t="e">
        <f>GETPIVOTDATA("2019",Resumo!$B$4,"Negócio","Geração","Macroprojeto","1-3-3 TI - Microinformática G")</f>
        <v>#REF!</v>
      </c>
      <c r="F6" s="371"/>
      <c r="G6" s="371"/>
      <c r="H6" s="371"/>
    </row>
    <row r="7" spans="2:8" x14ac:dyDescent="0.3">
      <c r="B7" s="368"/>
      <c r="C7" s="368" t="s">
        <v>30</v>
      </c>
      <c r="D7" s="371">
        <v>1138</v>
      </c>
      <c r="E7" s="371" t="e">
        <f>GETPIVOTDATA("2019",Resumo!$B$4,"Negócio","Geração","Macroprojeto","1-3-4 Sistema de Informática G")</f>
        <v>#REF!</v>
      </c>
      <c r="F7" s="371"/>
      <c r="G7" s="371"/>
      <c r="H7" s="371"/>
    </row>
    <row r="8" spans="2:8" x14ac:dyDescent="0.3">
      <c r="B8" s="368"/>
      <c r="C8" s="368" t="s">
        <v>31</v>
      </c>
      <c r="D8" s="371">
        <v>0</v>
      </c>
      <c r="E8" s="371" t="e">
        <f>GETPIVOTDATA("2019",Resumo!$B$4,"Negócio","Geração","Macroprojeto","1-3-5 Veículos G")</f>
        <v>#REF!</v>
      </c>
      <c r="F8" s="371"/>
      <c r="G8" s="371"/>
      <c r="H8" s="371"/>
    </row>
    <row r="9" spans="2:8" x14ac:dyDescent="0.3">
      <c r="B9" s="369"/>
      <c r="C9" s="369" t="s">
        <v>1431</v>
      </c>
      <c r="D9" s="371">
        <v>485.50699999999989</v>
      </c>
      <c r="E9" s="371" t="e">
        <f>GETPIVOTDATA("2019",Resumo!$B$4,"Negócio","Geração","Macroprojeto","1-3-6 Ferramentas e Equipamentos G")</f>
        <v>#REF!</v>
      </c>
      <c r="F9" s="371"/>
      <c r="G9" s="371"/>
      <c r="H9" s="371"/>
    </row>
    <row r="10" spans="2:8" x14ac:dyDescent="0.3">
      <c r="B10" s="370" t="s">
        <v>809</v>
      </c>
      <c r="C10" s="370"/>
      <c r="D10" s="372">
        <f>SUM(D4:D9)</f>
        <v>2625.4070000000002</v>
      </c>
      <c r="E10" s="372" t="e">
        <f>SUM(E4:E9)</f>
        <v>#REF!</v>
      </c>
      <c r="F10" s="372">
        <f>SUM(F4:F9)</f>
        <v>0</v>
      </c>
      <c r="G10" s="372"/>
      <c r="H10" s="372"/>
    </row>
    <row r="11" spans="2:8" x14ac:dyDescent="0.3">
      <c r="B11" s="368" t="s">
        <v>61</v>
      </c>
      <c r="C11" s="368" t="s">
        <v>33</v>
      </c>
      <c r="D11" s="371">
        <v>429.53983000000017</v>
      </c>
      <c r="E11" s="373" t="e">
        <f>GETPIVOTDATA("2019",Resumo!$B$4,"Negócio","Transmissão","Macroprojeto","2-3-1 Edificações e Complementos T")</f>
        <v>#REF!</v>
      </c>
      <c r="F11" s="373"/>
      <c r="G11" s="373"/>
      <c r="H11" s="373"/>
    </row>
    <row r="12" spans="2:8" x14ac:dyDescent="0.3">
      <c r="B12" s="368"/>
      <c r="C12" s="368" t="s">
        <v>34</v>
      </c>
      <c r="D12" s="371">
        <v>45.5</v>
      </c>
      <c r="E12" s="373" t="e">
        <f>GETPIVOTDATA("2019",Resumo!$B$4,"Negócio","Transmissão","Macroprojeto","2-3-2 TI - Telecomunicações (Ativo não elétrico) T")</f>
        <v>#REF!</v>
      </c>
      <c r="F12" s="373"/>
      <c r="G12" s="373"/>
      <c r="H12" s="373"/>
    </row>
    <row r="13" spans="2:8" x14ac:dyDescent="0.3">
      <c r="B13" s="369"/>
      <c r="C13" s="369" t="s">
        <v>35</v>
      </c>
      <c r="D13" s="371">
        <v>55</v>
      </c>
      <c r="E13" s="373" t="e">
        <f>GETPIVOTDATA("2019",Resumo!$B$4,"Negócio","Transmissão","Macroprojeto","2-3-3 TI - Microinformática T")</f>
        <v>#REF!</v>
      </c>
      <c r="F13" s="373"/>
      <c r="G13" s="373"/>
      <c r="H13" s="373"/>
    </row>
    <row r="14" spans="2:8" x14ac:dyDescent="0.3">
      <c r="B14" s="368"/>
      <c r="C14" s="368" t="s">
        <v>36</v>
      </c>
      <c r="D14" s="371">
        <v>128.52000000000001</v>
      </c>
      <c r="E14" s="373" t="e">
        <f>GETPIVOTDATA("2019",Resumo!$B$4,"Negócio","Transmissão","Macroprojeto","2-3-4 Sistema de Informática T")</f>
        <v>#REF!</v>
      </c>
      <c r="F14" s="373"/>
      <c r="G14" s="373"/>
      <c r="H14" s="373"/>
    </row>
    <row r="15" spans="2:8" x14ac:dyDescent="0.3">
      <c r="B15" s="368"/>
      <c r="C15" s="368" t="s">
        <v>37</v>
      </c>
      <c r="D15" s="371">
        <v>0</v>
      </c>
      <c r="E15" s="373" t="e">
        <f>GETPIVOTDATA("2019",Resumo!$B$4,"Negócio","Transmissão","Macroprojeto","2-3-5 Veículos T")</f>
        <v>#REF!</v>
      </c>
      <c r="F15" s="373"/>
      <c r="G15" s="373"/>
      <c r="H15" s="373"/>
    </row>
    <row r="16" spans="2:8" x14ac:dyDescent="0.3">
      <c r="B16" s="369"/>
      <c r="C16" s="369" t="s">
        <v>1432</v>
      </c>
      <c r="D16" s="371">
        <v>1495.7401699999996</v>
      </c>
      <c r="E16" s="373" t="e">
        <f>GETPIVOTDATA("2019",Resumo!$B$4,"Negócio","Transmissão","Macroprojeto","2-3-6 Ferramentas e Equipamentos T")</f>
        <v>#REF!</v>
      </c>
      <c r="F16" s="373"/>
      <c r="G16" s="373"/>
      <c r="H16" s="373"/>
    </row>
    <row r="17" spans="2:8" x14ac:dyDescent="0.3">
      <c r="B17" s="370" t="s">
        <v>810</v>
      </c>
      <c r="C17" s="370"/>
      <c r="D17" s="372">
        <f>SUM(D11:D16)</f>
        <v>2154.2999999999997</v>
      </c>
      <c r="E17" s="372" t="e">
        <f>SUM(E11:E16)</f>
        <v>#REF!</v>
      </c>
      <c r="F17" s="372">
        <f t="shared" ref="F17:H17" si="0">SUM(F11:F16)</f>
        <v>0</v>
      </c>
      <c r="G17" s="372">
        <f t="shared" si="0"/>
        <v>0</v>
      </c>
      <c r="H17" s="372">
        <f t="shared" si="0"/>
        <v>0</v>
      </c>
    </row>
    <row r="18" spans="2:8" x14ac:dyDescent="0.3">
      <c r="B18" s="368" t="s">
        <v>55</v>
      </c>
      <c r="C18" s="368" t="s">
        <v>38</v>
      </c>
      <c r="D18" s="371">
        <v>2234.6552000000001</v>
      </c>
      <c r="E18" s="373" t="e">
        <f>GETPIVOTDATA("2019",Resumo!$B$4,"Negócio","Distribuição","Macroprojeto","3-4-1 Ferramentas D")</f>
        <v>#REF!</v>
      </c>
      <c r="F18" s="373"/>
      <c r="G18" s="373"/>
      <c r="H18" s="373"/>
    </row>
    <row r="19" spans="2:8" x14ac:dyDescent="0.3">
      <c r="B19" s="368"/>
      <c r="C19" s="368" t="s">
        <v>39</v>
      </c>
      <c r="D19" s="371">
        <v>8702.5841583299989</v>
      </c>
      <c r="E19" s="373" t="e">
        <f>GETPIVOTDATA("2019",Resumo!$B$4,"Negócio","Distribuição","Macroprojeto","3-4-2 Edificações e Complementos D")</f>
        <v>#REF!</v>
      </c>
      <c r="F19" s="373"/>
      <c r="G19" s="373"/>
      <c r="H19" s="373"/>
    </row>
    <row r="20" spans="2:8" x14ac:dyDescent="0.3">
      <c r="B20" s="369"/>
      <c r="C20" s="369" t="s">
        <v>40</v>
      </c>
      <c r="D20" s="371">
        <v>5203.2019999999993</v>
      </c>
      <c r="E20" s="373" t="e">
        <f>GETPIVOTDATA("2019",Resumo!$B$4,"Negócio","Distribuição","Macroprojeto","3-4-3-1 TI - Telecomunicações (Ativos não elétricos) D")</f>
        <v>#REF!</v>
      </c>
      <c r="F20" s="373"/>
      <c r="G20" s="373"/>
      <c r="H20" s="373"/>
    </row>
    <row r="21" spans="2:8" x14ac:dyDescent="0.3">
      <c r="B21" s="368"/>
      <c r="C21" s="368" t="s">
        <v>41</v>
      </c>
      <c r="D21" s="371">
        <v>15470</v>
      </c>
      <c r="E21" s="373" t="e">
        <f>GETPIVOTDATA("2019",Resumo!$B$4,"Negócio","Distribuição","Macroprojeto","3-4-4 TI - Microinformática D")</f>
        <v>#REF!</v>
      </c>
      <c r="F21" s="373"/>
      <c r="G21" s="373"/>
      <c r="H21" s="373"/>
    </row>
    <row r="22" spans="2:8" x14ac:dyDescent="0.3">
      <c r="B22" s="368"/>
      <c r="C22" s="368" t="s">
        <v>42</v>
      </c>
      <c r="D22" s="371">
        <v>51311</v>
      </c>
      <c r="E22" s="373" t="e">
        <f>GETPIVOTDATA("2019",Resumo!$B$4,"Negócio","Distribuição","Macroprojeto","3-4-5 Sistema de Informática D")</f>
        <v>#REF!</v>
      </c>
      <c r="F22" s="373"/>
      <c r="G22" s="373"/>
      <c r="H22" s="373"/>
    </row>
    <row r="23" spans="2:8" x14ac:dyDescent="0.3">
      <c r="B23" s="369"/>
      <c r="C23" s="369" t="s">
        <v>43</v>
      </c>
      <c r="D23" s="371">
        <v>1864</v>
      </c>
      <c r="E23" s="373" t="e">
        <f>GETPIVOTDATA("2019",Resumo!$B$4,"Negócio","Distribuição","Macroprojeto","3-4-6 Veículos D")</f>
        <v>#REF!</v>
      </c>
      <c r="F23" s="373"/>
      <c r="G23" s="373"/>
      <c r="H23" s="373"/>
    </row>
    <row r="24" spans="2:8" x14ac:dyDescent="0.3">
      <c r="B24" s="370" t="s">
        <v>429</v>
      </c>
      <c r="C24" s="370"/>
      <c r="D24" s="372">
        <f>SUM(D18:D23)</f>
        <v>84785.44135832999</v>
      </c>
      <c r="E24" s="372" t="e">
        <f>SUM(E18:E23)</f>
        <v>#REF!</v>
      </c>
      <c r="F24" s="372">
        <f t="shared" ref="F24:H24" si="1">SUM(F18:F23)</f>
        <v>0</v>
      </c>
      <c r="G24" s="372">
        <f t="shared" si="1"/>
        <v>0</v>
      </c>
      <c r="H24" s="372">
        <f t="shared" si="1"/>
        <v>0</v>
      </c>
    </row>
    <row r="25" spans="2:8" x14ac:dyDescent="0.3">
      <c r="B25" s="368" t="s">
        <v>381</v>
      </c>
      <c r="C25" s="368" t="s">
        <v>44</v>
      </c>
      <c r="D25" s="371">
        <v>75</v>
      </c>
      <c r="E25" s="373" t="e">
        <f>GETPIVOTDATA("2019",Resumo!$B$4,"Negócio","Holding","Macroprojeto","4-1-2 TI - Microinformática H")</f>
        <v>#REF!</v>
      </c>
      <c r="F25" s="373"/>
      <c r="G25" s="373"/>
      <c r="H25" s="373"/>
    </row>
    <row r="26" spans="2:8" x14ac:dyDescent="0.3">
      <c r="B26" s="368"/>
      <c r="C26" s="368" t="s">
        <v>45</v>
      </c>
      <c r="D26" s="371">
        <v>150</v>
      </c>
      <c r="E26" s="373" t="e">
        <f>GETPIVOTDATA("2019",Resumo!$B$4,"Negócio","Holding","Macroprojeto","4-1-3 Sistema de Informática H")</f>
        <v>#REF!</v>
      </c>
      <c r="F26" s="373"/>
      <c r="G26" s="373"/>
      <c r="H26" s="373"/>
    </row>
    <row r="27" spans="2:8" x14ac:dyDescent="0.3">
      <c r="B27" s="370" t="s">
        <v>811</v>
      </c>
      <c r="C27" s="370"/>
      <c r="D27" s="372">
        <f>SUM(D25:D26)</f>
        <v>225</v>
      </c>
      <c r="E27" s="372" t="e">
        <f>SUM(E25:E26)</f>
        <v>#REF!</v>
      </c>
      <c r="F27" s="372"/>
      <c r="G27" s="372"/>
      <c r="H27" s="372"/>
    </row>
    <row r="28" spans="2:8" x14ac:dyDescent="0.3">
      <c r="B28" s="370" t="s">
        <v>428</v>
      </c>
      <c r="C28" s="370"/>
      <c r="D28" s="372">
        <f>D10+D17+D24+D27</f>
        <v>89790.148358329985</v>
      </c>
      <c r="E28" s="372" t="e">
        <f t="shared" ref="E28:H28" si="2">E10+E17+E24+E27</f>
        <v>#REF!</v>
      </c>
      <c r="F28" s="372">
        <f t="shared" si="2"/>
        <v>0</v>
      </c>
      <c r="G28" s="372">
        <f t="shared" si="2"/>
        <v>0</v>
      </c>
      <c r="H28" s="372">
        <f t="shared" si="2"/>
        <v>0</v>
      </c>
    </row>
  </sheetData>
  <mergeCells count="7">
    <mergeCell ref="G2:G3"/>
    <mergeCell ref="H2:H3"/>
    <mergeCell ref="B2:B3"/>
    <mergeCell ref="C2:C3"/>
    <mergeCell ref="D2:D3"/>
    <mergeCell ref="E2:E3"/>
    <mergeCell ref="F2:F3"/>
  </mergeCells>
  <pageMargins left="0.511811024" right="0.511811024" top="0.78740157499999996" bottom="0.78740157499999996" header="0.31496062000000002" footer="0.31496062000000002"/>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1"/>
  <sheetViews>
    <sheetView showGridLines="0" zoomScale="84" zoomScaleNormal="84" workbookViewId="0">
      <pane ySplit="3" topLeftCell="A4" activePane="bottomLeft" state="frozen"/>
      <selection pane="bottomLeft" activeCell="H271" sqref="H271"/>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468" t="s">
        <v>1348</v>
      </c>
      <c r="B2" s="468" t="s">
        <v>1349</v>
      </c>
      <c r="C2" s="468" t="s">
        <v>1350</v>
      </c>
      <c r="D2" s="470" t="s">
        <v>1351</v>
      </c>
      <c r="E2" s="336" t="s">
        <v>1352</v>
      </c>
      <c r="F2" s="122"/>
      <c r="G2" s="123"/>
      <c r="H2" s="122"/>
      <c r="I2" s="124" t="s">
        <v>1353</v>
      </c>
      <c r="J2" s="125"/>
      <c r="K2" s="124"/>
      <c r="L2" s="124"/>
      <c r="M2" s="126"/>
      <c r="N2" s="127"/>
      <c r="O2" s="124"/>
      <c r="P2" s="124" t="s">
        <v>1354</v>
      </c>
      <c r="Q2" s="124"/>
      <c r="R2" s="124"/>
      <c r="S2" s="124"/>
      <c r="T2" s="124"/>
      <c r="U2" s="128"/>
    </row>
    <row r="3" spans="1:22" x14ac:dyDescent="0.25">
      <c r="A3" s="469"/>
      <c r="B3" s="469"/>
      <c r="C3" s="469"/>
      <c r="D3" s="471"/>
      <c r="E3" s="134">
        <v>2016</v>
      </c>
      <c r="F3" s="129" t="s">
        <v>1355</v>
      </c>
      <c r="G3" s="130" t="s">
        <v>1356</v>
      </c>
      <c r="H3" s="131" t="s">
        <v>1357</v>
      </c>
      <c r="I3" s="131" t="s">
        <v>1358</v>
      </c>
      <c r="J3" s="131" t="s">
        <v>1359</v>
      </c>
      <c r="K3" s="130" t="s">
        <v>1360</v>
      </c>
      <c r="L3" s="130" t="s">
        <v>1361</v>
      </c>
      <c r="M3" s="130" t="s">
        <v>1362</v>
      </c>
      <c r="N3" s="133" t="s">
        <v>431</v>
      </c>
      <c r="O3" s="132">
        <v>2020</v>
      </c>
      <c r="P3" s="132">
        <v>2021</v>
      </c>
      <c r="Q3" s="132">
        <v>2022</v>
      </c>
      <c r="R3" s="132">
        <v>2023</v>
      </c>
      <c r="S3" s="132">
        <v>2024</v>
      </c>
      <c r="T3" s="132">
        <v>2025</v>
      </c>
      <c r="U3" s="132">
        <v>2026</v>
      </c>
    </row>
    <row r="4" spans="1:22" x14ac:dyDescent="0.25">
      <c r="A4" s="111" t="s">
        <v>1133</v>
      </c>
      <c r="B4" s="112" t="s">
        <v>1134</v>
      </c>
      <c r="C4" s="112" t="s">
        <v>57</v>
      </c>
      <c r="D4" s="113">
        <v>0</v>
      </c>
      <c r="E4" s="114">
        <v>0</v>
      </c>
      <c r="F4" s="113">
        <v>0</v>
      </c>
      <c r="G4" s="114">
        <v>0</v>
      </c>
      <c r="H4" s="113">
        <v>0</v>
      </c>
      <c r="I4" s="114">
        <v>0</v>
      </c>
      <c r="J4" s="113">
        <v>0</v>
      </c>
      <c r="K4" s="114">
        <v>0</v>
      </c>
      <c r="L4" s="113">
        <v>0</v>
      </c>
      <c r="M4" s="114">
        <v>0</v>
      </c>
      <c r="N4" s="113">
        <v>0</v>
      </c>
      <c r="O4" s="114">
        <v>0</v>
      </c>
      <c r="P4" s="113">
        <v>0</v>
      </c>
      <c r="Q4" s="114">
        <v>0</v>
      </c>
      <c r="R4" s="113">
        <v>0</v>
      </c>
      <c r="S4" s="114">
        <v>0</v>
      </c>
      <c r="T4" s="113">
        <v>0</v>
      </c>
      <c r="U4" s="115">
        <v>0</v>
      </c>
      <c r="V4" t="e">
        <f>VLOOKUP(A4,Projetos_Ciclo!$H$2:$H$315,1,FALSE)</f>
        <v>#N/A</v>
      </c>
    </row>
    <row r="5" spans="1:22" x14ac:dyDescent="0.25">
      <c r="A5" s="14" t="s">
        <v>1135</v>
      </c>
      <c r="B5" s="116" t="s">
        <v>1136</v>
      </c>
      <c r="C5" s="116" t="s">
        <v>57</v>
      </c>
      <c r="D5" s="117">
        <v>0</v>
      </c>
      <c r="E5" s="118">
        <v>0</v>
      </c>
      <c r="F5" s="117">
        <v>0</v>
      </c>
      <c r="G5" s="118">
        <v>0</v>
      </c>
      <c r="H5" s="117">
        <v>0</v>
      </c>
      <c r="I5" s="118">
        <v>0</v>
      </c>
      <c r="J5" s="117">
        <v>0</v>
      </c>
      <c r="K5" s="118">
        <v>0</v>
      </c>
      <c r="L5" s="117">
        <v>0</v>
      </c>
      <c r="M5" s="118">
        <v>0</v>
      </c>
      <c r="N5" s="117">
        <v>0</v>
      </c>
      <c r="O5" s="118">
        <v>0</v>
      </c>
      <c r="P5" s="117">
        <v>0</v>
      </c>
      <c r="Q5" s="118">
        <v>0</v>
      </c>
      <c r="R5" s="117">
        <v>0</v>
      </c>
      <c r="S5" s="118">
        <v>0</v>
      </c>
      <c r="T5" s="117">
        <v>0</v>
      </c>
      <c r="U5" s="119">
        <v>0</v>
      </c>
      <c r="V5" t="e">
        <f>VLOOKUP(A5,Projetos_Ciclo!$H$2:$H$315,1,FALSE)</f>
        <v>#N/A</v>
      </c>
    </row>
    <row r="6" spans="1:22" x14ac:dyDescent="0.25">
      <c r="A6" s="111" t="s">
        <v>1383</v>
      </c>
      <c r="B6" s="112" t="s">
        <v>1384</v>
      </c>
      <c r="C6" s="112" t="s">
        <v>1385</v>
      </c>
      <c r="D6" s="113">
        <v>283</v>
      </c>
      <c r="E6" s="114">
        <v>0</v>
      </c>
      <c r="F6" s="113">
        <v>283</v>
      </c>
      <c r="G6" s="114">
        <v>0</v>
      </c>
      <c r="H6" s="113">
        <v>120</v>
      </c>
      <c r="I6" s="114">
        <v>0</v>
      </c>
      <c r="J6" s="113">
        <v>0</v>
      </c>
      <c r="K6" s="114">
        <v>0</v>
      </c>
      <c r="L6" s="113">
        <v>0</v>
      </c>
      <c r="M6" s="114">
        <v>0</v>
      </c>
      <c r="N6" s="113">
        <v>0</v>
      </c>
      <c r="O6" s="114">
        <v>0</v>
      </c>
      <c r="P6" s="113">
        <v>0</v>
      </c>
      <c r="Q6" s="114">
        <v>0</v>
      </c>
      <c r="R6" s="113">
        <v>0</v>
      </c>
      <c r="S6" s="114">
        <v>0</v>
      </c>
      <c r="T6" s="113">
        <v>0</v>
      </c>
      <c r="U6" s="115">
        <v>0</v>
      </c>
      <c r="V6" t="e">
        <f>VLOOKUP(A6,Projetos_Ciclo!$H$2:$H$315,1,FALSE)</f>
        <v>#N/A</v>
      </c>
    </row>
    <row r="7" spans="1:22" x14ac:dyDescent="0.25">
      <c r="A7" s="14" t="s">
        <v>1562</v>
      </c>
      <c r="B7" s="116" t="s">
        <v>1589</v>
      </c>
      <c r="C7" s="116" t="s">
        <v>1563</v>
      </c>
      <c r="D7" s="117">
        <v>0</v>
      </c>
      <c r="E7" s="120">
        <v>0</v>
      </c>
      <c r="F7" s="117">
        <v>0</v>
      </c>
      <c r="G7" s="120">
        <v>51</v>
      </c>
      <c r="H7" s="117">
        <v>0</v>
      </c>
      <c r="I7" s="120">
        <v>0</v>
      </c>
      <c r="J7" s="117">
        <v>0</v>
      </c>
      <c r="K7" s="120">
        <v>0</v>
      </c>
      <c r="L7" s="117">
        <v>47.292760133743286</v>
      </c>
      <c r="M7" s="120">
        <v>47.292760133743286</v>
      </c>
      <c r="N7" s="117">
        <v>0</v>
      </c>
      <c r="O7" s="120">
        <v>0</v>
      </c>
      <c r="P7" s="117">
        <v>0</v>
      </c>
      <c r="Q7" s="120">
        <v>0</v>
      </c>
      <c r="R7" s="117">
        <v>0</v>
      </c>
      <c r="S7" s="120">
        <v>0</v>
      </c>
      <c r="T7" s="117">
        <v>0</v>
      </c>
      <c r="U7" s="119">
        <v>0</v>
      </c>
      <c r="V7" t="str">
        <f>VLOOKUP(A7,Projetos_Ciclo!$H$2:$H$315,1,FALSE)</f>
        <v>MG00818</v>
      </c>
    </row>
    <row r="8" spans="1:22" x14ac:dyDescent="0.25">
      <c r="A8" s="111" t="s">
        <v>520</v>
      </c>
      <c r="B8" s="112" t="s">
        <v>1137</v>
      </c>
      <c r="C8" s="112" t="s">
        <v>57</v>
      </c>
      <c r="D8" s="113">
        <v>1854</v>
      </c>
      <c r="E8" s="114">
        <v>0</v>
      </c>
      <c r="F8" s="113">
        <v>0</v>
      </c>
      <c r="G8" s="114">
        <v>0</v>
      </c>
      <c r="H8" s="113">
        <v>0</v>
      </c>
      <c r="I8" s="114">
        <v>0</v>
      </c>
      <c r="J8" s="113">
        <v>0</v>
      </c>
      <c r="K8" s="114">
        <v>0</v>
      </c>
      <c r="L8" s="113">
        <v>0</v>
      </c>
      <c r="M8" s="114">
        <v>0</v>
      </c>
      <c r="N8" s="113">
        <v>634</v>
      </c>
      <c r="O8" s="114">
        <v>435</v>
      </c>
      <c r="P8" s="113">
        <v>360</v>
      </c>
      <c r="Q8" s="114">
        <v>425</v>
      </c>
      <c r="R8" s="113">
        <v>0</v>
      </c>
      <c r="S8" s="114">
        <v>0</v>
      </c>
      <c r="T8" s="113">
        <v>0</v>
      </c>
      <c r="U8" s="115">
        <v>0</v>
      </c>
      <c r="V8" t="str">
        <f>VLOOKUP(A8,Projetos_Ciclo!$H$2:$H$315,1,FALSE)</f>
        <v>NA</v>
      </c>
    </row>
    <row r="9" spans="1:22" x14ac:dyDescent="0.25">
      <c r="A9" s="14" t="s">
        <v>1469</v>
      </c>
      <c r="B9" s="116" t="s">
        <v>1517</v>
      </c>
      <c r="C9" s="116" t="s">
        <v>1470</v>
      </c>
      <c r="D9" s="117">
        <v>0</v>
      </c>
      <c r="E9" s="120">
        <v>0</v>
      </c>
      <c r="F9" s="117">
        <v>0</v>
      </c>
      <c r="G9" s="120">
        <v>127</v>
      </c>
      <c r="H9" s="117">
        <v>0</v>
      </c>
      <c r="I9" s="120">
        <v>106.28385317325592</v>
      </c>
      <c r="J9" s="117">
        <v>0</v>
      </c>
      <c r="K9" s="120">
        <v>106.28385317325592</v>
      </c>
      <c r="L9" s="117">
        <v>13.228500366210938</v>
      </c>
      <c r="M9" s="120">
        <v>119.51235353946686</v>
      </c>
      <c r="N9" s="117">
        <v>0</v>
      </c>
      <c r="O9" s="120">
        <v>0</v>
      </c>
      <c r="P9" s="117">
        <v>0</v>
      </c>
      <c r="Q9" s="120">
        <v>0</v>
      </c>
      <c r="R9" s="117">
        <v>0</v>
      </c>
      <c r="S9" s="120">
        <v>0</v>
      </c>
      <c r="T9" s="117">
        <v>0</v>
      </c>
      <c r="U9" s="119">
        <v>0</v>
      </c>
      <c r="V9" t="str">
        <f>VLOOKUP(A9,Projetos_Ciclo!$H$2:$H$315,1,FALSE)</f>
        <v>SC00318</v>
      </c>
    </row>
    <row r="10" spans="1:22" x14ac:dyDescent="0.25">
      <c r="A10" s="111" t="s">
        <v>1846</v>
      </c>
      <c r="B10" s="112" t="s">
        <v>1866</v>
      </c>
      <c r="C10" s="112" t="s">
        <v>1867</v>
      </c>
      <c r="D10" s="113">
        <v>0</v>
      </c>
      <c r="E10" s="114">
        <v>0</v>
      </c>
      <c r="F10" s="113">
        <v>0</v>
      </c>
      <c r="G10" s="114">
        <v>65</v>
      </c>
      <c r="H10" s="113">
        <v>0</v>
      </c>
      <c r="I10" s="114">
        <v>0</v>
      </c>
      <c r="J10" s="113">
        <v>0</v>
      </c>
      <c r="K10" s="114">
        <v>0</v>
      </c>
      <c r="L10" s="113">
        <v>64.618797302246094</v>
      </c>
      <c r="M10" s="114">
        <v>64.618797302246094</v>
      </c>
      <c r="N10" s="113">
        <v>0</v>
      </c>
      <c r="O10" s="114">
        <v>0</v>
      </c>
      <c r="P10" s="113">
        <v>0</v>
      </c>
      <c r="Q10" s="114">
        <v>0</v>
      </c>
      <c r="R10" s="113">
        <v>0</v>
      </c>
      <c r="S10" s="114">
        <v>0</v>
      </c>
      <c r="T10" s="113">
        <v>0</v>
      </c>
      <c r="U10" s="115">
        <v>0</v>
      </c>
      <c r="V10" t="str">
        <f>VLOOKUP(A10,Projetos_Ciclo!$H$2:$H$315,1,FALSE)</f>
        <v>SC01018</v>
      </c>
    </row>
    <row r="11" spans="1:22" x14ac:dyDescent="0.25">
      <c r="A11" s="14" t="s">
        <v>1953</v>
      </c>
      <c r="B11" s="116" t="s">
        <v>1964</v>
      </c>
      <c r="C11" s="116" t="s">
        <v>1954</v>
      </c>
      <c r="D11" s="117">
        <v>0</v>
      </c>
      <c r="E11" s="120">
        <v>0</v>
      </c>
      <c r="F11" s="117">
        <v>0</v>
      </c>
      <c r="G11" s="120">
        <v>40</v>
      </c>
      <c r="H11" s="117">
        <v>0</v>
      </c>
      <c r="I11" s="120">
        <v>0</v>
      </c>
      <c r="J11" s="117">
        <v>0</v>
      </c>
      <c r="K11" s="120">
        <v>0</v>
      </c>
      <c r="L11" s="117">
        <v>32.926601409912109</v>
      </c>
      <c r="M11" s="120">
        <v>32.926601409912109</v>
      </c>
      <c r="N11" s="117">
        <v>0</v>
      </c>
      <c r="O11" s="120">
        <v>0</v>
      </c>
      <c r="P11" s="117">
        <v>0</v>
      </c>
      <c r="Q11" s="120">
        <v>0</v>
      </c>
      <c r="R11" s="117">
        <v>0</v>
      </c>
      <c r="S11" s="120">
        <v>0</v>
      </c>
      <c r="T11" s="117">
        <v>0</v>
      </c>
      <c r="U11" s="119">
        <v>0</v>
      </c>
      <c r="V11" t="str">
        <f>VLOOKUP(A11,Projetos_Ciclo!$H$2:$H$315,1,FALSE)</f>
        <v>SC01518</v>
      </c>
    </row>
    <row r="12" spans="1:22" x14ac:dyDescent="0.25">
      <c r="A12" s="111" t="s">
        <v>1138</v>
      </c>
      <c r="B12" s="112" t="s">
        <v>1139</v>
      </c>
      <c r="C12" s="112" t="s">
        <v>57</v>
      </c>
      <c r="D12" s="113">
        <v>499</v>
      </c>
      <c r="E12" s="114">
        <v>0</v>
      </c>
      <c r="F12" s="113">
        <v>0</v>
      </c>
      <c r="G12" s="114">
        <v>0</v>
      </c>
      <c r="H12" s="113">
        <v>0</v>
      </c>
      <c r="I12" s="114">
        <v>0</v>
      </c>
      <c r="J12" s="113">
        <v>0</v>
      </c>
      <c r="K12" s="114">
        <v>0</v>
      </c>
      <c r="L12" s="113">
        <v>0</v>
      </c>
      <c r="M12" s="114">
        <v>0</v>
      </c>
      <c r="N12" s="113">
        <v>0</v>
      </c>
      <c r="O12" s="114">
        <v>0</v>
      </c>
      <c r="P12" s="113">
        <v>0</v>
      </c>
      <c r="Q12" s="114">
        <v>0</v>
      </c>
      <c r="R12" s="113">
        <v>0</v>
      </c>
      <c r="S12" s="114">
        <v>0</v>
      </c>
      <c r="T12" s="113">
        <v>0</v>
      </c>
      <c r="U12" s="115">
        <v>0</v>
      </c>
      <c r="V12" t="e">
        <f>VLOOKUP(A12,Projetos_Ciclo!$H$2:$H$315,1,FALSE)</f>
        <v>#N/A</v>
      </c>
    </row>
    <row r="13" spans="1:22" x14ac:dyDescent="0.25">
      <c r="A13" s="14" t="s">
        <v>1133</v>
      </c>
      <c r="B13" s="116" t="s">
        <v>1140</v>
      </c>
      <c r="C13" s="116" t="s">
        <v>57</v>
      </c>
      <c r="D13" s="117">
        <v>0</v>
      </c>
      <c r="E13" s="120">
        <v>0</v>
      </c>
      <c r="F13" s="117">
        <v>0</v>
      </c>
      <c r="G13" s="120">
        <v>0</v>
      </c>
      <c r="H13" s="117">
        <v>0</v>
      </c>
      <c r="I13" s="120">
        <v>0</v>
      </c>
      <c r="J13" s="117">
        <v>0</v>
      </c>
      <c r="K13" s="120">
        <v>0</v>
      </c>
      <c r="L13" s="117">
        <v>0</v>
      </c>
      <c r="M13" s="120">
        <v>0</v>
      </c>
      <c r="N13" s="117">
        <v>0</v>
      </c>
      <c r="O13" s="120">
        <v>0</v>
      </c>
      <c r="P13" s="117">
        <v>0</v>
      </c>
      <c r="Q13" s="120">
        <v>0</v>
      </c>
      <c r="R13" s="117">
        <v>0</v>
      </c>
      <c r="S13" s="120">
        <v>0</v>
      </c>
      <c r="T13" s="117">
        <v>0</v>
      </c>
      <c r="U13" s="119">
        <v>0</v>
      </c>
      <c r="V13" t="e">
        <f>VLOOKUP(A13,Projetos_Ciclo!$H$2:$H$315,1,FALSE)</f>
        <v>#N/A</v>
      </c>
    </row>
    <row r="14" spans="1:22" x14ac:dyDescent="0.25">
      <c r="A14" s="111" t="s">
        <v>1135</v>
      </c>
      <c r="B14" s="112" t="s">
        <v>1136</v>
      </c>
      <c r="C14" s="112" t="s">
        <v>57</v>
      </c>
      <c r="D14" s="113">
        <v>0</v>
      </c>
      <c r="E14" s="114">
        <v>0</v>
      </c>
      <c r="F14" s="113">
        <v>0</v>
      </c>
      <c r="G14" s="114">
        <v>0</v>
      </c>
      <c r="H14" s="113">
        <v>0</v>
      </c>
      <c r="I14" s="114">
        <v>0</v>
      </c>
      <c r="J14" s="113">
        <v>0</v>
      </c>
      <c r="K14" s="114">
        <v>0</v>
      </c>
      <c r="L14" s="113">
        <v>0</v>
      </c>
      <c r="M14" s="114">
        <v>0</v>
      </c>
      <c r="N14" s="113">
        <v>0</v>
      </c>
      <c r="O14" s="114">
        <v>0</v>
      </c>
      <c r="P14" s="113">
        <v>0</v>
      </c>
      <c r="Q14" s="114">
        <v>0</v>
      </c>
      <c r="R14" s="113">
        <v>0</v>
      </c>
      <c r="S14" s="114">
        <v>0</v>
      </c>
      <c r="T14" s="113">
        <v>0</v>
      </c>
      <c r="U14" s="115">
        <v>0</v>
      </c>
      <c r="V14" t="e">
        <f>VLOOKUP(A14,Projetos_Ciclo!$H$2:$H$315,1,FALSE)</f>
        <v>#N/A</v>
      </c>
    </row>
    <row r="15" spans="1:22" x14ac:dyDescent="0.25">
      <c r="A15" s="14" t="s">
        <v>520</v>
      </c>
      <c r="B15" s="116" t="s">
        <v>1137</v>
      </c>
      <c r="C15" s="116" t="s">
        <v>57</v>
      </c>
      <c r="D15" s="117">
        <v>139</v>
      </c>
      <c r="E15" s="120">
        <v>0</v>
      </c>
      <c r="F15" s="117">
        <v>0</v>
      </c>
      <c r="G15" s="120">
        <v>0</v>
      </c>
      <c r="H15" s="117">
        <v>0</v>
      </c>
      <c r="I15" s="120">
        <v>0</v>
      </c>
      <c r="J15" s="117">
        <v>0</v>
      </c>
      <c r="K15" s="120">
        <v>0</v>
      </c>
      <c r="L15" s="117">
        <v>0</v>
      </c>
      <c r="M15" s="120">
        <v>0</v>
      </c>
      <c r="N15" s="117">
        <v>16</v>
      </c>
      <c r="O15" s="120">
        <v>30</v>
      </c>
      <c r="P15" s="117">
        <v>50</v>
      </c>
      <c r="Q15" s="120">
        <v>43</v>
      </c>
      <c r="R15" s="117">
        <v>0</v>
      </c>
      <c r="S15" s="120">
        <v>0</v>
      </c>
      <c r="T15" s="117">
        <v>0</v>
      </c>
      <c r="U15" s="119">
        <v>0</v>
      </c>
      <c r="V15" t="str">
        <f>VLOOKUP(A15,Projetos_Ciclo!$H$2:$H$315,1,FALSE)</f>
        <v>NA</v>
      </c>
    </row>
    <row r="16" spans="1:22" x14ac:dyDescent="0.25">
      <c r="A16" s="111" t="s">
        <v>1138</v>
      </c>
      <c r="B16" s="112" t="s">
        <v>1139</v>
      </c>
      <c r="C16" s="112" t="s">
        <v>57</v>
      </c>
      <c r="D16" s="113">
        <v>0</v>
      </c>
      <c r="E16" s="114">
        <v>0</v>
      </c>
      <c r="F16" s="113">
        <v>0</v>
      </c>
      <c r="G16" s="114">
        <v>0</v>
      </c>
      <c r="H16" s="113">
        <v>0</v>
      </c>
      <c r="I16" s="114">
        <v>0</v>
      </c>
      <c r="J16" s="113">
        <v>0</v>
      </c>
      <c r="K16" s="114">
        <v>0</v>
      </c>
      <c r="L16" s="113">
        <v>0</v>
      </c>
      <c r="M16" s="114">
        <v>0</v>
      </c>
      <c r="N16" s="113">
        <v>0</v>
      </c>
      <c r="O16" s="114">
        <v>0</v>
      </c>
      <c r="P16" s="113">
        <v>0</v>
      </c>
      <c r="Q16" s="114">
        <v>0</v>
      </c>
      <c r="R16" s="113">
        <v>0</v>
      </c>
      <c r="S16" s="114">
        <v>0</v>
      </c>
      <c r="T16" s="113">
        <v>0</v>
      </c>
      <c r="U16" s="115">
        <v>0</v>
      </c>
      <c r="V16" t="e">
        <f>VLOOKUP(A16,Projetos_Ciclo!$H$2:$H$315,1,FALSE)</f>
        <v>#N/A</v>
      </c>
    </row>
    <row r="17" spans="1:22" x14ac:dyDescent="0.25">
      <c r="A17" s="14" t="s">
        <v>1141</v>
      </c>
      <c r="B17" s="116" t="s">
        <v>1142</v>
      </c>
      <c r="C17" s="116" t="s">
        <v>1143</v>
      </c>
      <c r="D17" s="117">
        <v>29</v>
      </c>
      <c r="E17" s="120">
        <v>0</v>
      </c>
      <c r="F17" s="117">
        <v>29</v>
      </c>
      <c r="G17" s="120">
        <v>0</v>
      </c>
      <c r="H17" s="117">
        <v>2</v>
      </c>
      <c r="I17" s="120">
        <v>0</v>
      </c>
      <c r="J17" s="117">
        <v>0</v>
      </c>
      <c r="K17" s="120">
        <v>0</v>
      </c>
      <c r="L17" s="117">
        <v>0</v>
      </c>
      <c r="M17" s="120">
        <v>0</v>
      </c>
      <c r="N17" s="117">
        <v>0</v>
      </c>
      <c r="O17" s="120">
        <v>0</v>
      </c>
      <c r="P17" s="117">
        <v>0</v>
      </c>
      <c r="Q17" s="120">
        <v>0</v>
      </c>
      <c r="R17" s="117">
        <v>0</v>
      </c>
      <c r="S17" s="120">
        <v>0</v>
      </c>
      <c r="T17" s="117">
        <v>0</v>
      </c>
      <c r="U17" s="119">
        <v>0</v>
      </c>
      <c r="V17" t="e">
        <f>VLOOKUP(A17,Projetos_Ciclo!$H$2:$H$315,1,FALSE)</f>
        <v>#N/A</v>
      </c>
    </row>
    <row r="18" spans="1:22" x14ac:dyDescent="0.25">
      <c r="A18" s="111" t="s">
        <v>1835</v>
      </c>
      <c r="B18" s="112" t="s">
        <v>1836</v>
      </c>
      <c r="C18" s="112" t="s">
        <v>1837</v>
      </c>
      <c r="D18" s="113">
        <v>0</v>
      </c>
      <c r="E18" s="114">
        <v>0</v>
      </c>
      <c r="F18" s="113">
        <v>0</v>
      </c>
      <c r="G18" s="114">
        <v>10</v>
      </c>
      <c r="H18" s="113">
        <v>0</v>
      </c>
      <c r="I18" s="114">
        <v>2.2655799686908722</v>
      </c>
      <c r="J18" s="113">
        <v>0</v>
      </c>
      <c r="K18" s="114">
        <v>2.2655799686908722</v>
      </c>
      <c r="L18" s="113">
        <v>0</v>
      </c>
      <c r="M18" s="114">
        <v>2.2655799686908722</v>
      </c>
      <c r="N18" s="113">
        <v>0</v>
      </c>
      <c r="O18" s="114">
        <v>0</v>
      </c>
      <c r="P18" s="113">
        <v>0</v>
      </c>
      <c r="Q18" s="114">
        <v>0</v>
      </c>
      <c r="R18" s="113">
        <v>0</v>
      </c>
      <c r="S18" s="114">
        <v>0</v>
      </c>
      <c r="T18" s="113">
        <v>0</v>
      </c>
      <c r="U18" s="115">
        <v>0</v>
      </c>
      <c r="V18" t="str">
        <f>VLOOKUP(A18,Projetos_Ciclo!$H$2:$H$315,1,FALSE)</f>
        <v>TI08018</v>
      </c>
    </row>
    <row r="19" spans="1:22" x14ac:dyDescent="0.25">
      <c r="A19" s="14" t="s">
        <v>1133</v>
      </c>
      <c r="B19" s="116" t="s">
        <v>1144</v>
      </c>
      <c r="C19" s="116" t="s">
        <v>57</v>
      </c>
      <c r="D19" s="117">
        <v>0</v>
      </c>
      <c r="E19" s="120">
        <v>0</v>
      </c>
      <c r="F19" s="117">
        <v>0</v>
      </c>
      <c r="G19" s="120">
        <v>0</v>
      </c>
      <c r="H19" s="117">
        <v>0</v>
      </c>
      <c r="I19" s="120">
        <v>0</v>
      </c>
      <c r="J19" s="117">
        <v>0</v>
      </c>
      <c r="K19" s="120">
        <v>0</v>
      </c>
      <c r="L19" s="117">
        <v>0</v>
      </c>
      <c r="M19" s="120">
        <v>0</v>
      </c>
      <c r="N19" s="117">
        <v>0</v>
      </c>
      <c r="O19" s="120">
        <v>0</v>
      </c>
      <c r="P19" s="117">
        <v>0</v>
      </c>
      <c r="Q19" s="120">
        <v>0</v>
      </c>
      <c r="R19" s="117">
        <v>0</v>
      </c>
      <c r="S19" s="120">
        <v>0</v>
      </c>
      <c r="T19" s="117">
        <v>0</v>
      </c>
      <c r="U19" s="119">
        <v>0</v>
      </c>
      <c r="V19" t="e">
        <f>VLOOKUP(A19,Projetos_Ciclo!$H$2:$H$315,1,FALSE)</f>
        <v>#N/A</v>
      </c>
    </row>
    <row r="20" spans="1:22" x14ac:dyDescent="0.25">
      <c r="A20" s="111" t="s">
        <v>1135</v>
      </c>
      <c r="B20" s="112" t="s">
        <v>1136</v>
      </c>
      <c r="C20" s="112" t="s">
        <v>57</v>
      </c>
      <c r="D20" s="113">
        <v>0</v>
      </c>
      <c r="E20" s="114">
        <v>0</v>
      </c>
      <c r="F20" s="113">
        <v>0</v>
      </c>
      <c r="G20" s="114">
        <v>0</v>
      </c>
      <c r="H20" s="113">
        <v>0</v>
      </c>
      <c r="I20" s="114">
        <v>0</v>
      </c>
      <c r="J20" s="113">
        <v>0</v>
      </c>
      <c r="K20" s="114">
        <v>0</v>
      </c>
      <c r="L20" s="113">
        <v>0</v>
      </c>
      <c r="M20" s="114">
        <v>0</v>
      </c>
      <c r="N20" s="113">
        <v>0</v>
      </c>
      <c r="O20" s="114">
        <v>0</v>
      </c>
      <c r="P20" s="113">
        <v>0</v>
      </c>
      <c r="Q20" s="114">
        <v>0</v>
      </c>
      <c r="R20" s="113">
        <v>0</v>
      </c>
      <c r="S20" s="114">
        <v>0</v>
      </c>
      <c r="T20" s="113">
        <v>0</v>
      </c>
      <c r="U20" s="115">
        <v>0</v>
      </c>
      <c r="V20" t="e">
        <f>VLOOKUP(A20,Projetos_Ciclo!$H$2:$H$315,1,FALSE)</f>
        <v>#N/A</v>
      </c>
    </row>
    <row r="21" spans="1:22" x14ac:dyDescent="0.25">
      <c r="A21" s="14" t="s">
        <v>520</v>
      </c>
      <c r="B21" s="116" t="s">
        <v>1137</v>
      </c>
      <c r="C21" s="116" t="s">
        <v>57</v>
      </c>
      <c r="D21" s="117">
        <v>896</v>
      </c>
      <c r="E21" s="120">
        <v>0</v>
      </c>
      <c r="F21" s="117">
        <v>0</v>
      </c>
      <c r="G21" s="120">
        <v>0</v>
      </c>
      <c r="H21" s="117">
        <v>0</v>
      </c>
      <c r="I21" s="120">
        <v>0</v>
      </c>
      <c r="J21" s="117">
        <v>0</v>
      </c>
      <c r="K21" s="120">
        <v>0</v>
      </c>
      <c r="L21" s="117">
        <v>0</v>
      </c>
      <c r="M21" s="120">
        <v>0</v>
      </c>
      <c r="N21" s="117">
        <v>351.5</v>
      </c>
      <c r="O21" s="120">
        <v>214.5</v>
      </c>
      <c r="P21" s="117">
        <v>51.5</v>
      </c>
      <c r="Q21" s="120">
        <v>278.5</v>
      </c>
      <c r="R21" s="117">
        <v>0</v>
      </c>
      <c r="S21" s="120">
        <v>0</v>
      </c>
      <c r="T21" s="117">
        <v>0</v>
      </c>
      <c r="U21" s="119">
        <v>0</v>
      </c>
      <c r="V21" t="str">
        <f>VLOOKUP(A21,Projetos_Ciclo!$H$2:$H$315,1,FALSE)</f>
        <v>NA</v>
      </c>
    </row>
    <row r="22" spans="1:22" x14ac:dyDescent="0.25">
      <c r="A22" s="111" t="s">
        <v>1138</v>
      </c>
      <c r="B22" s="112" t="s">
        <v>1139</v>
      </c>
      <c r="C22" s="112" t="s">
        <v>57</v>
      </c>
      <c r="D22" s="113">
        <v>0</v>
      </c>
      <c r="E22" s="114">
        <v>0</v>
      </c>
      <c r="F22" s="113">
        <v>0</v>
      </c>
      <c r="G22" s="114">
        <v>0</v>
      </c>
      <c r="H22" s="113">
        <v>0</v>
      </c>
      <c r="I22" s="114">
        <v>0</v>
      </c>
      <c r="J22" s="113">
        <v>0</v>
      </c>
      <c r="K22" s="114">
        <v>0</v>
      </c>
      <c r="L22" s="113">
        <v>0</v>
      </c>
      <c r="M22" s="114">
        <v>0</v>
      </c>
      <c r="N22" s="113">
        <v>0</v>
      </c>
      <c r="O22" s="114">
        <v>0</v>
      </c>
      <c r="P22" s="113">
        <v>0</v>
      </c>
      <c r="Q22" s="114">
        <v>0</v>
      </c>
      <c r="R22" s="113">
        <v>0</v>
      </c>
      <c r="S22" s="114">
        <v>0</v>
      </c>
      <c r="T22" s="113">
        <v>0</v>
      </c>
      <c r="U22" s="115">
        <v>0</v>
      </c>
      <c r="V22" t="e">
        <f>VLOOKUP(A22,Projetos_Ciclo!$H$2:$H$315,1,FALSE)</f>
        <v>#N/A</v>
      </c>
    </row>
    <row r="23" spans="1:22" x14ac:dyDescent="0.25">
      <c r="A23" s="14" t="s">
        <v>1407</v>
      </c>
      <c r="B23" s="116" t="s">
        <v>1408</v>
      </c>
      <c r="C23" s="116" t="s">
        <v>1409</v>
      </c>
      <c r="D23" s="117">
        <v>0</v>
      </c>
      <c r="E23" s="120">
        <v>0</v>
      </c>
      <c r="F23" s="117">
        <v>0</v>
      </c>
      <c r="G23" s="120">
        <v>59</v>
      </c>
      <c r="H23" s="117">
        <v>0</v>
      </c>
      <c r="I23" s="120">
        <v>0</v>
      </c>
      <c r="J23" s="117">
        <v>0</v>
      </c>
      <c r="K23" s="120">
        <v>0</v>
      </c>
      <c r="L23" s="117">
        <v>47.798999786376953</v>
      </c>
      <c r="M23" s="120">
        <v>47.798999786376953</v>
      </c>
      <c r="N23" s="117">
        <v>0</v>
      </c>
      <c r="O23" s="120">
        <v>0</v>
      </c>
      <c r="P23" s="117">
        <v>0</v>
      </c>
      <c r="Q23" s="120">
        <v>0</v>
      </c>
      <c r="R23" s="117">
        <v>0</v>
      </c>
      <c r="S23" s="120">
        <v>0</v>
      </c>
      <c r="T23" s="117">
        <v>0</v>
      </c>
      <c r="U23" s="119">
        <v>0</v>
      </c>
      <c r="V23" t="str">
        <f>VLOOKUP(A23,Projetos_Ciclo!$H$2:$H$315,1,FALSE)</f>
        <v>TI03218</v>
      </c>
    </row>
    <row r="24" spans="1:22" x14ac:dyDescent="0.25">
      <c r="A24" s="111" t="s">
        <v>1145</v>
      </c>
      <c r="B24" s="112" t="s">
        <v>1146</v>
      </c>
      <c r="C24" s="112" t="s">
        <v>1147</v>
      </c>
      <c r="D24" s="113">
        <v>59</v>
      </c>
      <c r="E24" s="114">
        <v>0</v>
      </c>
      <c r="F24" s="113">
        <v>59</v>
      </c>
      <c r="G24" s="114">
        <v>0</v>
      </c>
      <c r="H24" s="113">
        <v>0</v>
      </c>
      <c r="I24" s="114">
        <v>0</v>
      </c>
      <c r="J24" s="113">
        <v>0</v>
      </c>
      <c r="K24" s="114">
        <v>0</v>
      </c>
      <c r="L24" s="113">
        <v>0</v>
      </c>
      <c r="M24" s="114">
        <v>0</v>
      </c>
      <c r="N24" s="113">
        <v>0</v>
      </c>
      <c r="O24" s="114">
        <v>0</v>
      </c>
      <c r="P24" s="113">
        <v>0</v>
      </c>
      <c r="Q24" s="114">
        <v>0</v>
      </c>
      <c r="R24" s="113">
        <v>0</v>
      </c>
      <c r="S24" s="114">
        <v>0</v>
      </c>
      <c r="T24" s="113">
        <v>0</v>
      </c>
      <c r="U24" s="115">
        <v>0</v>
      </c>
      <c r="V24" t="e">
        <f>VLOOKUP(A24,Projetos_Ciclo!$H$2:$H$315,1,FALSE)</f>
        <v>#N/A</v>
      </c>
    </row>
    <row r="25" spans="1:22" x14ac:dyDescent="0.25">
      <c r="A25" s="14" t="s">
        <v>1133</v>
      </c>
      <c r="B25" s="116" t="s">
        <v>1148</v>
      </c>
      <c r="C25" s="116" t="s">
        <v>57</v>
      </c>
      <c r="D25" s="117">
        <v>0</v>
      </c>
      <c r="E25" s="120">
        <v>0</v>
      </c>
      <c r="F25" s="117">
        <v>0</v>
      </c>
      <c r="G25" s="120">
        <v>0</v>
      </c>
      <c r="H25" s="117">
        <v>0</v>
      </c>
      <c r="I25" s="120">
        <v>0</v>
      </c>
      <c r="J25" s="117">
        <v>0</v>
      </c>
      <c r="K25" s="120">
        <v>0</v>
      </c>
      <c r="L25" s="117">
        <v>0</v>
      </c>
      <c r="M25" s="120">
        <v>0</v>
      </c>
      <c r="N25" s="117">
        <v>0</v>
      </c>
      <c r="O25" s="120">
        <v>0</v>
      </c>
      <c r="P25" s="117">
        <v>0</v>
      </c>
      <c r="Q25" s="120">
        <v>0</v>
      </c>
      <c r="R25" s="117">
        <v>0</v>
      </c>
      <c r="S25" s="120">
        <v>0</v>
      </c>
      <c r="T25" s="117">
        <v>0</v>
      </c>
      <c r="U25" s="119">
        <v>0</v>
      </c>
      <c r="V25" t="e">
        <f>VLOOKUP(A25,Projetos_Ciclo!$H$2:$H$315,1,FALSE)</f>
        <v>#N/A</v>
      </c>
    </row>
    <row r="26" spans="1:22" x14ac:dyDescent="0.25">
      <c r="A26" s="111" t="s">
        <v>1135</v>
      </c>
      <c r="B26" s="112" t="s">
        <v>1136</v>
      </c>
      <c r="C26" s="112" t="s">
        <v>57</v>
      </c>
      <c r="D26" s="113">
        <v>0</v>
      </c>
      <c r="E26" s="114">
        <v>0</v>
      </c>
      <c r="F26" s="113">
        <v>0</v>
      </c>
      <c r="G26" s="114">
        <v>0</v>
      </c>
      <c r="H26" s="113">
        <v>0</v>
      </c>
      <c r="I26" s="114">
        <v>0</v>
      </c>
      <c r="J26" s="113">
        <v>0</v>
      </c>
      <c r="K26" s="114">
        <v>0</v>
      </c>
      <c r="L26" s="113">
        <v>0</v>
      </c>
      <c r="M26" s="114">
        <v>0</v>
      </c>
      <c r="N26" s="113">
        <v>0</v>
      </c>
      <c r="O26" s="114">
        <v>0</v>
      </c>
      <c r="P26" s="113">
        <v>0</v>
      </c>
      <c r="Q26" s="114">
        <v>0</v>
      </c>
      <c r="R26" s="113">
        <v>0</v>
      </c>
      <c r="S26" s="114">
        <v>0</v>
      </c>
      <c r="T26" s="113">
        <v>0</v>
      </c>
      <c r="U26" s="115">
        <v>0</v>
      </c>
      <c r="V26" t="e">
        <f>VLOOKUP(A26,Projetos_Ciclo!$H$2:$H$315,1,FALSE)</f>
        <v>#N/A</v>
      </c>
    </row>
    <row r="27" spans="1:22" x14ac:dyDescent="0.25">
      <c r="A27" s="14" t="s">
        <v>520</v>
      </c>
      <c r="B27" s="116" t="s">
        <v>1137</v>
      </c>
      <c r="C27" s="116" t="s">
        <v>57</v>
      </c>
      <c r="D27" s="117">
        <v>4002</v>
      </c>
      <c r="E27" s="120">
        <v>0</v>
      </c>
      <c r="F27" s="117">
        <v>0</v>
      </c>
      <c r="G27" s="120">
        <v>0</v>
      </c>
      <c r="H27" s="117">
        <v>0</v>
      </c>
      <c r="I27" s="120">
        <v>0</v>
      </c>
      <c r="J27" s="117">
        <v>0</v>
      </c>
      <c r="K27" s="120">
        <v>0</v>
      </c>
      <c r="L27" s="117">
        <v>0</v>
      </c>
      <c r="M27" s="120">
        <v>0</v>
      </c>
      <c r="N27" s="117">
        <v>928</v>
      </c>
      <c r="O27" s="120">
        <v>1188</v>
      </c>
      <c r="P27" s="117">
        <v>1123</v>
      </c>
      <c r="Q27" s="120">
        <v>763</v>
      </c>
      <c r="R27" s="117">
        <v>0</v>
      </c>
      <c r="S27" s="120">
        <v>0</v>
      </c>
      <c r="T27" s="117">
        <v>0</v>
      </c>
      <c r="U27" s="119">
        <v>0</v>
      </c>
      <c r="V27" t="str">
        <f>VLOOKUP(A27,Projetos_Ciclo!$H$2:$H$315,1,FALSE)</f>
        <v>NA</v>
      </c>
    </row>
    <row r="28" spans="1:22" x14ac:dyDescent="0.25">
      <c r="A28" s="111" t="s">
        <v>1138</v>
      </c>
      <c r="B28" s="112" t="s">
        <v>1139</v>
      </c>
      <c r="C28" s="112" t="s">
        <v>57</v>
      </c>
      <c r="D28" s="113">
        <v>0</v>
      </c>
      <c r="E28" s="114">
        <v>0</v>
      </c>
      <c r="F28" s="113">
        <v>0</v>
      </c>
      <c r="G28" s="114">
        <v>0</v>
      </c>
      <c r="H28" s="113">
        <v>0</v>
      </c>
      <c r="I28" s="114">
        <v>0</v>
      </c>
      <c r="J28" s="113">
        <v>0</v>
      </c>
      <c r="K28" s="114">
        <v>0</v>
      </c>
      <c r="L28" s="113">
        <v>0</v>
      </c>
      <c r="M28" s="114">
        <v>0</v>
      </c>
      <c r="N28" s="113">
        <v>0</v>
      </c>
      <c r="O28" s="114">
        <v>0</v>
      </c>
      <c r="P28" s="113">
        <v>0</v>
      </c>
      <c r="Q28" s="114">
        <v>0</v>
      </c>
      <c r="R28" s="113">
        <v>0</v>
      </c>
      <c r="S28" s="114">
        <v>0</v>
      </c>
      <c r="T28" s="113">
        <v>0</v>
      </c>
      <c r="U28" s="115">
        <v>0</v>
      </c>
      <c r="V28" t="e">
        <f>VLOOKUP(A28,Projetos_Ciclo!$H$2:$H$315,1,FALSE)</f>
        <v>#N/A</v>
      </c>
    </row>
    <row r="29" spans="1:22" x14ac:dyDescent="0.25">
      <c r="A29" s="14" t="s">
        <v>1058</v>
      </c>
      <c r="B29" s="116" t="s">
        <v>1149</v>
      </c>
      <c r="C29" s="116" t="s">
        <v>1150</v>
      </c>
      <c r="D29" s="117">
        <v>0</v>
      </c>
      <c r="E29" s="120">
        <v>0</v>
      </c>
      <c r="F29" s="117">
        <v>0</v>
      </c>
      <c r="G29" s="120">
        <v>119</v>
      </c>
      <c r="H29" s="117">
        <v>0</v>
      </c>
      <c r="I29" s="120">
        <v>119.11103057861328</v>
      </c>
      <c r="J29" s="117">
        <v>0</v>
      </c>
      <c r="K29" s="120">
        <v>119.11103057861328</v>
      </c>
      <c r="L29" s="117">
        <v>0</v>
      </c>
      <c r="M29" s="120">
        <v>119.11103057861328</v>
      </c>
      <c r="N29" s="117">
        <v>0</v>
      </c>
      <c r="O29" s="120">
        <v>0</v>
      </c>
      <c r="P29" s="117">
        <v>0</v>
      </c>
      <c r="Q29" s="120">
        <v>0</v>
      </c>
      <c r="R29" s="117">
        <v>0</v>
      </c>
      <c r="S29" s="120">
        <v>0</v>
      </c>
      <c r="T29" s="117">
        <v>0</v>
      </c>
      <c r="U29" s="119">
        <v>0</v>
      </c>
      <c r="V29" t="str">
        <f>VLOOKUP(A29,Projetos_Ciclo!$H$2:$H$315,1,FALSE)</f>
        <v>TI00218</v>
      </c>
    </row>
    <row r="30" spans="1:22" x14ac:dyDescent="0.25">
      <c r="A30" s="111" t="s">
        <v>744</v>
      </c>
      <c r="B30" s="112" t="s">
        <v>378</v>
      </c>
      <c r="C30" s="112" t="s">
        <v>1151</v>
      </c>
      <c r="D30" s="113">
        <v>0</v>
      </c>
      <c r="E30" s="114">
        <v>0</v>
      </c>
      <c r="F30" s="113">
        <v>0</v>
      </c>
      <c r="G30" s="114">
        <v>490</v>
      </c>
      <c r="H30" s="113">
        <v>0</v>
      </c>
      <c r="I30" s="114">
        <v>199.49535179138184</v>
      </c>
      <c r="J30" s="113">
        <v>0</v>
      </c>
      <c r="K30" s="114">
        <v>199.49535179138184</v>
      </c>
      <c r="L30" s="113">
        <v>284.27999877929687</v>
      </c>
      <c r="M30" s="114">
        <v>483.77535057067871</v>
      </c>
      <c r="N30" s="113">
        <v>0</v>
      </c>
      <c r="O30" s="114">
        <v>0</v>
      </c>
      <c r="P30" s="113">
        <v>0</v>
      </c>
      <c r="Q30" s="114">
        <v>0</v>
      </c>
      <c r="R30" s="113">
        <v>0</v>
      </c>
      <c r="S30" s="114">
        <v>0</v>
      </c>
      <c r="T30" s="113">
        <v>0</v>
      </c>
      <c r="U30" s="115">
        <v>0</v>
      </c>
      <c r="V30" t="str">
        <f>VLOOKUP(A30,Projetos_Ciclo!$H$2:$H$315,1,FALSE)</f>
        <v>TI02216</v>
      </c>
    </row>
    <row r="31" spans="1:22" x14ac:dyDescent="0.25">
      <c r="A31" s="14" t="s">
        <v>1152</v>
      </c>
      <c r="B31" s="116" t="s">
        <v>1149</v>
      </c>
      <c r="C31" s="116" t="s">
        <v>1153</v>
      </c>
      <c r="D31" s="117">
        <v>0</v>
      </c>
      <c r="E31" s="120">
        <v>0</v>
      </c>
      <c r="F31" s="117">
        <v>0</v>
      </c>
      <c r="G31" s="120">
        <v>115</v>
      </c>
      <c r="H31" s="117">
        <v>0</v>
      </c>
      <c r="I31" s="120">
        <v>0</v>
      </c>
      <c r="J31" s="117">
        <v>0</v>
      </c>
      <c r="K31" s="120">
        <v>0</v>
      </c>
      <c r="L31" s="117">
        <v>115.19999694824219</v>
      </c>
      <c r="M31" s="120">
        <v>115.19999694824219</v>
      </c>
      <c r="N31" s="117">
        <v>0</v>
      </c>
      <c r="O31" s="120">
        <v>0</v>
      </c>
      <c r="P31" s="117">
        <v>0</v>
      </c>
      <c r="Q31" s="120">
        <v>0</v>
      </c>
      <c r="R31" s="117">
        <v>0</v>
      </c>
      <c r="S31" s="120">
        <v>0</v>
      </c>
      <c r="T31" s="117">
        <v>0</v>
      </c>
      <c r="U31" s="119">
        <v>0</v>
      </c>
      <c r="V31" t="str">
        <f>VLOOKUP(A31,Projetos_Ciclo!$H$2:$H$315,1,FALSE)</f>
        <v>TI03018</v>
      </c>
    </row>
    <row r="32" spans="1:22" x14ac:dyDescent="0.25">
      <c r="A32" s="111" t="s">
        <v>1154</v>
      </c>
      <c r="B32" s="112" t="s">
        <v>1155</v>
      </c>
      <c r="C32" s="112" t="s">
        <v>1156</v>
      </c>
      <c r="D32" s="113">
        <v>2118</v>
      </c>
      <c r="E32" s="114">
        <v>0</v>
      </c>
      <c r="F32" s="113">
        <v>1886</v>
      </c>
      <c r="G32" s="114">
        <v>0</v>
      </c>
      <c r="H32" s="113">
        <v>739</v>
      </c>
      <c r="I32" s="114">
        <v>0</v>
      </c>
      <c r="J32" s="113">
        <v>0</v>
      </c>
      <c r="K32" s="114">
        <v>0</v>
      </c>
      <c r="L32" s="113">
        <v>0</v>
      </c>
      <c r="M32" s="114">
        <v>0</v>
      </c>
      <c r="N32" s="113">
        <v>210</v>
      </c>
      <c r="O32" s="114">
        <v>22</v>
      </c>
      <c r="P32" s="113">
        <v>0</v>
      </c>
      <c r="Q32" s="114">
        <v>0</v>
      </c>
      <c r="R32" s="113">
        <v>0</v>
      </c>
      <c r="S32" s="114">
        <v>0</v>
      </c>
      <c r="T32" s="113">
        <v>0</v>
      </c>
      <c r="U32" s="115">
        <v>0</v>
      </c>
      <c r="V32" t="e">
        <f>VLOOKUP(A32,Projetos_Ciclo!$H$2:$H$315,1,FALSE)</f>
        <v>#N/A</v>
      </c>
    </row>
    <row r="33" spans="1:22" x14ac:dyDescent="0.25">
      <c r="A33" s="14" t="s">
        <v>1410</v>
      </c>
      <c r="B33" s="116" t="s">
        <v>1411</v>
      </c>
      <c r="C33" s="116" t="s">
        <v>1412</v>
      </c>
      <c r="D33" s="117">
        <v>0</v>
      </c>
      <c r="E33" s="120">
        <v>0</v>
      </c>
      <c r="F33" s="117">
        <v>0</v>
      </c>
      <c r="G33" s="120">
        <v>27</v>
      </c>
      <c r="H33" s="117">
        <v>0</v>
      </c>
      <c r="I33" s="120">
        <v>0</v>
      </c>
      <c r="J33" s="117">
        <v>0</v>
      </c>
      <c r="K33" s="120">
        <v>0</v>
      </c>
      <c r="L33" s="117">
        <v>21.477760314941406</v>
      </c>
      <c r="M33" s="120">
        <v>21.477760314941406</v>
      </c>
      <c r="N33" s="117">
        <v>0</v>
      </c>
      <c r="O33" s="120">
        <v>0</v>
      </c>
      <c r="P33" s="117">
        <v>0</v>
      </c>
      <c r="Q33" s="120">
        <v>0</v>
      </c>
      <c r="R33" s="117">
        <v>0</v>
      </c>
      <c r="S33" s="120">
        <v>0</v>
      </c>
      <c r="T33" s="117">
        <v>0</v>
      </c>
      <c r="U33" s="119">
        <v>0</v>
      </c>
      <c r="V33" t="str">
        <f>VLOOKUP(A33,Projetos_Ciclo!$H$2:$H$315,1,FALSE)</f>
        <v>TI04818</v>
      </c>
    </row>
    <row r="34" spans="1:22" x14ac:dyDescent="0.25">
      <c r="A34" s="111" t="s">
        <v>1413</v>
      </c>
      <c r="B34" s="112" t="s">
        <v>1414</v>
      </c>
      <c r="C34" s="112" t="s">
        <v>1415</v>
      </c>
      <c r="D34" s="113">
        <v>0</v>
      </c>
      <c r="E34" s="114">
        <v>0</v>
      </c>
      <c r="F34" s="113">
        <v>0</v>
      </c>
      <c r="G34" s="114">
        <v>32</v>
      </c>
      <c r="H34" s="113">
        <v>0</v>
      </c>
      <c r="I34" s="114">
        <v>28.65779972076416</v>
      </c>
      <c r="J34" s="113">
        <v>0</v>
      </c>
      <c r="K34" s="114">
        <v>28.65779972076416</v>
      </c>
      <c r="L34" s="113">
        <v>0</v>
      </c>
      <c r="M34" s="114">
        <v>28.65779972076416</v>
      </c>
      <c r="N34" s="113">
        <v>0</v>
      </c>
      <c r="O34" s="114">
        <v>0</v>
      </c>
      <c r="P34" s="113">
        <v>0</v>
      </c>
      <c r="Q34" s="114">
        <v>0</v>
      </c>
      <c r="R34" s="113">
        <v>0</v>
      </c>
      <c r="S34" s="114">
        <v>0</v>
      </c>
      <c r="T34" s="113">
        <v>0</v>
      </c>
      <c r="U34" s="115">
        <v>0</v>
      </c>
      <c r="V34" t="str">
        <f>VLOOKUP(A34,Projetos_Ciclo!$H$2:$H$315,1,FALSE)</f>
        <v>TI04918</v>
      </c>
    </row>
    <row r="35" spans="1:22" x14ac:dyDescent="0.25">
      <c r="A35" s="14" t="s">
        <v>1565</v>
      </c>
      <c r="B35" s="116" t="s">
        <v>972</v>
      </c>
      <c r="C35" s="116" t="s">
        <v>1566</v>
      </c>
      <c r="D35" s="117">
        <v>0</v>
      </c>
      <c r="E35" s="120">
        <v>0</v>
      </c>
      <c r="F35" s="117">
        <v>0</v>
      </c>
      <c r="G35" s="120">
        <v>318</v>
      </c>
      <c r="H35" s="117">
        <v>0</v>
      </c>
      <c r="I35" s="120">
        <v>0</v>
      </c>
      <c r="J35" s="117">
        <v>0</v>
      </c>
      <c r="K35" s="120">
        <v>0</v>
      </c>
      <c r="L35" s="117">
        <v>0</v>
      </c>
      <c r="M35" s="120">
        <v>0</v>
      </c>
      <c r="N35" s="117">
        <v>0</v>
      </c>
      <c r="O35" s="120">
        <v>0</v>
      </c>
      <c r="P35" s="117">
        <v>0</v>
      </c>
      <c r="Q35" s="120">
        <v>0</v>
      </c>
      <c r="R35" s="117">
        <v>0</v>
      </c>
      <c r="S35" s="120">
        <v>0</v>
      </c>
      <c r="T35" s="117">
        <v>0</v>
      </c>
      <c r="U35" s="119">
        <v>0</v>
      </c>
      <c r="V35" t="str">
        <f>VLOOKUP(A35,Projetos_Ciclo!$H$2:$H$315,1,FALSE)</f>
        <v>TI05818</v>
      </c>
    </row>
    <row r="36" spans="1:22" x14ac:dyDescent="0.25">
      <c r="A36" s="111" t="s">
        <v>1703</v>
      </c>
      <c r="B36" s="112" t="s">
        <v>789</v>
      </c>
      <c r="C36" s="112" t="s">
        <v>1704</v>
      </c>
      <c r="D36" s="113">
        <v>0</v>
      </c>
      <c r="E36" s="114">
        <v>0</v>
      </c>
      <c r="F36" s="113">
        <v>0</v>
      </c>
      <c r="G36" s="114">
        <v>420</v>
      </c>
      <c r="H36" s="113">
        <v>0</v>
      </c>
      <c r="I36" s="114">
        <v>0</v>
      </c>
      <c r="J36" s="113">
        <v>0</v>
      </c>
      <c r="K36" s="114">
        <v>0</v>
      </c>
      <c r="L36" s="113">
        <v>420</v>
      </c>
      <c r="M36" s="114">
        <v>420</v>
      </c>
      <c r="N36" s="113">
        <v>0</v>
      </c>
      <c r="O36" s="114">
        <v>0</v>
      </c>
      <c r="P36" s="113">
        <v>0</v>
      </c>
      <c r="Q36" s="114">
        <v>0</v>
      </c>
      <c r="R36" s="113">
        <v>0</v>
      </c>
      <c r="S36" s="114">
        <v>0</v>
      </c>
      <c r="T36" s="113">
        <v>0</v>
      </c>
      <c r="U36" s="115">
        <v>0</v>
      </c>
      <c r="V36" t="str">
        <f>VLOOKUP(A36,Projetos_Ciclo!$H$2:$H$315,1,FALSE)</f>
        <v>TI06818</v>
      </c>
    </row>
    <row r="37" spans="1:22" x14ac:dyDescent="0.25">
      <c r="A37" s="14" t="s">
        <v>1705</v>
      </c>
      <c r="B37" s="116" t="s">
        <v>1706</v>
      </c>
      <c r="C37" s="116" t="s">
        <v>1707</v>
      </c>
      <c r="D37" s="117">
        <v>0</v>
      </c>
      <c r="E37" s="120">
        <v>0</v>
      </c>
      <c r="F37" s="117">
        <v>0</v>
      </c>
      <c r="G37" s="120">
        <v>22</v>
      </c>
      <c r="H37" s="117">
        <v>0</v>
      </c>
      <c r="I37" s="120">
        <v>0</v>
      </c>
      <c r="J37" s="117">
        <v>0</v>
      </c>
      <c r="K37" s="120">
        <v>0</v>
      </c>
      <c r="L37" s="117">
        <v>21.861900329589844</v>
      </c>
      <c r="M37" s="120">
        <v>21.861900329589844</v>
      </c>
      <c r="N37" s="117">
        <v>0</v>
      </c>
      <c r="O37" s="120">
        <v>0</v>
      </c>
      <c r="P37" s="117">
        <v>0</v>
      </c>
      <c r="Q37" s="120">
        <v>0</v>
      </c>
      <c r="R37" s="117">
        <v>0</v>
      </c>
      <c r="S37" s="120">
        <v>0</v>
      </c>
      <c r="T37" s="117">
        <v>0</v>
      </c>
      <c r="U37" s="119">
        <v>0</v>
      </c>
      <c r="V37" t="str">
        <f>VLOOKUP(A37,Projetos_Ciclo!$H$2:$H$315,1,FALSE)</f>
        <v>TI07218</v>
      </c>
    </row>
    <row r="38" spans="1:22" x14ac:dyDescent="0.25">
      <c r="A38" s="111" t="s">
        <v>1133</v>
      </c>
      <c r="B38" s="112" t="s">
        <v>1157</v>
      </c>
      <c r="C38" s="112" t="s">
        <v>57</v>
      </c>
      <c r="D38" s="113">
        <v>0</v>
      </c>
      <c r="E38" s="114">
        <v>0</v>
      </c>
      <c r="F38" s="113">
        <v>0</v>
      </c>
      <c r="G38" s="114">
        <v>0</v>
      </c>
      <c r="H38" s="113">
        <v>0</v>
      </c>
      <c r="I38" s="114">
        <v>0</v>
      </c>
      <c r="J38" s="113">
        <v>0</v>
      </c>
      <c r="K38" s="114">
        <v>0</v>
      </c>
      <c r="L38" s="113">
        <v>0</v>
      </c>
      <c r="M38" s="114">
        <v>0</v>
      </c>
      <c r="N38" s="113">
        <v>0</v>
      </c>
      <c r="O38" s="114">
        <v>0</v>
      </c>
      <c r="P38" s="113">
        <v>0</v>
      </c>
      <c r="Q38" s="114">
        <v>0</v>
      </c>
      <c r="R38" s="113">
        <v>0</v>
      </c>
      <c r="S38" s="114">
        <v>0</v>
      </c>
      <c r="T38" s="113">
        <v>0</v>
      </c>
      <c r="U38" s="115">
        <v>0</v>
      </c>
      <c r="V38" t="e">
        <f>VLOOKUP(A38,Projetos_Ciclo!$H$2:$H$315,1,FALSE)</f>
        <v>#N/A</v>
      </c>
    </row>
    <row r="39" spans="1:22" x14ac:dyDescent="0.25">
      <c r="A39" s="14" t="s">
        <v>1135</v>
      </c>
      <c r="B39" s="116" t="s">
        <v>1136</v>
      </c>
      <c r="C39" s="116" t="s">
        <v>57</v>
      </c>
      <c r="D39" s="117">
        <v>0</v>
      </c>
      <c r="E39" s="120">
        <v>0</v>
      </c>
      <c r="F39" s="117">
        <v>0</v>
      </c>
      <c r="G39" s="120">
        <v>0</v>
      </c>
      <c r="H39" s="117">
        <v>0</v>
      </c>
      <c r="I39" s="120">
        <v>0</v>
      </c>
      <c r="J39" s="117">
        <v>0</v>
      </c>
      <c r="K39" s="120">
        <v>0</v>
      </c>
      <c r="L39" s="117">
        <v>0</v>
      </c>
      <c r="M39" s="120">
        <v>0</v>
      </c>
      <c r="N39" s="117">
        <v>0</v>
      </c>
      <c r="O39" s="120">
        <v>0</v>
      </c>
      <c r="P39" s="117">
        <v>0</v>
      </c>
      <c r="Q39" s="120">
        <v>0</v>
      </c>
      <c r="R39" s="117">
        <v>0</v>
      </c>
      <c r="S39" s="120">
        <v>0</v>
      </c>
      <c r="T39" s="117">
        <v>0</v>
      </c>
      <c r="U39" s="119">
        <v>0</v>
      </c>
      <c r="V39" t="e">
        <f>VLOOKUP(A39,Projetos_Ciclo!$H$2:$H$315,1,FALSE)</f>
        <v>#N/A</v>
      </c>
    </row>
    <row r="40" spans="1:22" x14ac:dyDescent="0.25">
      <c r="A40" s="111" t="s">
        <v>1386</v>
      </c>
      <c r="B40" s="112" t="s">
        <v>1387</v>
      </c>
      <c r="C40" s="112" t="s">
        <v>1388</v>
      </c>
      <c r="D40" s="113">
        <v>0</v>
      </c>
      <c r="E40" s="114">
        <v>0</v>
      </c>
      <c r="F40" s="113">
        <v>0</v>
      </c>
      <c r="G40" s="114">
        <v>0</v>
      </c>
      <c r="H40" s="113">
        <v>0</v>
      </c>
      <c r="I40" s="114">
        <v>0</v>
      </c>
      <c r="J40" s="113">
        <v>0</v>
      </c>
      <c r="K40" s="114">
        <v>0</v>
      </c>
      <c r="L40" s="113">
        <v>0</v>
      </c>
      <c r="M40" s="114">
        <v>0</v>
      </c>
      <c r="N40" s="113">
        <v>0</v>
      </c>
      <c r="O40" s="114">
        <v>0</v>
      </c>
      <c r="P40" s="113">
        <v>0</v>
      </c>
      <c r="Q40" s="114">
        <v>0</v>
      </c>
      <c r="R40" s="113">
        <v>0</v>
      </c>
      <c r="S40" s="114">
        <v>0</v>
      </c>
      <c r="T40" s="113">
        <v>0</v>
      </c>
      <c r="U40" s="115">
        <v>0</v>
      </c>
      <c r="V40" t="e">
        <f>VLOOKUP(A40,Projetos_Ciclo!$H$2:$H$315,1,FALSE)</f>
        <v>#N/A</v>
      </c>
    </row>
    <row r="41" spans="1:22" x14ac:dyDescent="0.25">
      <c r="A41" s="14" t="s">
        <v>520</v>
      </c>
      <c r="B41" s="116" t="s">
        <v>1137</v>
      </c>
      <c r="C41" s="116" t="s">
        <v>57</v>
      </c>
      <c r="D41" s="117">
        <v>0</v>
      </c>
      <c r="E41" s="120">
        <v>0</v>
      </c>
      <c r="F41" s="117">
        <v>0</v>
      </c>
      <c r="G41" s="120">
        <v>0</v>
      </c>
      <c r="H41" s="117">
        <v>0</v>
      </c>
      <c r="I41" s="120">
        <v>0</v>
      </c>
      <c r="J41" s="117">
        <v>0</v>
      </c>
      <c r="K41" s="120">
        <v>0</v>
      </c>
      <c r="L41" s="117">
        <v>0</v>
      </c>
      <c r="M41" s="120">
        <v>0</v>
      </c>
      <c r="N41" s="117">
        <v>0</v>
      </c>
      <c r="O41" s="120">
        <v>0</v>
      </c>
      <c r="P41" s="117">
        <v>0</v>
      </c>
      <c r="Q41" s="120">
        <v>0</v>
      </c>
      <c r="R41" s="117">
        <v>0</v>
      </c>
      <c r="S41" s="120">
        <v>0</v>
      </c>
      <c r="T41" s="117">
        <v>0</v>
      </c>
      <c r="U41" s="119">
        <v>0</v>
      </c>
      <c r="V41" t="str">
        <f>VLOOKUP(A41,Projetos_Ciclo!$H$2:$H$315,1,FALSE)</f>
        <v>NA</v>
      </c>
    </row>
    <row r="42" spans="1:22" x14ac:dyDescent="0.25">
      <c r="A42" s="111" t="s">
        <v>1138</v>
      </c>
      <c r="B42" s="112" t="s">
        <v>1139</v>
      </c>
      <c r="C42" s="112" t="s">
        <v>57</v>
      </c>
      <c r="D42" s="113">
        <v>103</v>
      </c>
      <c r="E42" s="114">
        <v>0</v>
      </c>
      <c r="F42" s="113">
        <v>0</v>
      </c>
      <c r="G42" s="114">
        <v>0</v>
      </c>
      <c r="H42" s="113">
        <v>0</v>
      </c>
      <c r="I42" s="114">
        <v>0</v>
      </c>
      <c r="J42" s="113">
        <v>0</v>
      </c>
      <c r="K42" s="114">
        <v>0</v>
      </c>
      <c r="L42" s="113">
        <v>0</v>
      </c>
      <c r="M42" s="114">
        <v>0</v>
      </c>
      <c r="N42" s="113">
        <v>0</v>
      </c>
      <c r="O42" s="114">
        <v>0</v>
      </c>
      <c r="P42" s="113">
        <v>0</v>
      </c>
      <c r="Q42" s="114">
        <v>0</v>
      </c>
      <c r="R42" s="113">
        <v>0</v>
      </c>
      <c r="S42" s="114">
        <v>0</v>
      </c>
      <c r="T42" s="113">
        <v>0</v>
      </c>
      <c r="U42" s="115">
        <v>0</v>
      </c>
      <c r="V42" t="e">
        <f>VLOOKUP(A42,Projetos_Ciclo!$H$2:$H$315,1,FALSE)</f>
        <v>#N/A</v>
      </c>
    </row>
    <row r="43" spans="1:22" x14ac:dyDescent="0.25">
      <c r="A43" s="14" t="s">
        <v>1133</v>
      </c>
      <c r="B43" s="116" t="s">
        <v>1158</v>
      </c>
      <c r="C43" s="116" t="s">
        <v>57</v>
      </c>
      <c r="D43" s="117">
        <v>0</v>
      </c>
      <c r="E43" s="120">
        <v>0</v>
      </c>
      <c r="F43" s="117">
        <v>0</v>
      </c>
      <c r="G43" s="120">
        <v>0</v>
      </c>
      <c r="H43" s="117">
        <v>0</v>
      </c>
      <c r="I43" s="120">
        <v>0</v>
      </c>
      <c r="J43" s="117">
        <v>0</v>
      </c>
      <c r="K43" s="120">
        <v>0</v>
      </c>
      <c r="L43" s="117">
        <v>0</v>
      </c>
      <c r="M43" s="120">
        <v>0</v>
      </c>
      <c r="N43" s="117">
        <v>0</v>
      </c>
      <c r="O43" s="120">
        <v>0</v>
      </c>
      <c r="P43" s="117">
        <v>0</v>
      </c>
      <c r="Q43" s="120">
        <v>0</v>
      </c>
      <c r="R43" s="117">
        <v>0</v>
      </c>
      <c r="S43" s="120">
        <v>0</v>
      </c>
      <c r="T43" s="117">
        <v>0</v>
      </c>
      <c r="U43" s="119">
        <v>0</v>
      </c>
      <c r="V43" t="e">
        <f>VLOOKUP(A43,Projetos_Ciclo!$H$2:$H$315,1,FALSE)</f>
        <v>#N/A</v>
      </c>
    </row>
    <row r="44" spans="1:22" x14ac:dyDescent="0.25">
      <c r="A44" s="111" t="s">
        <v>1135</v>
      </c>
      <c r="B44" s="112" t="s">
        <v>1136</v>
      </c>
      <c r="C44" s="112" t="s">
        <v>57</v>
      </c>
      <c r="D44" s="113">
        <v>0</v>
      </c>
      <c r="E44" s="114">
        <v>0</v>
      </c>
      <c r="F44" s="113">
        <v>0</v>
      </c>
      <c r="G44" s="114">
        <v>0</v>
      </c>
      <c r="H44" s="113">
        <v>0</v>
      </c>
      <c r="I44" s="114">
        <v>0</v>
      </c>
      <c r="J44" s="113">
        <v>0</v>
      </c>
      <c r="K44" s="114">
        <v>0</v>
      </c>
      <c r="L44" s="113">
        <v>0</v>
      </c>
      <c r="M44" s="114">
        <v>0</v>
      </c>
      <c r="N44" s="113">
        <v>0</v>
      </c>
      <c r="O44" s="114">
        <v>0</v>
      </c>
      <c r="P44" s="113">
        <v>0</v>
      </c>
      <c r="Q44" s="114">
        <v>0</v>
      </c>
      <c r="R44" s="113">
        <v>0</v>
      </c>
      <c r="S44" s="114">
        <v>0</v>
      </c>
      <c r="T44" s="113">
        <v>0</v>
      </c>
      <c r="U44" s="115">
        <v>0</v>
      </c>
      <c r="V44" t="e">
        <f>VLOOKUP(A44,Projetos_Ciclo!$H$2:$H$315,1,FALSE)</f>
        <v>#N/A</v>
      </c>
    </row>
    <row r="45" spans="1:22" x14ac:dyDescent="0.25">
      <c r="A45" s="14" t="s">
        <v>1389</v>
      </c>
      <c r="B45" s="116" t="s">
        <v>1390</v>
      </c>
      <c r="C45" s="116" t="s">
        <v>1391</v>
      </c>
      <c r="D45" s="117">
        <v>907</v>
      </c>
      <c r="E45" s="120">
        <v>0</v>
      </c>
      <c r="F45" s="117">
        <v>421</v>
      </c>
      <c r="G45" s="120">
        <v>0</v>
      </c>
      <c r="H45" s="117">
        <v>100</v>
      </c>
      <c r="I45" s="120">
        <v>0</v>
      </c>
      <c r="J45" s="117">
        <v>0</v>
      </c>
      <c r="K45" s="120">
        <v>0</v>
      </c>
      <c r="L45" s="117">
        <v>0</v>
      </c>
      <c r="M45" s="120">
        <v>0</v>
      </c>
      <c r="N45" s="117">
        <v>486</v>
      </c>
      <c r="O45" s="120">
        <v>0</v>
      </c>
      <c r="P45" s="117">
        <v>0</v>
      </c>
      <c r="Q45" s="120">
        <v>0</v>
      </c>
      <c r="R45" s="117">
        <v>0</v>
      </c>
      <c r="S45" s="120">
        <v>0</v>
      </c>
      <c r="T45" s="117">
        <v>0</v>
      </c>
      <c r="U45" s="119">
        <v>0</v>
      </c>
      <c r="V45" t="e">
        <f>VLOOKUP(A45,Projetos_Ciclo!$H$2:$H$315,1,FALSE)</f>
        <v>#N/A</v>
      </c>
    </row>
    <row r="46" spans="1:22" x14ac:dyDescent="0.25">
      <c r="A46" s="111" t="s">
        <v>1162</v>
      </c>
      <c r="B46" s="112" t="s">
        <v>1163</v>
      </c>
      <c r="C46" s="112" t="s">
        <v>1164</v>
      </c>
      <c r="D46" s="113">
        <v>0</v>
      </c>
      <c r="E46" s="114">
        <v>0</v>
      </c>
      <c r="F46" s="113">
        <v>0</v>
      </c>
      <c r="G46" s="114">
        <v>77</v>
      </c>
      <c r="H46" s="113">
        <v>0</v>
      </c>
      <c r="I46" s="114">
        <v>10.290000200271606</v>
      </c>
      <c r="J46" s="113">
        <v>0</v>
      </c>
      <c r="K46" s="114">
        <v>10.290000200271606</v>
      </c>
      <c r="L46" s="113">
        <v>54.939998626708984</v>
      </c>
      <c r="M46" s="114">
        <v>65.229998826980591</v>
      </c>
      <c r="N46" s="113">
        <v>0</v>
      </c>
      <c r="O46" s="114">
        <v>0</v>
      </c>
      <c r="P46" s="113">
        <v>0</v>
      </c>
      <c r="Q46" s="114">
        <v>0</v>
      </c>
      <c r="R46" s="113">
        <v>0</v>
      </c>
      <c r="S46" s="114">
        <v>0</v>
      </c>
      <c r="T46" s="113">
        <v>0</v>
      </c>
      <c r="U46" s="115">
        <v>0</v>
      </c>
      <c r="V46" t="str">
        <f>VLOOKUP(A46,Projetos_Ciclo!$H$2:$H$315,1,FALSE)</f>
        <v>MG00318</v>
      </c>
    </row>
    <row r="47" spans="1:22" x14ac:dyDescent="0.25">
      <c r="A47" s="14" t="s">
        <v>1921</v>
      </c>
      <c r="B47" s="116" t="s">
        <v>1926</v>
      </c>
      <c r="C47" s="116" t="s">
        <v>1922</v>
      </c>
      <c r="D47" s="117">
        <v>0</v>
      </c>
      <c r="E47" s="120">
        <v>0</v>
      </c>
      <c r="F47" s="117">
        <v>0</v>
      </c>
      <c r="G47" s="120">
        <v>0</v>
      </c>
      <c r="H47" s="117">
        <v>0</v>
      </c>
      <c r="I47" s="120">
        <v>0</v>
      </c>
      <c r="J47" s="117">
        <v>0</v>
      </c>
      <c r="K47" s="120">
        <v>0</v>
      </c>
      <c r="L47" s="117">
        <v>0</v>
      </c>
      <c r="M47" s="120">
        <v>0</v>
      </c>
      <c r="N47" s="117">
        <v>0</v>
      </c>
      <c r="O47" s="120">
        <v>0</v>
      </c>
      <c r="P47" s="117">
        <v>0</v>
      </c>
      <c r="Q47" s="120">
        <v>0</v>
      </c>
      <c r="R47" s="117">
        <v>0</v>
      </c>
      <c r="S47" s="120">
        <v>0</v>
      </c>
      <c r="T47" s="117">
        <v>0</v>
      </c>
      <c r="U47" s="119">
        <v>0</v>
      </c>
      <c r="V47" t="str">
        <f>VLOOKUP(A47,Projetos_Ciclo!$H$2:$H$315,1,FALSE)</f>
        <v>MG50118</v>
      </c>
    </row>
    <row r="48" spans="1:22" x14ac:dyDescent="0.25">
      <c r="A48" s="111" t="s">
        <v>520</v>
      </c>
      <c r="B48" s="112" t="s">
        <v>1168</v>
      </c>
      <c r="C48" s="112" t="s">
        <v>57</v>
      </c>
      <c r="D48" s="113">
        <v>1297</v>
      </c>
      <c r="E48" s="114">
        <v>0</v>
      </c>
      <c r="F48" s="113">
        <v>0</v>
      </c>
      <c r="G48" s="114">
        <v>0</v>
      </c>
      <c r="H48" s="113">
        <v>0</v>
      </c>
      <c r="I48" s="114">
        <v>0</v>
      </c>
      <c r="J48" s="113">
        <v>0</v>
      </c>
      <c r="K48" s="114">
        <v>0</v>
      </c>
      <c r="L48" s="113">
        <v>0</v>
      </c>
      <c r="M48" s="114">
        <v>0</v>
      </c>
      <c r="N48" s="113">
        <v>0</v>
      </c>
      <c r="O48" s="114">
        <v>602</v>
      </c>
      <c r="P48" s="113">
        <v>498</v>
      </c>
      <c r="Q48" s="114">
        <v>197</v>
      </c>
      <c r="R48" s="113">
        <v>0</v>
      </c>
      <c r="S48" s="114">
        <v>0</v>
      </c>
      <c r="T48" s="113">
        <v>0</v>
      </c>
      <c r="U48" s="115">
        <v>0</v>
      </c>
      <c r="V48" t="str">
        <f>VLOOKUP(A48,Projetos_Ciclo!$H$2:$H$315,1,FALSE)</f>
        <v>NA</v>
      </c>
    </row>
    <row r="49" spans="1:22" x14ac:dyDescent="0.25">
      <c r="A49" s="14" t="s">
        <v>1169</v>
      </c>
      <c r="B49" s="116" t="s">
        <v>1170</v>
      </c>
      <c r="C49" s="116" t="s">
        <v>1171</v>
      </c>
      <c r="D49" s="117">
        <v>0</v>
      </c>
      <c r="E49" s="120">
        <v>0</v>
      </c>
      <c r="F49" s="117">
        <v>0</v>
      </c>
      <c r="G49" s="120">
        <v>74</v>
      </c>
      <c r="H49" s="117">
        <v>0</v>
      </c>
      <c r="I49" s="120">
        <v>0</v>
      </c>
      <c r="J49" s="117">
        <v>0</v>
      </c>
      <c r="K49" s="120">
        <v>0</v>
      </c>
      <c r="L49" s="117">
        <v>11.967060089111328</v>
      </c>
      <c r="M49" s="120">
        <v>11.967060089111328</v>
      </c>
      <c r="N49" s="117">
        <v>0</v>
      </c>
      <c r="O49" s="120">
        <v>0</v>
      </c>
      <c r="P49" s="117">
        <v>0</v>
      </c>
      <c r="Q49" s="120">
        <v>0</v>
      </c>
      <c r="R49" s="117">
        <v>0</v>
      </c>
      <c r="S49" s="120">
        <v>0</v>
      </c>
      <c r="T49" s="117">
        <v>0</v>
      </c>
      <c r="U49" s="119">
        <v>0</v>
      </c>
      <c r="V49" t="str">
        <f>VLOOKUP(A49,Projetos_Ciclo!$H$2:$H$315,1,FALSE)</f>
        <v>PO00117</v>
      </c>
    </row>
    <row r="50" spans="1:22" x14ac:dyDescent="0.25">
      <c r="A50" s="111" t="s">
        <v>1172</v>
      </c>
      <c r="B50" s="112" t="s">
        <v>1173</v>
      </c>
      <c r="C50" s="112" t="s">
        <v>1174</v>
      </c>
      <c r="D50" s="113">
        <v>0</v>
      </c>
      <c r="E50" s="114">
        <v>0</v>
      </c>
      <c r="F50" s="113">
        <v>0</v>
      </c>
      <c r="G50" s="114">
        <v>270</v>
      </c>
      <c r="H50" s="113">
        <v>0</v>
      </c>
      <c r="I50" s="114">
        <v>97.135371208190918</v>
      </c>
      <c r="J50" s="113">
        <v>0</v>
      </c>
      <c r="K50" s="114">
        <v>97.135371208190918</v>
      </c>
      <c r="L50" s="113">
        <v>89.26792049407959</v>
      </c>
      <c r="M50" s="114">
        <v>186.40329170227051</v>
      </c>
      <c r="N50" s="113">
        <v>0</v>
      </c>
      <c r="O50" s="114">
        <v>0</v>
      </c>
      <c r="P50" s="113">
        <v>0</v>
      </c>
      <c r="Q50" s="114">
        <v>0</v>
      </c>
      <c r="R50" s="113">
        <v>0</v>
      </c>
      <c r="S50" s="114">
        <v>0</v>
      </c>
      <c r="T50" s="113">
        <v>0</v>
      </c>
      <c r="U50" s="115">
        <v>0</v>
      </c>
      <c r="V50" t="str">
        <f>VLOOKUP(A50,Projetos_Ciclo!$H$2:$H$315,1,FALSE)</f>
        <v>PO00118</v>
      </c>
    </row>
    <row r="51" spans="1:22" x14ac:dyDescent="0.25">
      <c r="A51" s="14" t="s">
        <v>1138</v>
      </c>
      <c r="B51" s="116" t="s">
        <v>1139</v>
      </c>
      <c r="C51" s="116" t="s">
        <v>57</v>
      </c>
      <c r="D51" s="117">
        <v>97</v>
      </c>
      <c r="E51" s="120">
        <v>0</v>
      </c>
      <c r="F51" s="117">
        <v>0</v>
      </c>
      <c r="G51" s="120">
        <v>0</v>
      </c>
      <c r="H51" s="117">
        <v>0</v>
      </c>
      <c r="I51" s="120">
        <v>0</v>
      </c>
      <c r="J51" s="117">
        <v>0</v>
      </c>
      <c r="K51" s="120">
        <v>0</v>
      </c>
      <c r="L51" s="117">
        <v>0</v>
      </c>
      <c r="M51" s="120">
        <v>0</v>
      </c>
      <c r="N51" s="117">
        <v>0</v>
      </c>
      <c r="O51" s="120">
        <v>0</v>
      </c>
      <c r="P51" s="117">
        <v>0</v>
      </c>
      <c r="Q51" s="120">
        <v>0</v>
      </c>
      <c r="R51" s="117">
        <v>0</v>
      </c>
      <c r="S51" s="120">
        <v>0</v>
      </c>
      <c r="T51" s="117">
        <v>0</v>
      </c>
      <c r="U51" s="119">
        <v>0</v>
      </c>
      <c r="V51" t="e">
        <f>VLOOKUP(A51,Projetos_Ciclo!$H$2:$H$315,1,FALSE)</f>
        <v>#N/A</v>
      </c>
    </row>
    <row r="52" spans="1:22" x14ac:dyDescent="0.25">
      <c r="A52" s="111" t="s">
        <v>1133</v>
      </c>
      <c r="B52" s="112" t="s">
        <v>1134</v>
      </c>
      <c r="C52" s="112" t="s">
        <v>57</v>
      </c>
      <c r="D52" s="113">
        <v>0</v>
      </c>
      <c r="E52" s="114">
        <v>0</v>
      </c>
      <c r="F52" s="113">
        <v>0</v>
      </c>
      <c r="G52" s="114">
        <v>0</v>
      </c>
      <c r="H52" s="113">
        <v>0</v>
      </c>
      <c r="I52" s="114">
        <v>0</v>
      </c>
      <c r="J52" s="113">
        <v>0</v>
      </c>
      <c r="K52" s="114">
        <v>0</v>
      </c>
      <c r="L52" s="113">
        <v>0</v>
      </c>
      <c r="M52" s="114">
        <v>0</v>
      </c>
      <c r="N52" s="113">
        <v>0</v>
      </c>
      <c r="O52" s="114">
        <v>0</v>
      </c>
      <c r="P52" s="113">
        <v>0</v>
      </c>
      <c r="Q52" s="114">
        <v>0</v>
      </c>
      <c r="R52" s="113">
        <v>0</v>
      </c>
      <c r="S52" s="114">
        <v>0</v>
      </c>
      <c r="T52" s="113">
        <v>0</v>
      </c>
      <c r="U52" s="115">
        <v>0</v>
      </c>
      <c r="V52" t="e">
        <f>VLOOKUP(A52,Projetos_Ciclo!$H$2:$H$315,1,FALSE)</f>
        <v>#N/A</v>
      </c>
    </row>
    <row r="53" spans="1:22" x14ac:dyDescent="0.25">
      <c r="A53" s="14" t="s">
        <v>1135</v>
      </c>
      <c r="B53" s="116" t="s">
        <v>1136</v>
      </c>
      <c r="C53" s="116" t="s">
        <v>57</v>
      </c>
      <c r="D53" s="117">
        <v>0</v>
      </c>
      <c r="E53" s="120">
        <v>0</v>
      </c>
      <c r="F53" s="117">
        <v>0</v>
      </c>
      <c r="G53" s="120">
        <v>0</v>
      </c>
      <c r="H53" s="117">
        <v>0</v>
      </c>
      <c r="I53" s="120">
        <v>0</v>
      </c>
      <c r="J53" s="117">
        <v>0</v>
      </c>
      <c r="K53" s="120">
        <v>0</v>
      </c>
      <c r="L53" s="117">
        <v>0</v>
      </c>
      <c r="M53" s="120">
        <v>0</v>
      </c>
      <c r="N53" s="117">
        <v>0</v>
      </c>
      <c r="O53" s="120">
        <v>0</v>
      </c>
      <c r="P53" s="117">
        <v>0</v>
      </c>
      <c r="Q53" s="120">
        <v>0</v>
      </c>
      <c r="R53" s="117">
        <v>0</v>
      </c>
      <c r="S53" s="120">
        <v>0</v>
      </c>
      <c r="T53" s="117">
        <v>0</v>
      </c>
      <c r="U53" s="119">
        <v>0</v>
      </c>
      <c r="V53" t="e">
        <f>VLOOKUP(A53,Projetos_Ciclo!$H$2:$H$315,1,FALSE)</f>
        <v>#N/A</v>
      </c>
    </row>
    <row r="54" spans="1:22" x14ac:dyDescent="0.25">
      <c r="A54" s="111" t="s">
        <v>1392</v>
      </c>
      <c r="B54" s="112" t="s">
        <v>1393</v>
      </c>
      <c r="C54" s="112" t="s">
        <v>1394</v>
      </c>
      <c r="D54" s="113">
        <v>320</v>
      </c>
      <c r="E54" s="114">
        <v>0</v>
      </c>
      <c r="F54" s="113">
        <v>0</v>
      </c>
      <c r="G54" s="114">
        <v>0</v>
      </c>
      <c r="H54" s="113">
        <v>0</v>
      </c>
      <c r="I54" s="114">
        <v>0</v>
      </c>
      <c r="J54" s="113">
        <v>0</v>
      </c>
      <c r="K54" s="114">
        <v>0</v>
      </c>
      <c r="L54" s="113">
        <v>0</v>
      </c>
      <c r="M54" s="114">
        <v>0</v>
      </c>
      <c r="N54" s="113">
        <v>320</v>
      </c>
      <c r="O54" s="114">
        <v>0</v>
      </c>
      <c r="P54" s="113">
        <v>0</v>
      </c>
      <c r="Q54" s="114">
        <v>0</v>
      </c>
      <c r="R54" s="113">
        <v>0</v>
      </c>
      <c r="S54" s="114">
        <v>0</v>
      </c>
      <c r="T54" s="113">
        <v>0</v>
      </c>
      <c r="U54" s="115">
        <v>0</v>
      </c>
      <c r="V54" t="e">
        <f>VLOOKUP(A54,Projetos_Ciclo!$H$2:$H$315,1,FALSE)</f>
        <v>#N/A</v>
      </c>
    </row>
    <row r="55" spans="1:22" x14ac:dyDescent="0.25">
      <c r="A55" s="14" t="s">
        <v>520</v>
      </c>
      <c r="B55" s="116" t="s">
        <v>1137</v>
      </c>
      <c r="C55" s="116" t="s">
        <v>57</v>
      </c>
      <c r="D55" s="117">
        <v>1591</v>
      </c>
      <c r="E55" s="120">
        <v>0</v>
      </c>
      <c r="F55" s="117">
        <v>0</v>
      </c>
      <c r="G55" s="120">
        <v>0</v>
      </c>
      <c r="H55" s="117">
        <v>0</v>
      </c>
      <c r="I55" s="120">
        <v>0</v>
      </c>
      <c r="J55" s="117">
        <v>0</v>
      </c>
      <c r="K55" s="120">
        <v>0</v>
      </c>
      <c r="L55" s="117">
        <v>0</v>
      </c>
      <c r="M55" s="120">
        <v>0</v>
      </c>
      <c r="N55" s="117">
        <v>110</v>
      </c>
      <c r="O55" s="120">
        <v>204</v>
      </c>
      <c r="P55" s="117">
        <v>1251</v>
      </c>
      <c r="Q55" s="120">
        <v>26</v>
      </c>
      <c r="R55" s="117">
        <v>0</v>
      </c>
      <c r="S55" s="120">
        <v>0</v>
      </c>
      <c r="T55" s="117">
        <v>0</v>
      </c>
      <c r="U55" s="119">
        <v>0</v>
      </c>
      <c r="V55" t="str">
        <f>VLOOKUP(A55,Projetos_Ciclo!$H$2:$H$315,1,FALSE)</f>
        <v>NA</v>
      </c>
    </row>
    <row r="56" spans="1:22" x14ac:dyDescent="0.25">
      <c r="A56" s="111" t="s">
        <v>1920</v>
      </c>
      <c r="B56" s="112" t="s">
        <v>1927</v>
      </c>
      <c r="C56" s="112" t="s">
        <v>1928</v>
      </c>
      <c r="D56" s="113">
        <v>0</v>
      </c>
      <c r="E56" s="114">
        <v>0</v>
      </c>
      <c r="F56" s="113">
        <v>0</v>
      </c>
      <c r="G56" s="114">
        <v>0</v>
      </c>
      <c r="H56" s="113">
        <v>0</v>
      </c>
      <c r="I56" s="114">
        <v>0</v>
      </c>
      <c r="J56" s="113">
        <v>0</v>
      </c>
      <c r="K56" s="114">
        <v>0</v>
      </c>
      <c r="L56" s="113">
        <v>0</v>
      </c>
      <c r="M56" s="114">
        <v>0</v>
      </c>
      <c r="N56" s="113">
        <v>0</v>
      </c>
      <c r="O56" s="114">
        <v>0</v>
      </c>
      <c r="P56" s="113">
        <v>0</v>
      </c>
      <c r="Q56" s="114">
        <v>0</v>
      </c>
      <c r="R56" s="113">
        <v>0</v>
      </c>
      <c r="S56" s="114">
        <v>0</v>
      </c>
      <c r="T56" s="113">
        <v>0</v>
      </c>
      <c r="U56" s="115">
        <v>0</v>
      </c>
      <c r="V56" t="str">
        <f>VLOOKUP(A56,Projetos_Ciclo!$H$2:$H$315,1,FALSE)</f>
        <v>SC01418</v>
      </c>
    </row>
    <row r="57" spans="1:22" x14ac:dyDescent="0.25">
      <c r="A57" s="14" t="s">
        <v>1138</v>
      </c>
      <c r="B57" s="116" t="s">
        <v>1139</v>
      </c>
      <c r="C57" s="116" t="s">
        <v>57</v>
      </c>
      <c r="D57" s="117">
        <v>0</v>
      </c>
      <c r="E57" s="120">
        <v>0</v>
      </c>
      <c r="F57" s="117">
        <v>0</v>
      </c>
      <c r="G57" s="120">
        <v>0</v>
      </c>
      <c r="H57" s="117">
        <v>0</v>
      </c>
      <c r="I57" s="120">
        <v>0</v>
      </c>
      <c r="J57" s="117">
        <v>0</v>
      </c>
      <c r="K57" s="120">
        <v>0</v>
      </c>
      <c r="L57" s="117">
        <v>0</v>
      </c>
      <c r="M57" s="120">
        <v>0</v>
      </c>
      <c r="N57" s="117">
        <v>0</v>
      </c>
      <c r="O57" s="120">
        <v>0</v>
      </c>
      <c r="P57" s="117">
        <v>0</v>
      </c>
      <c r="Q57" s="120">
        <v>0</v>
      </c>
      <c r="R57" s="117">
        <v>0</v>
      </c>
      <c r="S57" s="120">
        <v>0</v>
      </c>
      <c r="T57" s="117">
        <v>0</v>
      </c>
      <c r="U57" s="119">
        <v>0</v>
      </c>
      <c r="V57" t="e">
        <f>VLOOKUP(A57,Projetos_Ciclo!$H$2:$H$315,1,FALSE)</f>
        <v>#N/A</v>
      </c>
    </row>
    <row r="58" spans="1:22" x14ac:dyDescent="0.25">
      <c r="A58" s="111" t="s">
        <v>1133</v>
      </c>
      <c r="B58" s="112" t="s">
        <v>1140</v>
      </c>
      <c r="C58" s="112" t="s">
        <v>57</v>
      </c>
      <c r="D58" s="113">
        <v>0</v>
      </c>
      <c r="E58" s="114">
        <v>0</v>
      </c>
      <c r="F58" s="113">
        <v>0</v>
      </c>
      <c r="G58" s="114">
        <v>0</v>
      </c>
      <c r="H58" s="113">
        <v>0</v>
      </c>
      <c r="I58" s="114">
        <v>0</v>
      </c>
      <c r="J58" s="113">
        <v>0</v>
      </c>
      <c r="K58" s="114">
        <v>0</v>
      </c>
      <c r="L58" s="113">
        <v>0</v>
      </c>
      <c r="M58" s="114">
        <v>0</v>
      </c>
      <c r="N58" s="113">
        <v>0</v>
      </c>
      <c r="O58" s="114">
        <v>0</v>
      </c>
      <c r="P58" s="113">
        <v>0</v>
      </c>
      <c r="Q58" s="114">
        <v>0</v>
      </c>
      <c r="R58" s="113">
        <v>0</v>
      </c>
      <c r="S58" s="114">
        <v>0</v>
      </c>
      <c r="T58" s="113">
        <v>0</v>
      </c>
      <c r="U58" s="115">
        <v>0</v>
      </c>
      <c r="V58" t="e">
        <f>VLOOKUP(A58,Projetos_Ciclo!$H$2:$H$315,1,FALSE)</f>
        <v>#N/A</v>
      </c>
    </row>
    <row r="59" spans="1:22" x14ac:dyDescent="0.25">
      <c r="A59" s="14" t="s">
        <v>1135</v>
      </c>
      <c r="B59" s="116" t="s">
        <v>1136</v>
      </c>
      <c r="C59" s="116" t="s">
        <v>57</v>
      </c>
      <c r="D59" s="117">
        <v>0</v>
      </c>
      <c r="E59" s="120">
        <v>0</v>
      </c>
      <c r="F59" s="117">
        <v>0</v>
      </c>
      <c r="G59" s="120">
        <v>0</v>
      </c>
      <c r="H59" s="117">
        <v>0</v>
      </c>
      <c r="I59" s="120">
        <v>0</v>
      </c>
      <c r="J59" s="117">
        <v>0</v>
      </c>
      <c r="K59" s="120">
        <v>0</v>
      </c>
      <c r="L59" s="117">
        <v>0</v>
      </c>
      <c r="M59" s="120">
        <v>0</v>
      </c>
      <c r="N59" s="117">
        <v>0</v>
      </c>
      <c r="O59" s="120">
        <v>0</v>
      </c>
      <c r="P59" s="117">
        <v>0</v>
      </c>
      <c r="Q59" s="120">
        <v>0</v>
      </c>
      <c r="R59" s="117">
        <v>0</v>
      </c>
      <c r="S59" s="120">
        <v>0</v>
      </c>
      <c r="T59" s="117">
        <v>0</v>
      </c>
      <c r="U59" s="119">
        <v>0</v>
      </c>
      <c r="V59" t="e">
        <f>VLOOKUP(A59,Projetos_Ciclo!$H$2:$H$315,1,FALSE)</f>
        <v>#N/A</v>
      </c>
    </row>
    <row r="60" spans="1:22" x14ac:dyDescent="0.25">
      <c r="A60" s="111" t="s">
        <v>520</v>
      </c>
      <c r="B60" s="112" t="s">
        <v>1137</v>
      </c>
      <c r="C60" s="112" t="s">
        <v>57</v>
      </c>
      <c r="D60" s="113">
        <v>257</v>
      </c>
      <c r="E60" s="114">
        <v>0</v>
      </c>
      <c r="F60" s="113">
        <v>0</v>
      </c>
      <c r="G60" s="114">
        <v>0</v>
      </c>
      <c r="H60" s="113">
        <v>0</v>
      </c>
      <c r="I60" s="114">
        <v>0</v>
      </c>
      <c r="J60" s="113">
        <v>0</v>
      </c>
      <c r="K60" s="114">
        <v>0</v>
      </c>
      <c r="L60" s="113">
        <v>0</v>
      </c>
      <c r="M60" s="114">
        <v>0</v>
      </c>
      <c r="N60" s="113">
        <v>6</v>
      </c>
      <c r="O60" s="114">
        <v>83</v>
      </c>
      <c r="P60" s="113">
        <v>90</v>
      </c>
      <c r="Q60" s="114">
        <v>78</v>
      </c>
      <c r="R60" s="113">
        <v>0</v>
      </c>
      <c r="S60" s="114">
        <v>0</v>
      </c>
      <c r="T60" s="113">
        <v>0</v>
      </c>
      <c r="U60" s="115">
        <v>0</v>
      </c>
      <c r="V60" t="str">
        <f>VLOOKUP(A60,Projetos_Ciclo!$H$2:$H$315,1,FALSE)</f>
        <v>NA</v>
      </c>
    </row>
    <row r="61" spans="1:22" x14ac:dyDescent="0.25">
      <c r="A61" s="14" t="s">
        <v>1138</v>
      </c>
      <c r="B61" s="116" t="s">
        <v>1139</v>
      </c>
      <c r="C61" s="116" t="s">
        <v>57</v>
      </c>
      <c r="D61" s="117">
        <v>0</v>
      </c>
      <c r="E61" s="120">
        <v>0</v>
      </c>
      <c r="F61" s="117">
        <v>0</v>
      </c>
      <c r="G61" s="120">
        <v>0</v>
      </c>
      <c r="H61" s="117">
        <v>0</v>
      </c>
      <c r="I61" s="120">
        <v>0</v>
      </c>
      <c r="J61" s="117">
        <v>0</v>
      </c>
      <c r="K61" s="120">
        <v>0</v>
      </c>
      <c r="L61" s="117">
        <v>0</v>
      </c>
      <c r="M61" s="120">
        <v>0</v>
      </c>
      <c r="N61" s="117">
        <v>0</v>
      </c>
      <c r="O61" s="120">
        <v>0</v>
      </c>
      <c r="P61" s="117">
        <v>0</v>
      </c>
      <c r="Q61" s="120">
        <v>0</v>
      </c>
      <c r="R61" s="117">
        <v>0</v>
      </c>
      <c r="S61" s="120">
        <v>0</v>
      </c>
      <c r="T61" s="117">
        <v>0</v>
      </c>
      <c r="U61" s="119">
        <v>0</v>
      </c>
      <c r="V61" t="e">
        <f>VLOOKUP(A61,Projetos_Ciclo!$H$2:$H$315,1,FALSE)</f>
        <v>#N/A</v>
      </c>
    </row>
    <row r="62" spans="1:22" x14ac:dyDescent="0.25">
      <c r="A62" s="111" t="s">
        <v>1181</v>
      </c>
      <c r="B62" s="112" t="s">
        <v>1182</v>
      </c>
      <c r="C62" s="112" t="s">
        <v>1183</v>
      </c>
      <c r="D62" s="113">
        <v>182</v>
      </c>
      <c r="E62" s="114">
        <v>0</v>
      </c>
      <c r="F62" s="113">
        <v>142</v>
      </c>
      <c r="G62" s="114">
        <v>0</v>
      </c>
      <c r="H62" s="113">
        <v>0</v>
      </c>
      <c r="I62" s="114">
        <v>0</v>
      </c>
      <c r="J62" s="113">
        <v>0</v>
      </c>
      <c r="K62" s="114">
        <v>0</v>
      </c>
      <c r="L62" s="113">
        <v>0</v>
      </c>
      <c r="M62" s="114">
        <v>0</v>
      </c>
      <c r="N62" s="113">
        <v>40</v>
      </c>
      <c r="O62" s="114">
        <v>0</v>
      </c>
      <c r="P62" s="113">
        <v>0</v>
      </c>
      <c r="Q62" s="114">
        <v>0</v>
      </c>
      <c r="R62" s="113">
        <v>0</v>
      </c>
      <c r="S62" s="114">
        <v>0</v>
      </c>
      <c r="T62" s="113">
        <v>0</v>
      </c>
      <c r="U62" s="115">
        <v>0</v>
      </c>
      <c r="V62" t="e">
        <f>VLOOKUP(A62,Projetos_Ciclo!$H$2:$H$315,1,FALSE)</f>
        <v>#N/A</v>
      </c>
    </row>
    <row r="63" spans="1:22" x14ac:dyDescent="0.25">
      <c r="A63" s="14" t="s">
        <v>1659</v>
      </c>
      <c r="B63" s="116" t="s">
        <v>1660</v>
      </c>
      <c r="C63" s="116" t="s">
        <v>1661</v>
      </c>
      <c r="D63" s="117">
        <v>0</v>
      </c>
      <c r="E63" s="120">
        <v>0</v>
      </c>
      <c r="F63" s="117">
        <v>0</v>
      </c>
      <c r="G63" s="120">
        <v>142</v>
      </c>
      <c r="H63" s="117">
        <v>0</v>
      </c>
      <c r="I63" s="120">
        <v>0</v>
      </c>
      <c r="J63" s="117">
        <v>0</v>
      </c>
      <c r="K63" s="120">
        <v>0</v>
      </c>
      <c r="L63" s="117">
        <v>113.35815811157227</v>
      </c>
      <c r="M63" s="120">
        <v>113.35815811157227</v>
      </c>
      <c r="N63" s="117">
        <v>0</v>
      </c>
      <c r="O63" s="120">
        <v>0</v>
      </c>
      <c r="P63" s="117">
        <v>0</v>
      </c>
      <c r="Q63" s="120">
        <v>0</v>
      </c>
      <c r="R63" s="117">
        <v>0</v>
      </c>
      <c r="S63" s="120">
        <v>0</v>
      </c>
      <c r="T63" s="117">
        <v>0</v>
      </c>
      <c r="U63" s="119">
        <v>0</v>
      </c>
      <c r="V63" t="str">
        <f>VLOOKUP(A63,Projetos_Ciclo!$H$2:$H$315,1,FALSE)</f>
        <v>TI06618</v>
      </c>
    </row>
    <row r="64" spans="1:22" x14ac:dyDescent="0.25">
      <c r="A64" s="111" t="s">
        <v>1868</v>
      </c>
      <c r="B64" s="112" t="s">
        <v>1869</v>
      </c>
      <c r="C64" s="112" t="s">
        <v>1870</v>
      </c>
      <c r="D64" s="113">
        <v>0</v>
      </c>
      <c r="E64" s="114">
        <v>0</v>
      </c>
      <c r="F64" s="113">
        <v>0</v>
      </c>
      <c r="G64" s="114">
        <v>0</v>
      </c>
      <c r="H64" s="113">
        <v>0</v>
      </c>
      <c r="I64" s="114">
        <v>0</v>
      </c>
      <c r="J64" s="113">
        <v>0</v>
      </c>
      <c r="K64" s="114">
        <v>0</v>
      </c>
      <c r="L64" s="113">
        <v>0</v>
      </c>
      <c r="M64" s="114">
        <v>0</v>
      </c>
      <c r="N64" s="113">
        <v>0</v>
      </c>
      <c r="O64" s="114">
        <v>0</v>
      </c>
      <c r="P64" s="113">
        <v>0</v>
      </c>
      <c r="Q64" s="114">
        <v>0</v>
      </c>
      <c r="R64" s="113">
        <v>0</v>
      </c>
      <c r="S64" s="114">
        <v>0</v>
      </c>
      <c r="T64" s="113">
        <v>0</v>
      </c>
      <c r="U64" s="115">
        <v>0</v>
      </c>
      <c r="V64" t="str">
        <f>VLOOKUP(A64,Projetos_Ciclo!$H$2:$H$315,1,FALSE)</f>
        <v>TI07818</v>
      </c>
    </row>
    <row r="65" spans="1:22" x14ac:dyDescent="0.25">
      <c r="A65" s="14" t="s">
        <v>1133</v>
      </c>
      <c r="B65" s="116" t="s">
        <v>1184</v>
      </c>
      <c r="C65" s="116" t="s">
        <v>57</v>
      </c>
      <c r="D65" s="117">
        <v>0</v>
      </c>
      <c r="E65" s="120">
        <v>0</v>
      </c>
      <c r="F65" s="117">
        <v>0</v>
      </c>
      <c r="G65" s="120">
        <v>0</v>
      </c>
      <c r="H65" s="117">
        <v>0</v>
      </c>
      <c r="I65" s="120">
        <v>0</v>
      </c>
      <c r="J65" s="117">
        <v>0</v>
      </c>
      <c r="K65" s="120">
        <v>0</v>
      </c>
      <c r="L65" s="117">
        <v>0</v>
      </c>
      <c r="M65" s="120">
        <v>0</v>
      </c>
      <c r="N65" s="117">
        <v>0</v>
      </c>
      <c r="O65" s="120">
        <v>0</v>
      </c>
      <c r="P65" s="117">
        <v>0</v>
      </c>
      <c r="Q65" s="120">
        <v>0</v>
      </c>
      <c r="R65" s="117">
        <v>0</v>
      </c>
      <c r="S65" s="120">
        <v>0</v>
      </c>
      <c r="T65" s="117">
        <v>0</v>
      </c>
      <c r="U65" s="119">
        <v>0</v>
      </c>
      <c r="V65" t="e">
        <f>VLOOKUP(A65,Projetos_Ciclo!$H$2:$H$315,1,FALSE)</f>
        <v>#N/A</v>
      </c>
    </row>
    <row r="66" spans="1:22" x14ac:dyDescent="0.25">
      <c r="A66" s="111" t="s">
        <v>1135</v>
      </c>
      <c r="B66" s="112" t="s">
        <v>1136</v>
      </c>
      <c r="C66" s="112" t="s">
        <v>57</v>
      </c>
      <c r="D66" s="113">
        <v>0</v>
      </c>
      <c r="E66" s="114">
        <v>0</v>
      </c>
      <c r="F66" s="113">
        <v>0</v>
      </c>
      <c r="G66" s="114">
        <v>0</v>
      </c>
      <c r="H66" s="113">
        <v>0</v>
      </c>
      <c r="I66" s="114">
        <v>0</v>
      </c>
      <c r="J66" s="113">
        <v>0</v>
      </c>
      <c r="K66" s="114">
        <v>0</v>
      </c>
      <c r="L66" s="113">
        <v>0</v>
      </c>
      <c r="M66" s="114">
        <v>0</v>
      </c>
      <c r="N66" s="113">
        <v>0</v>
      </c>
      <c r="O66" s="114">
        <v>0</v>
      </c>
      <c r="P66" s="113">
        <v>0</v>
      </c>
      <c r="Q66" s="114">
        <v>0</v>
      </c>
      <c r="R66" s="113">
        <v>0</v>
      </c>
      <c r="S66" s="114">
        <v>0</v>
      </c>
      <c r="T66" s="113">
        <v>0</v>
      </c>
      <c r="U66" s="115">
        <v>0</v>
      </c>
      <c r="V66" t="e">
        <f>VLOOKUP(A66,Projetos_Ciclo!$H$2:$H$315,1,FALSE)</f>
        <v>#N/A</v>
      </c>
    </row>
    <row r="67" spans="1:22" x14ac:dyDescent="0.25">
      <c r="A67" s="14" t="s">
        <v>520</v>
      </c>
      <c r="B67" s="116" t="s">
        <v>1137</v>
      </c>
      <c r="C67" s="116" t="s">
        <v>57</v>
      </c>
      <c r="D67" s="117">
        <v>529</v>
      </c>
      <c r="E67" s="120">
        <v>0</v>
      </c>
      <c r="F67" s="117">
        <v>0</v>
      </c>
      <c r="G67" s="120">
        <v>0</v>
      </c>
      <c r="H67" s="117">
        <v>0</v>
      </c>
      <c r="I67" s="120">
        <v>0</v>
      </c>
      <c r="J67" s="117">
        <v>0</v>
      </c>
      <c r="K67" s="120">
        <v>0</v>
      </c>
      <c r="L67" s="117">
        <v>0</v>
      </c>
      <c r="M67" s="120">
        <v>0</v>
      </c>
      <c r="N67" s="117">
        <v>55</v>
      </c>
      <c r="O67" s="120">
        <v>209</v>
      </c>
      <c r="P67" s="117">
        <v>55</v>
      </c>
      <c r="Q67" s="120">
        <v>210</v>
      </c>
      <c r="R67" s="117">
        <v>0</v>
      </c>
      <c r="S67" s="120">
        <v>0</v>
      </c>
      <c r="T67" s="117">
        <v>0</v>
      </c>
      <c r="U67" s="119">
        <v>0</v>
      </c>
      <c r="V67" t="str">
        <f>VLOOKUP(A67,Projetos_Ciclo!$H$2:$H$315,1,FALSE)</f>
        <v>NA</v>
      </c>
    </row>
    <row r="68" spans="1:22" x14ac:dyDescent="0.25">
      <c r="A68" s="111" t="s">
        <v>1138</v>
      </c>
      <c r="B68" s="112" t="s">
        <v>1139</v>
      </c>
      <c r="C68" s="112" t="s">
        <v>57</v>
      </c>
      <c r="D68" s="113">
        <v>0</v>
      </c>
      <c r="E68" s="114">
        <v>0</v>
      </c>
      <c r="F68" s="113">
        <v>0</v>
      </c>
      <c r="G68" s="114">
        <v>0</v>
      </c>
      <c r="H68" s="113">
        <v>0</v>
      </c>
      <c r="I68" s="114">
        <v>0</v>
      </c>
      <c r="J68" s="113">
        <v>0</v>
      </c>
      <c r="K68" s="114">
        <v>0</v>
      </c>
      <c r="L68" s="113">
        <v>0</v>
      </c>
      <c r="M68" s="114">
        <v>0</v>
      </c>
      <c r="N68" s="113">
        <v>0</v>
      </c>
      <c r="O68" s="114">
        <v>0</v>
      </c>
      <c r="P68" s="113">
        <v>0</v>
      </c>
      <c r="Q68" s="114">
        <v>0</v>
      </c>
      <c r="R68" s="113">
        <v>0</v>
      </c>
      <c r="S68" s="114">
        <v>0</v>
      </c>
      <c r="T68" s="113">
        <v>0</v>
      </c>
      <c r="U68" s="115">
        <v>0</v>
      </c>
      <c r="V68" t="e">
        <f>VLOOKUP(A68,Projetos_Ciclo!$H$2:$H$315,1,FALSE)</f>
        <v>#N/A</v>
      </c>
    </row>
    <row r="69" spans="1:22" x14ac:dyDescent="0.25">
      <c r="A69" s="14" t="s">
        <v>1185</v>
      </c>
      <c r="B69" s="116" t="s">
        <v>1186</v>
      </c>
      <c r="C69" s="116" t="s">
        <v>1187</v>
      </c>
      <c r="D69" s="117">
        <v>415</v>
      </c>
      <c r="E69" s="120">
        <v>0</v>
      </c>
      <c r="F69" s="117">
        <v>415</v>
      </c>
      <c r="G69" s="120">
        <v>0</v>
      </c>
      <c r="H69" s="117">
        <v>0</v>
      </c>
      <c r="I69" s="120">
        <v>0</v>
      </c>
      <c r="J69" s="117">
        <v>0</v>
      </c>
      <c r="K69" s="120">
        <v>0</v>
      </c>
      <c r="L69" s="117">
        <v>0</v>
      </c>
      <c r="M69" s="120">
        <v>0</v>
      </c>
      <c r="N69" s="117">
        <v>0</v>
      </c>
      <c r="O69" s="120">
        <v>0</v>
      </c>
      <c r="P69" s="117">
        <v>0</v>
      </c>
      <c r="Q69" s="120">
        <v>0</v>
      </c>
      <c r="R69" s="117">
        <v>0</v>
      </c>
      <c r="S69" s="120">
        <v>0</v>
      </c>
      <c r="T69" s="117">
        <v>0</v>
      </c>
      <c r="U69" s="119">
        <v>0</v>
      </c>
      <c r="V69" t="e">
        <f>VLOOKUP(A69,Projetos_Ciclo!$H$2:$H$315,1,FALSE)</f>
        <v>#N/A</v>
      </c>
    </row>
    <row r="70" spans="1:22" x14ac:dyDescent="0.25">
      <c r="A70" s="111" t="s">
        <v>1416</v>
      </c>
      <c r="B70" s="112" t="s">
        <v>1402</v>
      </c>
      <c r="C70" s="112" t="s">
        <v>1417</v>
      </c>
      <c r="D70" s="113">
        <v>0</v>
      </c>
      <c r="E70" s="114">
        <v>0</v>
      </c>
      <c r="F70" s="113">
        <v>0</v>
      </c>
      <c r="G70" s="114">
        <v>415</v>
      </c>
      <c r="H70" s="113">
        <v>0</v>
      </c>
      <c r="I70" s="114">
        <v>0</v>
      </c>
      <c r="J70" s="113">
        <v>0</v>
      </c>
      <c r="K70" s="114">
        <v>0</v>
      </c>
      <c r="L70" s="113">
        <v>388.48779296875</v>
      </c>
      <c r="M70" s="114">
        <v>388.48779296875</v>
      </c>
      <c r="N70" s="113">
        <v>0</v>
      </c>
      <c r="O70" s="114">
        <v>0</v>
      </c>
      <c r="P70" s="113">
        <v>0</v>
      </c>
      <c r="Q70" s="114">
        <v>0</v>
      </c>
      <c r="R70" s="113">
        <v>0</v>
      </c>
      <c r="S70" s="114">
        <v>0</v>
      </c>
      <c r="T70" s="113">
        <v>0</v>
      </c>
      <c r="U70" s="115">
        <v>0</v>
      </c>
      <c r="V70" t="str">
        <f>VLOOKUP(A70,Projetos_Ciclo!$H$2:$H$315,1,FALSE)</f>
        <v>TI04418</v>
      </c>
    </row>
    <row r="71" spans="1:22" x14ac:dyDescent="0.25">
      <c r="A71" s="14" t="s">
        <v>1133</v>
      </c>
      <c r="B71" s="116" t="s">
        <v>1148</v>
      </c>
      <c r="C71" s="116" t="s">
        <v>57</v>
      </c>
      <c r="D71" s="117">
        <v>0</v>
      </c>
      <c r="E71" s="120">
        <v>0</v>
      </c>
      <c r="F71" s="117">
        <v>0</v>
      </c>
      <c r="G71" s="120">
        <v>0</v>
      </c>
      <c r="H71" s="117">
        <v>0</v>
      </c>
      <c r="I71" s="120">
        <v>0</v>
      </c>
      <c r="J71" s="117">
        <v>0</v>
      </c>
      <c r="K71" s="120">
        <v>0</v>
      </c>
      <c r="L71" s="117">
        <v>0</v>
      </c>
      <c r="M71" s="120">
        <v>0</v>
      </c>
      <c r="N71" s="117">
        <v>0</v>
      </c>
      <c r="O71" s="120">
        <v>0</v>
      </c>
      <c r="P71" s="117">
        <v>0</v>
      </c>
      <c r="Q71" s="120">
        <v>0</v>
      </c>
      <c r="R71" s="117">
        <v>0</v>
      </c>
      <c r="S71" s="120">
        <v>0</v>
      </c>
      <c r="T71" s="117">
        <v>0</v>
      </c>
      <c r="U71" s="119">
        <v>0</v>
      </c>
      <c r="V71" t="e">
        <f>VLOOKUP(A71,Projetos_Ciclo!$H$2:$H$315,1,FALSE)</f>
        <v>#N/A</v>
      </c>
    </row>
    <row r="72" spans="1:22" x14ac:dyDescent="0.25">
      <c r="A72" s="111" t="s">
        <v>1135</v>
      </c>
      <c r="B72" s="112" t="s">
        <v>1136</v>
      </c>
      <c r="C72" s="112" t="s">
        <v>57</v>
      </c>
      <c r="D72" s="113">
        <v>0</v>
      </c>
      <c r="E72" s="114">
        <v>0</v>
      </c>
      <c r="F72" s="113">
        <v>0</v>
      </c>
      <c r="G72" s="114">
        <v>0</v>
      </c>
      <c r="H72" s="113">
        <v>0</v>
      </c>
      <c r="I72" s="114">
        <v>0</v>
      </c>
      <c r="J72" s="113">
        <v>0</v>
      </c>
      <c r="K72" s="114">
        <v>0</v>
      </c>
      <c r="L72" s="113">
        <v>0</v>
      </c>
      <c r="M72" s="114">
        <v>0</v>
      </c>
      <c r="N72" s="113">
        <v>0</v>
      </c>
      <c r="O72" s="114">
        <v>0</v>
      </c>
      <c r="P72" s="113">
        <v>0</v>
      </c>
      <c r="Q72" s="114">
        <v>0</v>
      </c>
      <c r="R72" s="113">
        <v>0</v>
      </c>
      <c r="S72" s="114">
        <v>0</v>
      </c>
      <c r="T72" s="113">
        <v>0</v>
      </c>
      <c r="U72" s="115">
        <v>0</v>
      </c>
      <c r="V72" t="e">
        <f>VLOOKUP(A72,Projetos_Ciclo!$H$2:$H$315,1,FALSE)</f>
        <v>#N/A</v>
      </c>
    </row>
    <row r="73" spans="1:22" x14ac:dyDescent="0.25">
      <c r="A73" s="14" t="s">
        <v>520</v>
      </c>
      <c r="B73" s="116" t="s">
        <v>1137</v>
      </c>
      <c r="C73" s="116" t="s">
        <v>57</v>
      </c>
      <c r="D73" s="117">
        <v>385.5</v>
      </c>
      <c r="E73" s="120">
        <v>0</v>
      </c>
      <c r="F73" s="117">
        <v>0</v>
      </c>
      <c r="G73" s="120">
        <v>0</v>
      </c>
      <c r="H73" s="117">
        <v>0</v>
      </c>
      <c r="I73" s="120">
        <v>0</v>
      </c>
      <c r="J73" s="117">
        <v>0</v>
      </c>
      <c r="K73" s="120">
        <v>0</v>
      </c>
      <c r="L73" s="117">
        <v>0</v>
      </c>
      <c r="M73" s="120">
        <v>0</v>
      </c>
      <c r="N73" s="117">
        <v>0</v>
      </c>
      <c r="O73" s="120">
        <v>128.5</v>
      </c>
      <c r="P73" s="117">
        <v>128.5</v>
      </c>
      <c r="Q73" s="120">
        <v>128.5</v>
      </c>
      <c r="R73" s="117">
        <v>0</v>
      </c>
      <c r="S73" s="120">
        <v>0</v>
      </c>
      <c r="T73" s="117">
        <v>0</v>
      </c>
      <c r="U73" s="119">
        <v>0</v>
      </c>
      <c r="V73" t="str">
        <f>VLOOKUP(A73,Projetos_Ciclo!$H$2:$H$315,1,FALSE)</f>
        <v>NA</v>
      </c>
    </row>
    <row r="74" spans="1:22" x14ac:dyDescent="0.25">
      <c r="A74" s="111" t="s">
        <v>1138</v>
      </c>
      <c r="B74" s="112" t="s">
        <v>1139</v>
      </c>
      <c r="C74" s="112" t="s">
        <v>57</v>
      </c>
      <c r="D74" s="113">
        <v>-0.5</v>
      </c>
      <c r="E74" s="114">
        <v>0</v>
      </c>
      <c r="F74" s="113">
        <v>0</v>
      </c>
      <c r="G74" s="114">
        <v>0</v>
      </c>
      <c r="H74" s="113">
        <v>0</v>
      </c>
      <c r="I74" s="114">
        <v>0</v>
      </c>
      <c r="J74" s="113">
        <v>0</v>
      </c>
      <c r="K74" s="114">
        <v>0</v>
      </c>
      <c r="L74" s="113">
        <v>0</v>
      </c>
      <c r="M74" s="114">
        <v>0</v>
      </c>
      <c r="N74" s="113">
        <v>0</v>
      </c>
      <c r="O74" s="114">
        <v>0</v>
      </c>
      <c r="P74" s="113">
        <v>0</v>
      </c>
      <c r="Q74" s="114">
        <v>0</v>
      </c>
      <c r="R74" s="113">
        <v>0</v>
      </c>
      <c r="S74" s="114">
        <v>0</v>
      </c>
      <c r="T74" s="113">
        <v>0</v>
      </c>
      <c r="U74" s="115">
        <v>0</v>
      </c>
      <c r="V74" t="e">
        <f>VLOOKUP(A74,Projetos_Ciclo!$H$2:$H$315,1,FALSE)</f>
        <v>#N/A</v>
      </c>
    </row>
    <row r="75" spans="1:22" x14ac:dyDescent="0.25">
      <c r="A75" s="14" t="s">
        <v>1188</v>
      </c>
      <c r="B75" s="116" t="s">
        <v>1189</v>
      </c>
      <c r="C75" s="116" t="s">
        <v>1190</v>
      </c>
      <c r="D75" s="117">
        <v>258</v>
      </c>
      <c r="E75" s="120">
        <v>0</v>
      </c>
      <c r="F75" s="117">
        <v>129</v>
      </c>
      <c r="G75" s="120">
        <v>0</v>
      </c>
      <c r="H75" s="117">
        <v>98</v>
      </c>
      <c r="I75" s="120">
        <v>0</v>
      </c>
      <c r="J75" s="117">
        <v>0</v>
      </c>
      <c r="K75" s="120">
        <v>0</v>
      </c>
      <c r="L75" s="117">
        <v>0</v>
      </c>
      <c r="M75" s="120">
        <v>0</v>
      </c>
      <c r="N75" s="117">
        <v>129</v>
      </c>
      <c r="O75" s="120">
        <v>0</v>
      </c>
      <c r="P75" s="117">
        <v>0</v>
      </c>
      <c r="Q75" s="120">
        <v>0</v>
      </c>
      <c r="R75" s="117">
        <v>0</v>
      </c>
      <c r="S75" s="120">
        <v>0</v>
      </c>
      <c r="T75" s="117">
        <v>0</v>
      </c>
      <c r="U75" s="119">
        <v>0</v>
      </c>
      <c r="V75" t="e">
        <f>VLOOKUP(A75,Projetos_Ciclo!$H$2:$H$315,1,FALSE)</f>
        <v>#N/A</v>
      </c>
    </row>
    <row r="76" spans="1:22" x14ac:dyDescent="0.25">
      <c r="A76" s="111" t="s">
        <v>1590</v>
      </c>
      <c r="B76" s="112" t="s">
        <v>1591</v>
      </c>
      <c r="C76" s="112" t="s">
        <v>1592</v>
      </c>
      <c r="D76" s="113">
        <v>0</v>
      </c>
      <c r="E76" s="114">
        <v>0</v>
      </c>
      <c r="F76" s="113">
        <v>0</v>
      </c>
      <c r="G76" s="114">
        <v>98</v>
      </c>
      <c r="H76" s="113">
        <v>0</v>
      </c>
      <c r="I76" s="114">
        <v>97.797317504882813</v>
      </c>
      <c r="J76" s="113">
        <v>0</v>
      </c>
      <c r="K76" s="114">
        <v>97.797317504882813</v>
      </c>
      <c r="L76" s="113">
        <v>0</v>
      </c>
      <c r="M76" s="114">
        <v>97.797317504882813</v>
      </c>
      <c r="N76" s="113">
        <v>0</v>
      </c>
      <c r="O76" s="114">
        <v>0</v>
      </c>
      <c r="P76" s="113">
        <v>0</v>
      </c>
      <c r="Q76" s="114">
        <v>0</v>
      </c>
      <c r="R76" s="113">
        <v>0</v>
      </c>
      <c r="S76" s="114">
        <v>0</v>
      </c>
      <c r="T76" s="113">
        <v>0</v>
      </c>
      <c r="U76" s="115">
        <v>0</v>
      </c>
      <c r="V76" t="str">
        <f>VLOOKUP(A76,Projetos_Ciclo!$H$2:$H$315,1,FALSE)</f>
        <v>TI06118</v>
      </c>
    </row>
    <row r="77" spans="1:22" x14ac:dyDescent="0.25">
      <c r="A77" s="14" t="s">
        <v>1929</v>
      </c>
      <c r="B77" s="116" t="s">
        <v>1930</v>
      </c>
      <c r="C77" s="116" t="s">
        <v>1931</v>
      </c>
      <c r="D77" s="117">
        <v>0</v>
      </c>
      <c r="E77" s="120">
        <v>0</v>
      </c>
      <c r="F77" s="117">
        <v>0</v>
      </c>
      <c r="G77" s="120">
        <v>0</v>
      </c>
      <c r="H77" s="117">
        <v>0</v>
      </c>
      <c r="I77" s="120">
        <v>0</v>
      </c>
      <c r="J77" s="117">
        <v>0</v>
      </c>
      <c r="K77" s="120">
        <v>0</v>
      </c>
      <c r="L77" s="117">
        <v>0</v>
      </c>
      <c r="M77" s="120">
        <v>0</v>
      </c>
      <c r="N77" s="117">
        <v>0</v>
      </c>
      <c r="O77" s="120">
        <v>0</v>
      </c>
      <c r="P77" s="117">
        <v>0</v>
      </c>
      <c r="Q77" s="120">
        <v>0</v>
      </c>
      <c r="R77" s="117">
        <v>0</v>
      </c>
      <c r="S77" s="120">
        <v>0</v>
      </c>
      <c r="T77" s="117">
        <v>0</v>
      </c>
      <c r="U77" s="119">
        <v>0</v>
      </c>
      <c r="V77" t="str">
        <f>VLOOKUP(A77,Projetos_Ciclo!$H$2:$H$315,1,FALSE)</f>
        <v>TI08618</v>
      </c>
    </row>
    <row r="78" spans="1:22" x14ac:dyDescent="0.25">
      <c r="A78" s="111" t="s">
        <v>1133</v>
      </c>
      <c r="B78" s="112" t="s">
        <v>1157</v>
      </c>
      <c r="C78" s="112" t="s">
        <v>57</v>
      </c>
      <c r="D78" s="113">
        <v>0</v>
      </c>
      <c r="E78" s="114">
        <v>0</v>
      </c>
      <c r="F78" s="113">
        <v>0</v>
      </c>
      <c r="G78" s="114">
        <v>0</v>
      </c>
      <c r="H78" s="113">
        <v>0</v>
      </c>
      <c r="I78" s="114">
        <v>0</v>
      </c>
      <c r="J78" s="113">
        <v>0</v>
      </c>
      <c r="K78" s="114">
        <v>0</v>
      </c>
      <c r="L78" s="113">
        <v>0</v>
      </c>
      <c r="M78" s="114">
        <v>0</v>
      </c>
      <c r="N78" s="113">
        <v>0</v>
      </c>
      <c r="O78" s="114">
        <v>0</v>
      </c>
      <c r="P78" s="113">
        <v>0</v>
      </c>
      <c r="Q78" s="114">
        <v>0</v>
      </c>
      <c r="R78" s="113">
        <v>0</v>
      </c>
      <c r="S78" s="114">
        <v>0</v>
      </c>
      <c r="T78" s="113">
        <v>0</v>
      </c>
      <c r="U78" s="115">
        <v>0</v>
      </c>
      <c r="V78" t="e">
        <f>VLOOKUP(A78,Projetos_Ciclo!$H$2:$H$315,1,FALSE)</f>
        <v>#N/A</v>
      </c>
    </row>
    <row r="79" spans="1:22" x14ac:dyDescent="0.25">
      <c r="A79" s="14" t="s">
        <v>1135</v>
      </c>
      <c r="B79" s="116" t="s">
        <v>1136</v>
      </c>
      <c r="C79" s="116" t="s">
        <v>57</v>
      </c>
      <c r="D79" s="117">
        <v>0</v>
      </c>
      <c r="E79" s="120">
        <v>0</v>
      </c>
      <c r="F79" s="117">
        <v>0</v>
      </c>
      <c r="G79" s="120">
        <v>0</v>
      </c>
      <c r="H79" s="117">
        <v>0</v>
      </c>
      <c r="I79" s="120">
        <v>0</v>
      </c>
      <c r="J79" s="117">
        <v>0</v>
      </c>
      <c r="K79" s="120">
        <v>0</v>
      </c>
      <c r="L79" s="117">
        <v>0</v>
      </c>
      <c r="M79" s="120">
        <v>0</v>
      </c>
      <c r="N79" s="117">
        <v>0</v>
      </c>
      <c r="O79" s="120">
        <v>0</v>
      </c>
      <c r="P79" s="117">
        <v>0</v>
      </c>
      <c r="Q79" s="120">
        <v>0</v>
      </c>
      <c r="R79" s="117">
        <v>0</v>
      </c>
      <c r="S79" s="120">
        <v>0</v>
      </c>
      <c r="T79" s="117">
        <v>0</v>
      </c>
      <c r="U79" s="119">
        <v>0</v>
      </c>
      <c r="V79" t="e">
        <f>VLOOKUP(A79,Projetos_Ciclo!$H$2:$H$315,1,FALSE)</f>
        <v>#N/A</v>
      </c>
    </row>
    <row r="80" spans="1:22" x14ac:dyDescent="0.25">
      <c r="A80" s="111" t="s">
        <v>1395</v>
      </c>
      <c r="B80" s="112" t="s">
        <v>1396</v>
      </c>
      <c r="C80" s="112" t="s">
        <v>1397</v>
      </c>
      <c r="D80" s="113">
        <v>3046</v>
      </c>
      <c r="E80" s="114">
        <v>0</v>
      </c>
      <c r="F80" s="113">
        <v>988</v>
      </c>
      <c r="G80" s="114">
        <v>0</v>
      </c>
      <c r="H80" s="113">
        <v>0</v>
      </c>
      <c r="I80" s="114">
        <v>0</v>
      </c>
      <c r="J80" s="113">
        <v>0</v>
      </c>
      <c r="K80" s="114">
        <v>0</v>
      </c>
      <c r="L80" s="113">
        <v>0</v>
      </c>
      <c r="M80" s="114">
        <v>0</v>
      </c>
      <c r="N80" s="113">
        <v>0</v>
      </c>
      <c r="O80" s="114">
        <v>1050</v>
      </c>
      <c r="P80" s="113">
        <v>1008</v>
      </c>
      <c r="Q80" s="114">
        <v>0</v>
      </c>
      <c r="R80" s="113">
        <v>0</v>
      </c>
      <c r="S80" s="114">
        <v>0</v>
      </c>
      <c r="T80" s="113">
        <v>0</v>
      </c>
      <c r="U80" s="115">
        <v>0</v>
      </c>
      <c r="V80" t="e">
        <f>VLOOKUP(A80,Projetos_Ciclo!$H$2:$H$315,1,FALSE)</f>
        <v>#N/A</v>
      </c>
    </row>
    <row r="81" spans="1:22" x14ac:dyDescent="0.25">
      <c r="A81" s="14" t="s">
        <v>1453</v>
      </c>
      <c r="B81" s="116" t="s">
        <v>1454</v>
      </c>
      <c r="C81" s="116" t="s">
        <v>1455</v>
      </c>
      <c r="D81" s="117">
        <v>0</v>
      </c>
      <c r="E81" s="120">
        <v>0</v>
      </c>
      <c r="F81" s="117">
        <v>0</v>
      </c>
      <c r="G81" s="120">
        <v>988</v>
      </c>
      <c r="H81" s="117">
        <v>0</v>
      </c>
      <c r="I81" s="120">
        <v>0</v>
      </c>
      <c r="J81" s="117">
        <v>0</v>
      </c>
      <c r="K81" s="120">
        <v>0</v>
      </c>
      <c r="L81" s="117">
        <v>988</v>
      </c>
      <c r="M81" s="120">
        <v>988</v>
      </c>
      <c r="N81" s="117">
        <v>0</v>
      </c>
      <c r="O81" s="120">
        <v>0</v>
      </c>
      <c r="P81" s="117">
        <v>0</v>
      </c>
      <c r="Q81" s="120">
        <v>0</v>
      </c>
      <c r="R81" s="117">
        <v>0</v>
      </c>
      <c r="S81" s="120">
        <v>0</v>
      </c>
      <c r="T81" s="117">
        <v>0</v>
      </c>
      <c r="U81" s="119">
        <v>0</v>
      </c>
      <c r="V81" t="str">
        <f>VLOOKUP(A81,Projetos_Ciclo!$H$2:$H$315,1,FALSE)</f>
        <v>MT00218</v>
      </c>
    </row>
    <row r="82" spans="1:22" x14ac:dyDescent="0.25">
      <c r="A82" s="111" t="s">
        <v>520</v>
      </c>
      <c r="B82" s="112" t="s">
        <v>1137</v>
      </c>
      <c r="C82" s="112" t="s">
        <v>57</v>
      </c>
      <c r="D82" s="113">
        <v>0</v>
      </c>
      <c r="E82" s="114">
        <v>0</v>
      </c>
      <c r="F82" s="113">
        <v>0</v>
      </c>
      <c r="G82" s="114">
        <v>0</v>
      </c>
      <c r="H82" s="113">
        <v>0</v>
      </c>
      <c r="I82" s="114">
        <v>0</v>
      </c>
      <c r="J82" s="113">
        <v>0</v>
      </c>
      <c r="K82" s="114">
        <v>0</v>
      </c>
      <c r="L82" s="113">
        <v>0</v>
      </c>
      <c r="M82" s="114">
        <v>0</v>
      </c>
      <c r="N82" s="113">
        <v>0</v>
      </c>
      <c r="O82" s="114">
        <v>0</v>
      </c>
      <c r="P82" s="113">
        <v>0</v>
      </c>
      <c r="Q82" s="114">
        <v>0</v>
      </c>
      <c r="R82" s="113">
        <v>0</v>
      </c>
      <c r="S82" s="114">
        <v>0</v>
      </c>
      <c r="T82" s="113">
        <v>0</v>
      </c>
      <c r="U82" s="115">
        <v>0</v>
      </c>
      <c r="V82" t="str">
        <f>VLOOKUP(A82,Projetos_Ciclo!$H$2:$H$315,1,FALSE)</f>
        <v>NA</v>
      </c>
    </row>
    <row r="83" spans="1:22" x14ac:dyDescent="0.25">
      <c r="A83" s="14" t="s">
        <v>1138</v>
      </c>
      <c r="B83" s="116" t="s">
        <v>1139</v>
      </c>
      <c r="C83" s="116" t="s">
        <v>57</v>
      </c>
      <c r="D83" s="117">
        <v>630.09999999999991</v>
      </c>
      <c r="E83" s="120">
        <v>0</v>
      </c>
      <c r="F83" s="117">
        <v>0</v>
      </c>
      <c r="G83" s="120">
        <v>0</v>
      </c>
      <c r="H83" s="117">
        <v>0</v>
      </c>
      <c r="I83" s="120">
        <v>0</v>
      </c>
      <c r="J83" s="117">
        <v>0</v>
      </c>
      <c r="K83" s="120">
        <v>0</v>
      </c>
      <c r="L83" s="117">
        <v>0</v>
      </c>
      <c r="M83" s="120">
        <v>0</v>
      </c>
      <c r="N83" s="117">
        <v>0</v>
      </c>
      <c r="O83" s="120">
        <v>0</v>
      </c>
      <c r="P83" s="117">
        <v>0</v>
      </c>
      <c r="Q83" s="120">
        <v>0</v>
      </c>
      <c r="R83" s="117">
        <v>0</v>
      </c>
      <c r="S83" s="120">
        <v>0</v>
      </c>
      <c r="T83" s="117">
        <v>0</v>
      </c>
      <c r="U83" s="119">
        <v>0</v>
      </c>
      <c r="V83" t="e">
        <f>VLOOKUP(A83,Projetos_Ciclo!$H$2:$H$315,1,FALSE)</f>
        <v>#N/A</v>
      </c>
    </row>
    <row r="84" spans="1:22" x14ac:dyDescent="0.25">
      <c r="A84" s="111" t="s">
        <v>1133</v>
      </c>
      <c r="B84" s="112" t="s">
        <v>1191</v>
      </c>
      <c r="C84" s="112" t="s">
        <v>57</v>
      </c>
      <c r="D84" s="113">
        <v>0</v>
      </c>
      <c r="E84" s="114">
        <v>0</v>
      </c>
      <c r="F84" s="113">
        <v>0</v>
      </c>
      <c r="G84" s="114">
        <v>0</v>
      </c>
      <c r="H84" s="113">
        <v>0</v>
      </c>
      <c r="I84" s="114">
        <v>0</v>
      </c>
      <c r="J84" s="113">
        <v>0</v>
      </c>
      <c r="K84" s="114">
        <v>0</v>
      </c>
      <c r="L84" s="113">
        <v>0</v>
      </c>
      <c r="M84" s="114">
        <v>0</v>
      </c>
      <c r="N84" s="113">
        <v>0</v>
      </c>
      <c r="O84" s="114">
        <v>0</v>
      </c>
      <c r="P84" s="113">
        <v>0</v>
      </c>
      <c r="Q84" s="114">
        <v>0</v>
      </c>
      <c r="R84" s="113">
        <v>0</v>
      </c>
      <c r="S84" s="114">
        <v>0</v>
      </c>
      <c r="T84" s="113">
        <v>0</v>
      </c>
      <c r="U84" s="115">
        <v>0</v>
      </c>
      <c r="V84" t="e">
        <f>VLOOKUP(A84,Projetos_Ciclo!$H$2:$H$315,1,FALSE)</f>
        <v>#N/A</v>
      </c>
    </row>
    <row r="85" spans="1:22" x14ac:dyDescent="0.25">
      <c r="A85" s="14" t="s">
        <v>1135</v>
      </c>
      <c r="B85" s="116" t="s">
        <v>1136</v>
      </c>
      <c r="C85" s="116" t="s">
        <v>57</v>
      </c>
      <c r="D85" s="117">
        <v>0</v>
      </c>
      <c r="E85" s="120">
        <v>0</v>
      </c>
      <c r="F85" s="117">
        <v>0</v>
      </c>
      <c r="G85" s="120">
        <v>0</v>
      </c>
      <c r="H85" s="117">
        <v>0</v>
      </c>
      <c r="I85" s="120">
        <v>0</v>
      </c>
      <c r="J85" s="117">
        <v>0</v>
      </c>
      <c r="K85" s="120">
        <v>0</v>
      </c>
      <c r="L85" s="117">
        <v>0</v>
      </c>
      <c r="M85" s="120">
        <v>0</v>
      </c>
      <c r="N85" s="117">
        <v>0</v>
      </c>
      <c r="O85" s="120">
        <v>0</v>
      </c>
      <c r="P85" s="117">
        <v>0</v>
      </c>
      <c r="Q85" s="120">
        <v>0</v>
      </c>
      <c r="R85" s="117">
        <v>0</v>
      </c>
      <c r="S85" s="120">
        <v>0</v>
      </c>
      <c r="T85" s="117">
        <v>0</v>
      </c>
      <c r="U85" s="119">
        <v>0</v>
      </c>
      <c r="V85" t="e">
        <f>VLOOKUP(A85,Projetos_Ciclo!$H$2:$H$315,1,FALSE)</f>
        <v>#N/A</v>
      </c>
    </row>
    <row r="86" spans="1:22" x14ac:dyDescent="0.25">
      <c r="A86" s="111" t="s">
        <v>1398</v>
      </c>
      <c r="B86" s="112" t="s">
        <v>1399</v>
      </c>
      <c r="C86" s="112" t="s">
        <v>1400</v>
      </c>
      <c r="D86" s="113">
        <v>2113</v>
      </c>
      <c r="E86" s="114">
        <v>0</v>
      </c>
      <c r="F86" s="113">
        <v>1787</v>
      </c>
      <c r="G86" s="114">
        <v>0</v>
      </c>
      <c r="H86" s="113">
        <v>551</v>
      </c>
      <c r="I86" s="114">
        <v>0</v>
      </c>
      <c r="J86" s="113">
        <v>0</v>
      </c>
      <c r="K86" s="114">
        <v>0</v>
      </c>
      <c r="L86" s="113">
        <v>0</v>
      </c>
      <c r="M86" s="114">
        <v>0</v>
      </c>
      <c r="N86" s="113">
        <v>326</v>
      </c>
      <c r="O86" s="114">
        <v>0</v>
      </c>
      <c r="P86" s="113">
        <v>0</v>
      </c>
      <c r="Q86" s="114">
        <v>0</v>
      </c>
      <c r="R86" s="113">
        <v>0</v>
      </c>
      <c r="S86" s="114">
        <v>0</v>
      </c>
      <c r="T86" s="113">
        <v>0</v>
      </c>
      <c r="U86" s="115">
        <v>0</v>
      </c>
      <c r="V86" t="e">
        <f>VLOOKUP(A86,Projetos_Ciclo!$H$2:$H$315,1,FALSE)</f>
        <v>#N/A</v>
      </c>
    </row>
    <row r="87" spans="1:22" x14ac:dyDescent="0.25">
      <c r="A87" s="14" t="s">
        <v>1192</v>
      </c>
      <c r="B87" s="116" t="s">
        <v>1193</v>
      </c>
      <c r="C87" s="116" t="s">
        <v>1194</v>
      </c>
      <c r="D87" s="117">
        <v>0</v>
      </c>
      <c r="E87" s="120">
        <v>0</v>
      </c>
      <c r="F87" s="117">
        <v>0</v>
      </c>
      <c r="G87" s="120">
        <v>5</v>
      </c>
      <c r="H87" s="117">
        <v>0</v>
      </c>
      <c r="I87" s="120">
        <v>4.3380299806594849</v>
      </c>
      <c r="J87" s="117">
        <v>0</v>
      </c>
      <c r="K87" s="120">
        <v>4.3380299806594849</v>
      </c>
      <c r="L87" s="117">
        <v>5.7958297729492188</v>
      </c>
      <c r="M87" s="120">
        <v>10.133859753608704</v>
      </c>
      <c r="N87" s="117">
        <v>0</v>
      </c>
      <c r="O87" s="120">
        <v>0</v>
      </c>
      <c r="P87" s="117">
        <v>0</v>
      </c>
      <c r="Q87" s="120">
        <v>0</v>
      </c>
      <c r="R87" s="117">
        <v>0</v>
      </c>
      <c r="S87" s="120">
        <v>0</v>
      </c>
      <c r="T87" s="117">
        <v>0</v>
      </c>
      <c r="U87" s="119">
        <v>0</v>
      </c>
      <c r="V87" t="str">
        <f>VLOOKUP(A87,Projetos_Ciclo!$H$2:$H$315,1,FALSE)</f>
        <v>MT00516</v>
      </c>
    </row>
    <row r="88" spans="1:22" x14ac:dyDescent="0.25">
      <c r="A88" s="111" t="s">
        <v>1195</v>
      </c>
      <c r="B88" s="112" t="s">
        <v>1196</v>
      </c>
      <c r="C88" s="112" t="s">
        <v>1197</v>
      </c>
      <c r="D88" s="113">
        <v>0</v>
      </c>
      <c r="E88" s="114">
        <v>0</v>
      </c>
      <c r="F88" s="113">
        <v>0</v>
      </c>
      <c r="G88" s="114">
        <v>1082</v>
      </c>
      <c r="H88" s="113">
        <v>0</v>
      </c>
      <c r="I88" s="114">
        <v>78.555680394172668</v>
      </c>
      <c r="J88" s="113">
        <v>0</v>
      </c>
      <c r="K88" s="114">
        <v>78.555680394172668</v>
      </c>
      <c r="L88" s="113">
        <v>906.07032950618668</v>
      </c>
      <c r="M88" s="114">
        <v>984.62600990035935</v>
      </c>
      <c r="N88" s="113">
        <v>0</v>
      </c>
      <c r="O88" s="114">
        <v>0</v>
      </c>
      <c r="P88" s="113">
        <v>0</v>
      </c>
      <c r="Q88" s="114">
        <v>0</v>
      </c>
      <c r="R88" s="113">
        <v>0</v>
      </c>
      <c r="S88" s="114">
        <v>0</v>
      </c>
      <c r="T88" s="113">
        <v>0</v>
      </c>
      <c r="U88" s="115">
        <v>0</v>
      </c>
      <c r="V88" t="str">
        <f>VLOOKUP(A88,Projetos_Ciclo!$H$2:$H$315,1,FALSE)</f>
        <v>MT01017</v>
      </c>
    </row>
    <row r="89" spans="1:22" x14ac:dyDescent="0.25">
      <c r="A89" s="14" t="s">
        <v>1871</v>
      </c>
      <c r="B89" s="116" t="s">
        <v>1872</v>
      </c>
      <c r="C89" s="116" t="s">
        <v>1873</v>
      </c>
      <c r="D89" s="117">
        <v>0</v>
      </c>
      <c r="E89" s="120">
        <v>0</v>
      </c>
      <c r="F89" s="117">
        <v>0</v>
      </c>
      <c r="G89" s="120">
        <v>0</v>
      </c>
      <c r="H89" s="117">
        <v>0</v>
      </c>
      <c r="I89" s="120">
        <v>0</v>
      </c>
      <c r="J89" s="117">
        <v>0</v>
      </c>
      <c r="K89" s="120">
        <v>0</v>
      </c>
      <c r="L89" s="117">
        <v>0</v>
      </c>
      <c r="M89" s="120">
        <v>0</v>
      </c>
      <c r="N89" s="117">
        <v>0</v>
      </c>
      <c r="O89" s="120">
        <v>0</v>
      </c>
      <c r="P89" s="117">
        <v>0</v>
      </c>
      <c r="Q89" s="120">
        <v>0</v>
      </c>
      <c r="R89" s="117">
        <v>0</v>
      </c>
      <c r="S89" s="120">
        <v>0</v>
      </c>
      <c r="T89" s="117">
        <v>0</v>
      </c>
      <c r="U89" s="119">
        <v>0</v>
      </c>
      <c r="V89" t="str">
        <f>VLOOKUP(A89,Projetos_Ciclo!$H$2:$H$315,1,FALSE)</f>
        <v>MT50118</v>
      </c>
    </row>
    <row r="90" spans="1:22" x14ac:dyDescent="0.25">
      <c r="A90" s="111" t="s">
        <v>520</v>
      </c>
      <c r="B90" s="112" t="s">
        <v>1198</v>
      </c>
      <c r="C90" s="112" t="s">
        <v>57</v>
      </c>
      <c r="D90" s="113">
        <v>4497</v>
      </c>
      <c r="E90" s="114">
        <v>0</v>
      </c>
      <c r="F90" s="113">
        <v>0</v>
      </c>
      <c r="G90" s="114">
        <v>0</v>
      </c>
      <c r="H90" s="113">
        <v>0</v>
      </c>
      <c r="I90" s="114">
        <v>0</v>
      </c>
      <c r="J90" s="113">
        <v>0</v>
      </c>
      <c r="K90" s="114">
        <v>0</v>
      </c>
      <c r="L90" s="113">
        <v>0</v>
      </c>
      <c r="M90" s="114">
        <v>0</v>
      </c>
      <c r="N90" s="113">
        <v>1170</v>
      </c>
      <c r="O90" s="114">
        <v>777</v>
      </c>
      <c r="P90" s="113">
        <v>2550</v>
      </c>
      <c r="Q90" s="114">
        <v>0</v>
      </c>
      <c r="R90" s="113">
        <v>0</v>
      </c>
      <c r="S90" s="114">
        <v>0</v>
      </c>
      <c r="T90" s="113">
        <v>0</v>
      </c>
      <c r="U90" s="115">
        <v>0</v>
      </c>
      <c r="V90" t="str">
        <f>VLOOKUP(A90,Projetos_Ciclo!$H$2:$H$315,1,FALSE)</f>
        <v>NA</v>
      </c>
    </row>
    <row r="91" spans="1:22" x14ac:dyDescent="0.25">
      <c r="A91" s="14" t="s">
        <v>1199</v>
      </c>
      <c r="B91" s="116" t="s">
        <v>1200</v>
      </c>
      <c r="C91" s="116" t="s">
        <v>1201</v>
      </c>
      <c r="D91" s="117">
        <v>0</v>
      </c>
      <c r="E91" s="120">
        <v>0</v>
      </c>
      <c r="F91" s="117">
        <v>0</v>
      </c>
      <c r="G91" s="120">
        <v>700</v>
      </c>
      <c r="H91" s="117">
        <v>0</v>
      </c>
      <c r="I91" s="120">
        <v>151.02630925178528</v>
      </c>
      <c r="J91" s="117">
        <v>0</v>
      </c>
      <c r="K91" s="120">
        <v>151.02630925178528</v>
      </c>
      <c r="L91" s="117">
        <v>516</v>
      </c>
      <c r="M91" s="120">
        <v>667.02630925178528</v>
      </c>
      <c r="N91" s="117">
        <v>0</v>
      </c>
      <c r="O91" s="120">
        <v>0</v>
      </c>
      <c r="P91" s="117">
        <v>0</v>
      </c>
      <c r="Q91" s="120">
        <v>0</v>
      </c>
      <c r="R91" s="117">
        <v>0</v>
      </c>
      <c r="S91" s="120">
        <v>0</v>
      </c>
      <c r="T91" s="117">
        <v>0</v>
      </c>
      <c r="U91" s="119">
        <v>0</v>
      </c>
      <c r="V91" t="str">
        <f>VLOOKUP(A91,Projetos_Ciclo!$H$2:$H$315,1,FALSE)</f>
        <v>PO00417</v>
      </c>
    </row>
    <row r="92" spans="1:22" x14ac:dyDescent="0.25">
      <c r="A92" s="111" t="s">
        <v>1138</v>
      </c>
      <c r="B92" s="112" t="s">
        <v>1139</v>
      </c>
      <c r="C92" s="112" t="s">
        <v>57</v>
      </c>
      <c r="D92" s="113">
        <v>28</v>
      </c>
      <c r="E92" s="114">
        <v>0</v>
      </c>
      <c r="F92" s="113">
        <v>0</v>
      </c>
      <c r="G92" s="114">
        <v>0</v>
      </c>
      <c r="H92" s="113">
        <v>0</v>
      </c>
      <c r="I92" s="114">
        <v>0</v>
      </c>
      <c r="J92" s="113">
        <v>0</v>
      </c>
      <c r="K92" s="114">
        <v>0</v>
      </c>
      <c r="L92" s="113">
        <v>0</v>
      </c>
      <c r="M92" s="114">
        <v>0</v>
      </c>
      <c r="N92" s="113">
        <v>0</v>
      </c>
      <c r="O92" s="114">
        <v>0</v>
      </c>
      <c r="P92" s="113">
        <v>0</v>
      </c>
      <c r="Q92" s="114">
        <v>0</v>
      </c>
      <c r="R92" s="113">
        <v>0</v>
      </c>
      <c r="S92" s="114">
        <v>0</v>
      </c>
      <c r="T92" s="113">
        <v>0</v>
      </c>
      <c r="U92" s="115">
        <v>0</v>
      </c>
      <c r="V92" t="e">
        <f>VLOOKUP(A92,Projetos_Ciclo!$H$2:$H$315,1,FALSE)</f>
        <v>#N/A</v>
      </c>
    </row>
    <row r="93" spans="1:22" x14ac:dyDescent="0.25">
      <c r="A93" s="14" t="s">
        <v>1811</v>
      </c>
      <c r="B93" s="116" t="s">
        <v>1812</v>
      </c>
      <c r="C93" s="116" t="s">
        <v>1810</v>
      </c>
      <c r="D93" s="117">
        <v>0</v>
      </c>
      <c r="E93" s="120">
        <v>0</v>
      </c>
      <c r="F93" s="117">
        <v>0</v>
      </c>
      <c r="G93" s="120">
        <v>53</v>
      </c>
      <c r="H93" s="117">
        <v>0</v>
      </c>
      <c r="I93" s="120">
        <v>0</v>
      </c>
      <c r="J93" s="117">
        <v>0</v>
      </c>
      <c r="K93" s="120">
        <v>0</v>
      </c>
      <c r="L93" s="117">
        <v>46.123210906982422</v>
      </c>
      <c r="M93" s="120">
        <v>46.123210906982422</v>
      </c>
      <c r="N93" s="117">
        <v>0</v>
      </c>
      <c r="O93" s="120">
        <v>0</v>
      </c>
      <c r="P93" s="117">
        <v>0</v>
      </c>
      <c r="Q93" s="120">
        <v>0</v>
      </c>
      <c r="R93" s="117">
        <v>0</v>
      </c>
      <c r="S93" s="120">
        <v>0</v>
      </c>
      <c r="T93" s="117">
        <v>0</v>
      </c>
      <c r="U93" s="119">
        <v>0</v>
      </c>
      <c r="V93" t="str">
        <f>VLOOKUP(A93,Projetos_Ciclo!$H$2:$H$315,1,FALSE)</f>
        <v>AD00118</v>
      </c>
    </row>
    <row r="94" spans="1:22" x14ac:dyDescent="0.25">
      <c r="A94" s="111" t="s">
        <v>1932</v>
      </c>
      <c r="B94" s="112" t="s">
        <v>1933</v>
      </c>
      <c r="C94" s="112" t="s">
        <v>1934</v>
      </c>
      <c r="D94" s="113">
        <v>0</v>
      </c>
      <c r="E94" s="114">
        <v>0</v>
      </c>
      <c r="F94" s="113">
        <v>0</v>
      </c>
      <c r="G94" s="114">
        <v>302</v>
      </c>
      <c r="H94" s="113">
        <v>0</v>
      </c>
      <c r="I94" s="114">
        <v>0</v>
      </c>
      <c r="J94" s="113">
        <v>0</v>
      </c>
      <c r="K94" s="114">
        <v>0</v>
      </c>
      <c r="L94" s="113">
        <v>302.0836181640625</v>
      </c>
      <c r="M94" s="114">
        <v>302.0836181640625</v>
      </c>
      <c r="N94" s="113">
        <v>0</v>
      </c>
      <c r="O94" s="114">
        <v>0</v>
      </c>
      <c r="P94" s="113">
        <v>0</v>
      </c>
      <c r="Q94" s="114">
        <v>0</v>
      </c>
      <c r="R94" s="113">
        <v>0</v>
      </c>
      <c r="S94" s="114">
        <v>0</v>
      </c>
      <c r="T94" s="113">
        <v>0</v>
      </c>
      <c r="U94" s="115">
        <v>0</v>
      </c>
      <c r="V94" t="str">
        <f>VLOOKUP(A94,Projetos_Ciclo!$H$2:$H$315,1,FALSE)</f>
        <v>AD00218</v>
      </c>
    </row>
    <row r="95" spans="1:22" x14ac:dyDescent="0.25">
      <c r="A95" s="14" t="s">
        <v>1133</v>
      </c>
      <c r="B95" s="116" t="s">
        <v>1226</v>
      </c>
      <c r="C95" s="116" t="s">
        <v>57</v>
      </c>
      <c r="D95" s="117">
        <v>0</v>
      </c>
      <c r="E95" s="120">
        <v>0</v>
      </c>
      <c r="F95" s="117">
        <v>0</v>
      </c>
      <c r="G95" s="120">
        <v>0</v>
      </c>
      <c r="H95" s="117">
        <v>0</v>
      </c>
      <c r="I95" s="120">
        <v>0</v>
      </c>
      <c r="J95" s="117">
        <v>0</v>
      </c>
      <c r="K95" s="120">
        <v>0</v>
      </c>
      <c r="L95" s="117">
        <v>0</v>
      </c>
      <c r="M95" s="120">
        <v>0</v>
      </c>
      <c r="N95" s="117">
        <v>0</v>
      </c>
      <c r="O95" s="120">
        <v>0</v>
      </c>
      <c r="P95" s="117">
        <v>0</v>
      </c>
      <c r="Q95" s="120">
        <v>0</v>
      </c>
      <c r="R95" s="117">
        <v>0</v>
      </c>
      <c r="S95" s="120">
        <v>0</v>
      </c>
      <c r="T95" s="117">
        <v>0</v>
      </c>
      <c r="U95" s="119">
        <v>0</v>
      </c>
      <c r="V95" t="e">
        <f>VLOOKUP(A95,Projetos_Ciclo!$H$2:$H$315,1,FALSE)</f>
        <v>#N/A</v>
      </c>
    </row>
    <row r="96" spans="1:22" x14ac:dyDescent="0.25">
      <c r="A96" s="111" t="s">
        <v>1230</v>
      </c>
      <c r="B96" s="112" t="s">
        <v>1231</v>
      </c>
      <c r="C96" s="112" t="s">
        <v>1232</v>
      </c>
      <c r="D96" s="113">
        <v>0</v>
      </c>
      <c r="E96" s="114">
        <v>0</v>
      </c>
      <c r="F96" s="113">
        <v>0</v>
      </c>
      <c r="G96" s="114">
        <v>11</v>
      </c>
      <c r="H96" s="113">
        <v>0</v>
      </c>
      <c r="I96" s="114">
        <v>11.104649901390076</v>
      </c>
      <c r="J96" s="113">
        <v>0</v>
      </c>
      <c r="K96" s="114">
        <v>11.104649901390076</v>
      </c>
      <c r="L96" s="113">
        <v>0</v>
      </c>
      <c r="M96" s="114">
        <v>11.104649901390076</v>
      </c>
      <c r="N96" s="113">
        <v>0</v>
      </c>
      <c r="O96" s="114">
        <v>0</v>
      </c>
      <c r="P96" s="113">
        <v>0</v>
      </c>
      <c r="Q96" s="114">
        <v>0</v>
      </c>
      <c r="R96" s="113">
        <v>0</v>
      </c>
      <c r="S96" s="114">
        <v>0</v>
      </c>
      <c r="T96" s="113">
        <v>0</v>
      </c>
      <c r="U96" s="115">
        <v>0</v>
      </c>
      <c r="V96" t="str">
        <f>VLOOKUP(A96,Projetos_Ciclo!$H$2:$H$315,1,FALSE)</f>
        <v>CD00315</v>
      </c>
    </row>
    <row r="97" spans="1:22" x14ac:dyDescent="0.25">
      <c r="A97" s="14" t="s">
        <v>1135</v>
      </c>
      <c r="B97" s="116" t="s">
        <v>1136</v>
      </c>
      <c r="C97" s="116" t="s">
        <v>57</v>
      </c>
      <c r="D97" s="117">
        <v>0</v>
      </c>
      <c r="E97" s="120">
        <v>0</v>
      </c>
      <c r="F97" s="117">
        <v>0</v>
      </c>
      <c r="G97" s="120">
        <v>0</v>
      </c>
      <c r="H97" s="117">
        <v>0</v>
      </c>
      <c r="I97" s="120">
        <v>0</v>
      </c>
      <c r="J97" s="117">
        <v>0</v>
      </c>
      <c r="K97" s="120">
        <v>0</v>
      </c>
      <c r="L97" s="117">
        <v>0</v>
      </c>
      <c r="M97" s="120">
        <v>0</v>
      </c>
      <c r="N97" s="117">
        <v>0</v>
      </c>
      <c r="O97" s="120">
        <v>0</v>
      </c>
      <c r="P97" s="117">
        <v>0</v>
      </c>
      <c r="Q97" s="120">
        <v>0</v>
      </c>
      <c r="R97" s="117">
        <v>0</v>
      </c>
      <c r="S97" s="120">
        <v>0</v>
      </c>
      <c r="T97" s="117">
        <v>0</v>
      </c>
      <c r="U97" s="119">
        <v>0</v>
      </c>
      <c r="V97" t="e">
        <f>VLOOKUP(A97,Projetos_Ciclo!$H$2:$H$315,1,FALSE)</f>
        <v>#N/A</v>
      </c>
    </row>
    <row r="98" spans="1:22" x14ac:dyDescent="0.25">
      <c r="A98" s="111" t="s">
        <v>1804</v>
      </c>
      <c r="B98" s="112" t="s">
        <v>1813</v>
      </c>
      <c r="C98" s="112" t="s">
        <v>1803</v>
      </c>
      <c r="D98" s="113">
        <v>0</v>
      </c>
      <c r="E98" s="114">
        <v>0</v>
      </c>
      <c r="F98" s="113">
        <v>0</v>
      </c>
      <c r="G98" s="114">
        <v>149</v>
      </c>
      <c r="H98" s="113">
        <v>0</v>
      </c>
      <c r="I98" s="114">
        <v>0</v>
      </c>
      <c r="J98" s="113">
        <v>0</v>
      </c>
      <c r="K98" s="114">
        <v>0</v>
      </c>
      <c r="L98" s="113">
        <v>137.33770132064819</v>
      </c>
      <c r="M98" s="114">
        <v>137.33770132064819</v>
      </c>
      <c r="N98" s="113">
        <v>0</v>
      </c>
      <c r="O98" s="114">
        <v>0</v>
      </c>
      <c r="P98" s="113">
        <v>0</v>
      </c>
      <c r="Q98" s="114">
        <v>0</v>
      </c>
      <c r="R98" s="113">
        <v>0</v>
      </c>
      <c r="S98" s="114">
        <v>0</v>
      </c>
      <c r="T98" s="113">
        <v>0</v>
      </c>
      <c r="U98" s="115">
        <v>0</v>
      </c>
      <c r="V98" t="str">
        <f>VLOOKUP(A98,Projetos_Ciclo!$H$2:$H$315,1,FALSE)</f>
        <v>EA00118</v>
      </c>
    </row>
    <row r="99" spans="1:22" x14ac:dyDescent="0.25">
      <c r="A99" s="14" t="s">
        <v>1675</v>
      </c>
      <c r="B99" s="116" t="s">
        <v>1814</v>
      </c>
      <c r="C99" s="116" t="s">
        <v>1677</v>
      </c>
      <c r="D99" s="117">
        <v>0</v>
      </c>
      <c r="E99" s="120">
        <v>0</v>
      </c>
      <c r="F99" s="117">
        <v>0</v>
      </c>
      <c r="G99" s="120">
        <v>405</v>
      </c>
      <c r="H99" s="117">
        <v>0</v>
      </c>
      <c r="I99" s="120">
        <v>0</v>
      </c>
      <c r="J99" s="117">
        <v>0</v>
      </c>
      <c r="K99" s="120">
        <v>0</v>
      </c>
      <c r="L99" s="117">
        <v>387.6432056427002</v>
      </c>
      <c r="M99" s="120">
        <v>387.6432056427002</v>
      </c>
      <c r="N99" s="117">
        <v>0</v>
      </c>
      <c r="O99" s="120">
        <v>0</v>
      </c>
      <c r="P99" s="117">
        <v>0</v>
      </c>
      <c r="Q99" s="120">
        <v>0</v>
      </c>
      <c r="R99" s="117">
        <v>0</v>
      </c>
      <c r="S99" s="120">
        <v>0</v>
      </c>
      <c r="T99" s="117">
        <v>0</v>
      </c>
      <c r="U99" s="119">
        <v>0</v>
      </c>
      <c r="V99" t="str">
        <f>VLOOKUP(A99,Projetos_Ciclo!$H$2:$H$315,1,FALSE)</f>
        <v>EM00118</v>
      </c>
    </row>
    <row r="100" spans="1:22" x14ac:dyDescent="0.25">
      <c r="A100" s="111" t="s">
        <v>1233</v>
      </c>
      <c r="B100" s="112" t="s">
        <v>1234</v>
      </c>
      <c r="C100" s="112" t="s">
        <v>1235</v>
      </c>
      <c r="D100" s="113">
        <v>2155</v>
      </c>
      <c r="E100" s="114">
        <v>0</v>
      </c>
      <c r="F100" s="113">
        <v>1565</v>
      </c>
      <c r="G100" s="114">
        <v>0</v>
      </c>
      <c r="H100" s="113">
        <v>25</v>
      </c>
      <c r="I100" s="114">
        <v>0</v>
      </c>
      <c r="J100" s="113">
        <v>0</v>
      </c>
      <c r="K100" s="114">
        <v>0</v>
      </c>
      <c r="L100" s="113">
        <v>0</v>
      </c>
      <c r="M100" s="114">
        <v>0</v>
      </c>
      <c r="N100" s="113">
        <v>240</v>
      </c>
      <c r="O100" s="114">
        <v>350</v>
      </c>
      <c r="P100" s="113">
        <v>0</v>
      </c>
      <c r="Q100" s="114">
        <v>0</v>
      </c>
      <c r="R100" s="113">
        <v>0</v>
      </c>
      <c r="S100" s="114">
        <v>0</v>
      </c>
      <c r="T100" s="113">
        <v>0</v>
      </c>
      <c r="U100" s="115">
        <v>0</v>
      </c>
      <c r="V100" t="e">
        <f>VLOOKUP(A100,Projetos_Ciclo!$H$2:$H$315,1,FALSE)</f>
        <v>#N/A</v>
      </c>
    </row>
    <row r="101" spans="1:22" x14ac:dyDescent="0.25">
      <c r="A101" s="14" t="s">
        <v>1567</v>
      </c>
      <c r="B101" s="116" t="s">
        <v>1568</v>
      </c>
      <c r="C101" s="116" t="s">
        <v>1569</v>
      </c>
      <c r="D101" s="117">
        <v>0</v>
      </c>
      <c r="E101" s="120">
        <v>0</v>
      </c>
      <c r="F101" s="117">
        <v>0</v>
      </c>
      <c r="G101" s="120">
        <v>0</v>
      </c>
      <c r="H101" s="117">
        <v>0</v>
      </c>
      <c r="I101" s="120">
        <v>0</v>
      </c>
      <c r="J101" s="117">
        <v>0</v>
      </c>
      <c r="K101" s="120">
        <v>0</v>
      </c>
      <c r="L101" s="117">
        <v>0</v>
      </c>
      <c r="M101" s="120">
        <v>0</v>
      </c>
      <c r="N101" s="117">
        <v>0</v>
      </c>
      <c r="O101" s="120">
        <v>0</v>
      </c>
      <c r="P101" s="117">
        <v>0</v>
      </c>
      <c r="Q101" s="120">
        <v>0</v>
      </c>
      <c r="R101" s="117">
        <v>0</v>
      </c>
      <c r="S101" s="120">
        <v>0</v>
      </c>
      <c r="T101" s="117">
        <v>0</v>
      </c>
      <c r="U101" s="119">
        <v>0</v>
      </c>
      <c r="V101" t="str">
        <f>VLOOKUP(A101,Projetos_Ciclo!$H$2:$H$315,1,FALSE)</f>
        <v>GR00118</v>
      </c>
    </row>
    <row r="102" spans="1:22" x14ac:dyDescent="0.25">
      <c r="A102" s="111" t="s">
        <v>1364</v>
      </c>
      <c r="B102" s="112" t="s">
        <v>1016</v>
      </c>
      <c r="C102" s="112" t="s">
        <v>1510</v>
      </c>
      <c r="D102" s="113">
        <v>0</v>
      </c>
      <c r="E102" s="114">
        <v>0</v>
      </c>
      <c r="F102" s="113">
        <v>0</v>
      </c>
      <c r="G102" s="114">
        <v>391</v>
      </c>
      <c r="H102" s="113">
        <v>0</v>
      </c>
      <c r="I102" s="114">
        <v>7.9200000762939453</v>
      </c>
      <c r="J102" s="113">
        <v>0</v>
      </c>
      <c r="K102" s="114">
        <v>7.9200000762939453</v>
      </c>
      <c r="L102" s="113">
        <v>341.97048950195312</v>
      </c>
      <c r="M102" s="114">
        <v>349.89048957824707</v>
      </c>
      <c r="N102" s="113">
        <v>0</v>
      </c>
      <c r="O102" s="114">
        <v>0</v>
      </c>
      <c r="P102" s="113">
        <v>0</v>
      </c>
      <c r="Q102" s="114">
        <v>0</v>
      </c>
      <c r="R102" s="113">
        <v>0</v>
      </c>
      <c r="S102" s="114">
        <v>0</v>
      </c>
      <c r="T102" s="113">
        <v>0</v>
      </c>
      <c r="U102" s="115">
        <v>0</v>
      </c>
      <c r="V102" t="str">
        <f>VLOOKUP(A102,Projetos_Ciclo!$H$2:$H$315,1,FALSE)</f>
        <v>MD00118</v>
      </c>
    </row>
    <row r="103" spans="1:22" x14ac:dyDescent="0.25">
      <c r="A103" s="14" t="s">
        <v>520</v>
      </c>
      <c r="B103" s="116" t="s">
        <v>1137</v>
      </c>
      <c r="C103" s="116" t="s">
        <v>57</v>
      </c>
      <c r="D103" s="117">
        <v>11077</v>
      </c>
      <c r="E103" s="120">
        <v>0</v>
      </c>
      <c r="F103" s="117">
        <v>0</v>
      </c>
      <c r="G103" s="120">
        <v>0</v>
      </c>
      <c r="H103" s="117">
        <v>0</v>
      </c>
      <c r="I103" s="120">
        <v>0</v>
      </c>
      <c r="J103" s="117">
        <v>0</v>
      </c>
      <c r="K103" s="120">
        <v>0</v>
      </c>
      <c r="L103" s="117">
        <v>0</v>
      </c>
      <c r="M103" s="120">
        <v>0</v>
      </c>
      <c r="N103" s="117">
        <v>1995</v>
      </c>
      <c r="O103" s="120">
        <v>2655</v>
      </c>
      <c r="P103" s="117">
        <v>3898</v>
      </c>
      <c r="Q103" s="120">
        <v>2529</v>
      </c>
      <c r="R103" s="117">
        <v>0</v>
      </c>
      <c r="S103" s="120">
        <v>0</v>
      </c>
      <c r="T103" s="117">
        <v>0</v>
      </c>
      <c r="U103" s="119">
        <v>0</v>
      </c>
      <c r="V103" t="str">
        <f>VLOOKUP(A103,Projetos_Ciclo!$H$2:$H$315,1,FALSE)</f>
        <v>NA</v>
      </c>
    </row>
    <row r="104" spans="1:22" x14ac:dyDescent="0.25">
      <c r="A104" s="111" t="s">
        <v>1507</v>
      </c>
      <c r="B104" s="112" t="s">
        <v>1527</v>
      </c>
      <c r="C104" s="112" t="s">
        <v>1528</v>
      </c>
      <c r="D104" s="113">
        <v>0</v>
      </c>
      <c r="E104" s="114">
        <v>0</v>
      </c>
      <c r="F104" s="113">
        <v>0</v>
      </c>
      <c r="G104" s="114">
        <v>254</v>
      </c>
      <c r="H104" s="113">
        <v>0</v>
      </c>
      <c r="I104" s="114">
        <v>4.5799999237060547</v>
      </c>
      <c r="J104" s="113">
        <v>0</v>
      </c>
      <c r="K104" s="114">
        <v>4.5799999237060547</v>
      </c>
      <c r="L104" s="113">
        <v>205.62700510025024</v>
      </c>
      <c r="M104" s="114">
        <v>210.2070050239563</v>
      </c>
      <c r="N104" s="113">
        <v>0</v>
      </c>
      <c r="O104" s="114">
        <v>0</v>
      </c>
      <c r="P104" s="113">
        <v>0</v>
      </c>
      <c r="Q104" s="114">
        <v>0</v>
      </c>
      <c r="R104" s="113">
        <v>0</v>
      </c>
      <c r="S104" s="114">
        <v>0</v>
      </c>
      <c r="T104" s="113">
        <v>0</v>
      </c>
      <c r="U104" s="115">
        <v>0</v>
      </c>
      <c r="V104" t="str">
        <f>VLOOKUP(A104,Projetos_Ciclo!$H$2:$H$315,1,FALSE)</f>
        <v>RH00218</v>
      </c>
    </row>
    <row r="105" spans="1:22" x14ac:dyDescent="0.25">
      <c r="A105" s="14" t="s">
        <v>1138</v>
      </c>
      <c r="B105" s="116" t="s">
        <v>1139</v>
      </c>
      <c r="C105" s="116" t="s">
        <v>57</v>
      </c>
      <c r="D105" s="117">
        <v>852</v>
      </c>
      <c r="E105" s="120">
        <v>0</v>
      </c>
      <c r="F105" s="117">
        <v>0</v>
      </c>
      <c r="G105" s="120">
        <v>0</v>
      </c>
      <c r="H105" s="117">
        <v>0</v>
      </c>
      <c r="I105" s="120">
        <v>0</v>
      </c>
      <c r="J105" s="117">
        <v>0</v>
      </c>
      <c r="K105" s="120">
        <v>0</v>
      </c>
      <c r="L105" s="117">
        <v>0</v>
      </c>
      <c r="M105" s="120">
        <v>0</v>
      </c>
      <c r="N105" s="117">
        <v>0</v>
      </c>
      <c r="O105" s="120">
        <v>0</v>
      </c>
      <c r="P105" s="117">
        <v>0</v>
      </c>
      <c r="Q105" s="120">
        <v>0</v>
      </c>
      <c r="R105" s="117">
        <v>0</v>
      </c>
      <c r="S105" s="120">
        <v>0</v>
      </c>
      <c r="T105" s="117">
        <v>0</v>
      </c>
      <c r="U105" s="119">
        <v>0</v>
      </c>
      <c r="V105" t="e">
        <f>VLOOKUP(A105,Projetos_Ciclo!$H$2:$H$315,1,FALSE)</f>
        <v>#N/A</v>
      </c>
    </row>
    <row r="106" spans="1:22" x14ac:dyDescent="0.25">
      <c r="A106" s="111" t="s">
        <v>1133</v>
      </c>
      <c r="B106" s="112" t="s">
        <v>1134</v>
      </c>
      <c r="C106" s="112" t="s">
        <v>57</v>
      </c>
      <c r="D106" s="113">
        <v>0</v>
      </c>
      <c r="E106" s="114">
        <v>0</v>
      </c>
      <c r="F106" s="113">
        <v>0</v>
      </c>
      <c r="G106" s="114">
        <v>0</v>
      </c>
      <c r="H106" s="113">
        <v>0</v>
      </c>
      <c r="I106" s="114">
        <v>0</v>
      </c>
      <c r="J106" s="113">
        <v>0</v>
      </c>
      <c r="K106" s="114">
        <v>0</v>
      </c>
      <c r="L106" s="113">
        <v>0</v>
      </c>
      <c r="M106" s="114">
        <v>0</v>
      </c>
      <c r="N106" s="113">
        <v>0</v>
      </c>
      <c r="O106" s="114">
        <v>0</v>
      </c>
      <c r="P106" s="113">
        <v>0</v>
      </c>
      <c r="Q106" s="114">
        <v>0</v>
      </c>
      <c r="R106" s="113">
        <v>0</v>
      </c>
      <c r="S106" s="114">
        <v>0</v>
      </c>
      <c r="T106" s="113">
        <v>0</v>
      </c>
      <c r="U106" s="115">
        <v>0</v>
      </c>
      <c r="V106" t="e">
        <f>VLOOKUP(A106,Projetos_Ciclo!$H$2:$H$315,1,FALSE)</f>
        <v>#N/A</v>
      </c>
    </row>
    <row r="107" spans="1:22" x14ac:dyDescent="0.25">
      <c r="A107" s="14" t="s">
        <v>1096</v>
      </c>
      <c r="B107" s="116" t="s">
        <v>1239</v>
      </c>
      <c r="C107" s="116" t="s">
        <v>1097</v>
      </c>
      <c r="D107" s="117">
        <v>0</v>
      </c>
      <c r="E107" s="120">
        <v>0</v>
      </c>
      <c r="F107" s="117">
        <v>0</v>
      </c>
      <c r="G107" s="120">
        <v>54</v>
      </c>
      <c r="H107" s="117">
        <v>0</v>
      </c>
      <c r="I107" s="120">
        <v>54.296999216079712</v>
      </c>
      <c r="J107" s="117">
        <v>0</v>
      </c>
      <c r="K107" s="120">
        <v>54.296999216079712</v>
      </c>
      <c r="L107" s="117">
        <v>0</v>
      </c>
      <c r="M107" s="120">
        <v>54.296999216079712</v>
      </c>
      <c r="N107" s="117">
        <v>0</v>
      </c>
      <c r="O107" s="120">
        <v>0</v>
      </c>
      <c r="P107" s="117">
        <v>0</v>
      </c>
      <c r="Q107" s="120">
        <v>0</v>
      </c>
      <c r="R107" s="117">
        <v>0</v>
      </c>
      <c r="S107" s="120">
        <v>0</v>
      </c>
      <c r="T107" s="117">
        <v>0</v>
      </c>
      <c r="U107" s="119">
        <v>0</v>
      </c>
      <c r="V107" t="str">
        <f>VLOOKUP(A107,Projetos_Ciclo!$H$2:$H$315,1,FALSE)</f>
        <v>CD00215</v>
      </c>
    </row>
    <row r="108" spans="1:22" x14ac:dyDescent="0.25">
      <c r="A108" s="111" t="s">
        <v>1587</v>
      </c>
      <c r="B108" s="112" t="s">
        <v>1662</v>
      </c>
      <c r="C108" s="112" t="s">
        <v>1588</v>
      </c>
      <c r="D108" s="113">
        <v>0</v>
      </c>
      <c r="E108" s="114">
        <v>0</v>
      </c>
      <c r="F108" s="113">
        <v>0</v>
      </c>
      <c r="G108" s="114">
        <v>92</v>
      </c>
      <c r="H108" s="113">
        <v>0</v>
      </c>
      <c r="I108" s="114">
        <v>0</v>
      </c>
      <c r="J108" s="113">
        <v>0</v>
      </c>
      <c r="K108" s="114">
        <v>0</v>
      </c>
      <c r="L108" s="113">
        <v>89.942001342773438</v>
      </c>
      <c r="M108" s="114">
        <v>89.942001342773438</v>
      </c>
      <c r="N108" s="113">
        <v>0</v>
      </c>
      <c r="O108" s="114">
        <v>0</v>
      </c>
      <c r="P108" s="113">
        <v>0</v>
      </c>
      <c r="Q108" s="114">
        <v>0</v>
      </c>
      <c r="R108" s="113">
        <v>0</v>
      </c>
      <c r="S108" s="114">
        <v>0</v>
      </c>
      <c r="T108" s="113">
        <v>0</v>
      </c>
      <c r="U108" s="115">
        <v>0</v>
      </c>
      <c r="V108" t="str">
        <f>VLOOKUP(A108,Projetos_Ciclo!$H$2:$H$315,1,FALSE)</f>
        <v>CE00118</v>
      </c>
    </row>
    <row r="109" spans="1:22" x14ac:dyDescent="0.25">
      <c r="A109" s="14" t="s">
        <v>1135</v>
      </c>
      <c r="B109" s="116" t="s">
        <v>1136</v>
      </c>
      <c r="C109" s="116" t="s">
        <v>57</v>
      </c>
      <c r="D109" s="117">
        <v>0</v>
      </c>
      <c r="E109" s="120">
        <v>0</v>
      </c>
      <c r="F109" s="117">
        <v>0</v>
      </c>
      <c r="G109" s="120">
        <v>0</v>
      </c>
      <c r="H109" s="117">
        <v>0</v>
      </c>
      <c r="I109" s="120">
        <v>0</v>
      </c>
      <c r="J109" s="117">
        <v>0</v>
      </c>
      <c r="K109" s="120">
        <v>0</v>
      </c>
      <c r="L109" s="117">
        <v>0</v>
      </c>
      <c r="M109" s="120">
        <v>0</v>
      </c>
      <c r="N109" s="117">
        <v>0</v>
      </c>
      <c r="O109" s="120">
        <v>0</v>
      </c>
      <c r="P109" s="117">
        <v>0</v>
      </c>
      <c r="Q109" s="120">
        <v>0</v>
      </c>
      <c r="R109" s="117">
        <v>0</v>
      </c>
      <c r="S109" s="120">
        <v>0</v>
      </c>
      <c r="T109" s="117">
        <v>0</v>
      </c>
      <c r="U109" s="119">
        <v>0</v>
      </c>
      <c r="V109" t="e">
        <f>VLOOKUP(A109,Projetos_Ciclo!$H$2:$H$315,1,FALSE)</f>
        <v>#N/A</v>
      </c>
    </row>
    <row r="110" spans="1:22" x14ac:dyDescent="0.25">
      <c r="A110" s="111" t="s">
        <v>1676</v>
      </c>
      <c r="B110" s="112" t="s">
        <v>1798</v>
      </c>
      <c r="C110" s="112" t="s">
        <v>1678</v>
      </c>
      <c r="D110" s="113">
        <v>0</v>
      </c>
      <c r="E110" s="114">
        <v>0</v>
      </c>
      <c r="F110" s="113">
        <v>0</v>
      </c>
      <c r="G110" s="114">
        <v>125</v>
      </c>
      <c r="H110" s="113">
        <v>0</v>
      </c>
      <c r="I110" s="114">
        <v>0</v>
      </c>
      <c r="J110" s="113">
        <v>0</v>
      </c>
      <c r="K110" s="114">
        <v>0</v>
      </c>
      <c r="L110" s="113">
        <v>115.20000123977661</v>
      </c>
      <c r="M110" s="114">
        <v>115.20000123977661</v>
      </c>
      <c r="N110" s="113">
        <v>0</v>
      </c>
      <c r="O110" s="114">
        <v>0</v>
      </c>
      <c r="P110" s="113">
        <v>0</v>
      </c>
      <c r="Q110" s="114">
        <v>0</v>
      </c>
      <c r="R110" s="113">
        <v>0</v>
      </c>
      <c r="S110" s="114">
        <v>0</v>
      </c>
      <c r="T110" s="113">
        <v>0</v>
      </c>
      <c r="U110" s="115">
        <v>0</v>
      </c>
      <c r="V110" t="str">
        <f>VLOOKUP(A110,Projetos_Ciclo!$H$2:$H$315,1,FALSE)</f>
        <v>EM00218</v>
      </c>
    </row>
    <row r="111" spans="1:22" x14ac:dyDescent="0.25">
      <c r="A111" s="14" t="s">
        <v>1100</v>
      </c>
      <c r="B111" s="116" t="s">
        <v>1240</v>
      </c>
      <c r="C111" s="116" t="s">
        <v>1241</v>
      </c>
      <c r="D111" s="117">
        <v>0</v>
      </c>
      <c r="E111" s="120">
        <v>0</v>
      </c>
      <c r="F111" s="117">
        <v>0</v>
      </c>
      <c r="G111" s="120">
        <v>0</v>
      </c>
      <c r="H111" s="117">
        <v>0</v>
      </c>
      <c r="I111" s="120">
        <v>-6.9145699739456177</v>
      </c>
      <c r="J111" s="117">
        <v>0</v>
      </c>
      <c r="K111" s="120">
        <v>-6.9145699739456177</v>
      </c>
      <c r="L111" s="117">
        <v>0</v>
      </c>
      <c r="M111" s="120">
        <v>-6.9145699739456177</v>
      </c>
      <c r="N111" s="117">
        <v>0</v>
      </c>
      <c r="O111" s="120">
        <v>0</v>
      </c>
      <c r="P111" s="117">
        <v>0</v>
      </c>
      <c r="Q111" s="120">
        <v>0</v>
      </c>
      <c r="R111" s="117">
        <v>0</v>
      </c>
      <c r="S111" s="120">
        <v>0</v>
      </c>
      <c r="T111" s="117">
        <v>0</v>
      </c>
      <c r="U111" s="119">
        <v>0</v>
      </c>
      <c r="V111" t="str">
        <f>VLOOKUP(A111,Projetos_Ciclo!$H$2:$H$315,1,FALSE)</f>
        <v>GE00214</v>
      </c>
    </row>
    <row r="112" spans="1:22" x14ac:dyDescent="0.25">
      <c r="A112" s="111" t="s">
        <v>1242</v>
      </c>
      <c r="B112" s="112" t="s">
        <v>1243</v>
      </c>
      <c r="C112" s="112" t="s">
        <v>1456</v>
      </c>
      <c r="D112" s="113">
        <v>8006</v>
      </c>
      <c r="E112" s="114">
        <v>0</v>
      </c>
      <c r="F112" s="113">
        <v>3207</v>
      </c>
      <c r="G112" s="114">
        <v>0</v>
      </c>
      <c r="H112" s="113">
        <v>161</v>
      </c>
      <c r="I112" s="114">
        <v>0</v>
      </c>
      <c r="J112" s="113">
        <v>0</v>
      </c>
      <c r="K112" s="114">
        <v>0</v>
      </c>
      <c r="L112" s="113">
        <v>0</v>
      </c>
      <c r="M112" s="114">
        <v>0</v>
      </c>
      <c r="N112" s="113">
        <v>2821</v>
      </c>
      <c r="O112" s="114">
        <v>1978</v>
      </c>
      <c r="P112" s="113">
        <v>0</v>
      </c>
      <c r="Q112" s="114">
        <v>0</v>
      </c>
      <c r="R112" s="113">
        <v>0</v>
      </c>
      <c r="S112" s="114">
        <v>0</v>
      </c>
      <c r="T112" s="113">
        <v>0</v>
      </c>
      <c r="U112" s="115">
        <v>0</v>
      </c>
      <c r="V112" t="e">
        <f>VLOOKUP(A112,Projetos_Ciclo!$H$2:$H$315,1,FALSE)</f>
        <v>#N/A</v>
      </c>
    </row>
    <row r="113" spans="1:22" x14ac:dyDescent="0.25">
      <c r="A113" s="14" t="s">
        <v>1545</v>
      </c>
      <c r="B113" s="116" t="s">
        <v>58</v>
      </c>
      <c r="C113" s="116" t="s">
        <v>1546</v>
      </c>
      <c r="D113" s="117">
        <v>0</v>
      </c>
      <c r="E113" s="120">
        <v>0</v>
      </c>
      <c r="F113" s="117">
        <v>0</v>
      </c>
      <c r="G113" s="120">
        <v>30</v>
      </c>
      <c r="H113" s="117">
        <v>0</v>
      </c>
      <c r="I113" s="120">
        <v>10.5</v>
      </c>
      <c r="J113" s="117">
        <v>0</v>
      </c>
      <c r="K113" s="120">
        <v>10.5</v>
      </c>
      <c r="L113" s="117">
        <v>18.359859466552734</v>
      </c>
      <c r="M113" s="120">
        <v>28.859859466552734</v>
      </c>
      <c r="N113" s="117">
        <v>0</v>
      </c>
      <c r="O113" s="120">
        <v>0</v>
      </c>
      <c r="P113" s="117">
        <v>0</v>
      </c>
      <c r="Q113" s="120">
        <v>0</v>
      </c>
      <c r="R113" s="117">
        <v>0</v>
      </c>
      <c r="S113" s="120">
        <v>0</v>
      </c>
      <c r="T113" s="117">
        <v>0</v>
      </c>
      <c r="U113" s="119">
        <v>0</v>
      </c>
      <c r="V113" t="str">
        <f>VLOOKUP(A113,Projetos_Ciclo!$H$2:$H$315,1,FALSE)</f>
        <v>GE01018</v>
      </c>
    </row>
    <row r="114" spans="1:22" x14ac:dyDescent="0.25">
      <c r="A114" s="111" t="s">
        <v>1596</v>
      </c>
      <c r="B114" s="112" t="s">
        <v>1732</v>
      </c>
      <c r="C114" s="112" t="s">
        <v>1733</v>
      </c>
      <c r="D114" s="113">
        <v>0</v>
      </c>
      <c r="E114" s="114">
        <v>0</v>
      </c>
      <c r="F114" s="113">
        <v>0</v>
      </c>
      <c r="G114" s="114">
        <v>81</v>
      </c>
      <c r="H114" s="113">
        <v>0</v>
      </c>
      <c r="I114" s="114">
        <v>0</v>
      </c>
      <c r="J114" s="113">
        <v>0</v>
      </c>
      <c r="K114" s="114">
        <v>0</v>
      </c>
      <c r="L114" s="113">
        <v>51.427249908447266</v>
      </c>
      <c r="M114" s="114">
        <v>51.427249908447266</v>
      </c>
      <c r="N114" s="113">
        <v>0</v>
      </c>
      <c r="O114" s="114">
        <v>0</v>
      </c>
      <c r="P114" s="113">
        <v>0</v>
      </c>
      <c r="Q114" s="114">
        <v>0</v>
      </c>
      <c r="R114" s="113">
        <v>0</v>
      </c>
      <c r="S114" s="114">
        <v>0</v>
      </c>
      <c r="T114" s="113">
        <v>0</v>
      </c>
      <c r="U114" s="115">
        <v>0</v>
      </c>
      <c r="V114" t="str">
        <f>VLOOKUP(A114,Projetos_Ciclo!$H$2:$H$315,1,FALSE)</f>
        <v>GE01118</v>
      </c>
    </row>
    <row r="115" spans="1:22" x14ac:dyDescent="0.25">
      <c r="A115" s="14" t="s">
        <v>1897</v>
      </c>
      <c r="B115" s="116" t="s">
        <v>1916</v>
      </c>
      <c r="C115" s="116" t="s">
        <v>1898</v>
      </c>
      <c r="D115" s="117">
        <v>0</v>
      </c>
      <c r="E115" s="120">
        <v>0</v>
      </c>
      <c r="F115" s="117">
        <v>0</v>
      </c>
      <c r="G115" s="120">
        <v>25</v>
      </c>
      <c r="H115" s="117">
        <v>0</v>
      </c>
      <c r="I115" s="120">
        <v>0</v>
      </c>
      <c r="J115" s="117">
        <v>0</v>
      </c>
      <c r="K115" s="120">
        <v>0</v>
      </c>
      <c r="L115" s="117">
        <v>0</v>
      </c>
      <c r="M115" s="120">
        <v>0</v>
      </c>
      <c r="N115" s="117">
        <v>0</v>
      </c>
      <c r="O115" s="120">
        <v>0</v>
      </c>
      <c r="P115" s="117">
        <v>0</v>
      </c>
      <c r="Q115" s="120">
        <v>0</v>
      </c>
      <c r="R115" s="117">
        <v>0</v>
      </c>
      <c r="S115" s="120">
        <v>0</v>
      </c>
      <c r="T115" s="117">
        <v>0</v>
      </c>
      <c r="U115" s="119">
        <v>0</v>
      </c>
      <c r="V115" t="str">
        <f>VLOOKUP(A115,Projetos_Ciclo!$H$2:$H$315,1,FALSE)</f>
        <v>GE01418</v>
      </c>
    </row>
    <row r="116" spans="1:22" x14ac:dyDescent="0.25">
      <c r="A116" s="111" t="s">
        <v>1944</v>
      </c>
      <c r="B116" s="112" t="s">
        <v>1970</v>
      </c>
      <c r="C116" s="112" t="s">
        <v>1971</v>
      </c>
      <c r="D116" s="113">
        <v>0</v>
      </c>
      <c r="E116" s="114">
        <v>0</v>
      </c>
      <c r="F116" s="113">
        <v>0</v>
      </c>
      <c r="G116" s="114">
        <v>57</v>
      </c>
      <c r="H116" s="113">
        <v>0</v>
      </c>
      <c r="I116" s="114">
        <v>0</v>
      </c>
      <c r="J116" s="113">
        <v>0</v>
      </c>
      <c r="K116" s="114">
        <v>0</v>
      </c>
      <c r="L116" s="113">
        <v>57</v>
      </c>
      <c r="M116" s="114">
        <v>57</v>
      </c>
      <c r="N116" s="113">
        <v>0</v>
      </c>
      <c r="O116" s="114">
        <v>0</v>
      </c>
      <c r="P116" s="113">
        <v>0</v>
      </c>
      <c r="Q116" s="114">
        <v>0</v>
      </c>
      <c r="R116" s="113">
        <v>0</v>
      </c>
      <c r="S116" s="114">
        <v>0</v>
      </c>
      <c r="T116" s="113">
        <v>0</v>
      </c>
      <c r="U116" s="115">
        <v>0</v>
      </c>
      <c r="V116" t="str">
        <f>VLOOKUP(A116,Projetos_Ciclo!$H$2:$H$315,1,FALSE)</f>
        <v>GE01618</v>
      </c>
    </row>
    <row r="117" spans="1:22" x14ac:dyDescent="0.25">
      <c r="A117" s="14" t="s">
        <v>1945</v>
      </c>
      <c r="B117" s="116" t="s">
        <v>1702</v>
      </c>
      <c r="C117" s="116" t="s">
        <v>1947</v>
      </c>
      <c r="D117" s="117">
        <v>0</v>
      </c>
      <c r="E117" s="120">
        <v>0</v>
      </c>
      <c r="F117" s="117">
        <v>0</v>
      </c>
      <c r="G117" s="120">
        <v>20</v>
      </c>
      <c r="H117" s="117">
        <v>0</v>
      </c>
      <c r="I117" s="120">
        <v>0</v>
      </c>
      <c r="J117" s="117">
        <v>0</v>
      </c>
      <c r="K117" s="120">
        <v>0</v>
      </c>
      <c r="L117" s="117">
        <v>14.564999580383301</v>
      </c>
      <c r="M117" s="120">
        <v>14.564999580383301</v>
      </c>
      <c r="N117" s="117">
        <v>0</v>
      </c>
      <c r="O117" s="120">
        <v>0</v>
      </c>
      <c r="P117" s="117">
        <v>0</v>
      </c>
      <c r="Q117" s="120">
        <v>0</v>
      </c>
      <c r="R117" s="117">
        <v>0</v>
      </c>
      <c r="S117" s="120">
        <v>0</v>
      </c>
      <c r="T117" s="117">
        <v>0</v>
      </c>
      <c r="U117" s="119">
        <v>0</v>
      </c>
      <c r="V117" t="str">
        <f>VLOOKUP(A117,Projetos_Ciclo!$H$2:$H$315,1,FALSE)</f>
        <v>GE01718</v>
      </c>
    </row>
    <row r="118" spans="1:22" x14ac:dyDescent="0.25">
      <c r="A118" s="111" t="s">
        <v>1844</v>
      </c>
      <c r="B118" s="112" t="s">
        <v>1874</v>
      </c>
      <c r="C118" s="112" t="s">
        <v>1845</v>
      </c>
      <c r="D118" s="113">
        <v>0</v>
      </c>
      <c r="E118" s="114">
        <v>0</v>
      </c>
      <c r="F118" s="113">
        <v>0</v>
      </c>
      <c r="G118" s="114">
        <v>114</v>
      </c>
      <c r="H118" s="113">
        <v>0</v>
      </c>
      <c r="I118" s="114">
        <v>0</v>
      </c>
      <c r="J118" s="113">
        <v>0</v>
      </c>
      <c r="K118" s="114">
        <v>0</v>
      </c>
      <c r="L118" s="113">
        <v>0</v>
      </c>
      <c r="M118" s="114">
        <v>0</v>
      </c>
      <c r="N118" s="113">
        <v>0</v>
      </c>
      <c r="O118" s="114">
        <v>0</v>
      </c>
      <c r="P118" s="113">
        <v>0</v>
      </c>
      <c r="Q118" s="114">
        <v>0</v>
      </c>
      <c r="R118" s="113">
        <v>0</v>
      </c>
      <c r="S118" s="114">
        <v>0</v>
      </c>
      <c r="T118" s="113">
        <v>0</v>
      </c>
      <c r="U118" s="115">
        <v>0</v>
      </c>
      <c r="V118" t="str">
        <f>VLOOKUP(A118,Projetos_Ciclo!$H$2:$H$315,1,FALSE)</f>
        <v>MS00118</v>
      </c>
    </row>
    <row r="119" spans="1:22" x14ac:dyDescent="0.25">
      <c r="A119" s="14" t="s">
        <v>1955</v>
      </c>
      <c r="B119" s="116" t="s">
        <v>1965</v>
      </c>
      <c r="C119" s="116" t="s">
        <v>1956</v>
      </c>
      <c r="D119" s="117">
        <v>0</v>
      </c>
      <c r="E119" s="120">
        <v>0</v>
      </c>
      <c r="F119" s="117">
        <v>0</v>
      </c>
      <c r="G119" s="120">
        <v>150</v>
      </c>
      <c r="H119" s="117">
        <v>0</v>
      </c>
      <c r="I119" s="120">
        <v>0</v>
      </c>
      <c r="J119" s="117">
        <v>0</v>
      </c>
      <c r="K119" s="120">
        <v>0</v>
      </c>
      <c r="L119" s="117">
        <v>0</v>
      </c>
      <c r="M119" s="120">
        <v>0</v>
      </c>
      <c r="N119" s="117">
        <v>0</v>
      </c>
      <c r="O119" s="120">
        <v>0</v>
      </c>
      <c r="P119" s="117">
        <v>0</v>
      </c>
      <c r="Q119" s="120">
        <v>0</v>
      </c>
      <c r="R119" s="117">
        <v>0</v>
      </c>
      <c r="S119" s="120">
        <v>0</v>
      </c>
      <c r="T119" s="117">
        <v>0</v>
      </c>
      <c r="U119" s="119">
        <v>0</v>
      </c>
      <c r="V119" t="str">
        <f>VLOOKUP(A119,Projetos_Ciclo!$H$2:$H$315,1,FALSE)</f>
        <v>MS00218</v>
      </c>
    </row>
    <row r="120" spans="1:22" x14ac:dyDescent="0.25">
      <c r="A120" s="111" t="s">
        <v>520</v>
      </c>
      <c r="B120" s="112" t="s">
        <v>1137</v>
      </c>
      <c r="C120" s="112" t="s">
        <v>57</v>
      </c>
      <c r="D120" s="113">
        <v>29393</v>
      </c>
      <c r="E120" s="114">
        <v>0</v>
      </c>
      <c r="F120" s="113">
        <v>0</v>
      </c>
      <c r="G120" s="114">
        <v>0</v>
      </c>
      <c r="H120" s="113">
        <v>0</v>
      </c>
      <c r="I120" s="114">
        <v>0</v>
      </c>
      <c r="J120" s="113">
        <v>0</v>
      </c>
      <c r="K120" s="114">
        <v>0</v>
      </c>
      <c r="L120" s="113">
        <v>0</v>
      </c>
      <c r="M120" s="114">
        <v>0</v>
      </c>
      <c r="N120" s="113">
        <v>5882</v>
      </c>
      <c r="O120" s="114">
        <v>7858</v>
      </c>
      <c r="P120" s="113">
        <v>9596</v>
      </c>
      <c r="Q120" s="114">
        <v>6057</v>
      </c>
      <c r="R120" s="113">
        <v>0</v>
      </c>
      <c r="S120" s="114">
        <v>0</v>
      </c>
      <c r="T120" s="113">
        <v>0</v>
      </c>
      <c r="U120" s="115">
        <v>0</v>
      </c>
      <c r="V120" t="str">
        <f>VLOOKUP(A120,Projetos_Ciclo!$H$2:$H$315,1,FALSE)</f>
        <v>NA</v>
      </c>
    </row>
    <row r="121" spans="1:22" x14ac:dyDescent="0.25">
      <c r="A121" s="14" t="s">
        <v>1457</v>
      </c>
      <c r="B121" s="116" t="s">
        <v>1458</v>
      </c>
      <c r="C121" s="116" t="s">
        <v>1459</v>
      </c>
      <c r="D121" s="117">
        <v>0</v>
      </c>
      <c r="E121" s="120">
        <v>0</v>
      </c>
      <c r="F121" s="117">
        <v>0</v>
      </c>
      <c r="G121" s="120">
        <v>124</v>
      </c>
      <c r="H121" s="117">
        <v>0</v>
      </c>
      <c r="I121" s="120">
        <v>0</v>
      </c>
      <c r="J121" s="117">
        <v>0</v>
      </c>
      <c r="K121" s="120">
        <v>0</v>
      </c>
      <c r="L121" s="117">
        <v>101.7168984413147</v>
      </c>
      <c r="M121" s="120">
        <v>101.7168984413147</v>
      </c>
      <c r="N121" s="117">
        <v>0</v>
      </c>
      <c r="O121" s="120">
        <v>0</v>
      </c>
      <c r="P121" s="117">
        <v>0</v>
      </c>
      <c r="Q121" s="120">
        <v>0</v>
      </c>
      <c r="R121" s="117">
        <v>0</v>
      </c>
      <c r="S121" s="120">
        <v>0</v>
      </c>
      <c r="T121" s="117">
        <v>0</v>
      </c>
      <c r="U121" s="119">
        <v>0</v>
      </c>
      <c r="V121" t="str">
        <f>VLOOKUP(A121,Projetos_Ciclo!$H$2:$H$315,1,FALSE)</f>
        <v>RH00118</v>
      </c>
    </row>
    <row r="122" spans="1:22" x14ac:dyDescent="0.25">
      <c r="A122" s="111" t="s">
        <v>1093</v>
      </c>
      <c r="B122" s="112" t="s">
        <v>443</v>
      </c>
      <c r="C122" s="112" t="s">
        <v>1245</v>
      </c>
      <c r="D122" s="113">
        <v>0</v>
      </c>
      <c r="E122" s="114">
        <v>0</v>
      </c>
      <c r="F122" s="113">
        <v>0</v>
      </c>
      <c r="G122" s="114">
        <v>52</v>
      </c>
      <c r="H122" s="113">
        <v>0</v>
      </c>
      <c r="I122" s="114">
        <v>0</v>
      </c>
      <c r="J122" s="113">
        <v>0</v>
      </c>
      <c r="K122" s="114">
        <v>0</v>
      </c>
      <c r="L122" s="113">
        <v>51</v>
      </c>
      <c r="M122" s="114">
        <v>51</v>
      </c>
      <c r="N122" s="113">
        <v>0</v>
      </c>
      <c r="O122" s="114">
        <v>0</v>
      </c>
      <c r="P122" s="113">
        <v>0</v>
      </c>
      <c r="Q122" s="114">
        <v>0</v>
      </c>
      <c r="R122" s="113">
        <v>0</v>
      </c>
      <c r="S122" s="114">
        <v>0</v>
      </c>
      <c r="T122" s="113">
        <v>0</v>
      </c>
      <c r="U122" s="115">
        <v>0</v>
      </c>
      <c r="V122" t="str">
        <f>VLOOKUP(A122,Projetos_Ciclo!$H$2:$H$315,1,FALSE)</f>
        <v>SC00117</v>
      </c>
    </row>
    <row r="123" spans="1:22" x14ac:dyDescent="0.25">
      <c r="A123" s="14" t="s">
        <v>1092</v>
      </c>
      <c r="B123" s="116" t="s">
        <v>1522</v>
      </c>
      <c r="C123" s="116" t="s">
        <v>1425</v>
      </c>
      <c r="D123" s="117">
        <v>0</v>
      </c>
      <c r="E123" s="120">
        <v>0</v>
      </c>
      <c r="F123" s="117">
        <v>0</v>
      </c>
      <c r="G123" s="120">
        <v>30</v>
      </c>
      <c r="H123" s="117">
        <v>0</v>
      </c>
      <c r="I123" s="120">
        <v>0</v>
      </c>
      <c r="J123" s="117">
        <v>0</v>
      </c>
      <c r="K123" s="120">
        <v>0</v>
      </c>
      <c r="L123" s="117">
        <v>0</v>
      </c>
      <c r="M123" s="120">
        <v>0</v>
      </c>
      <c r="N123" s="117">
        <v>0</v>
      </c>
      <c r="O123" s="120">
        <v>0</v>
      </c>
      <c r="P123" s="117">
        <v>0</v>
      </c>
      <c r="Q123" s="120">
        <v>0</v>
      </c>
      <c r="R123" s="117">
        <v>0</v>
      </c>
      <c r="S123" s="120">
        <v>0</v>
      </c>
      <c r="T123" s="117">
        <v>0</v>
      </c>
      <c r="U123" s="119">
        <v>0</v>
      </c>
      <c r="V123" t="str">
        <f>VLOOKUP(A123,Projetos_Ciclo!$H$2:$H$315,1,FALSE)</f>
        <v>SC00118</v>
      </c>
    </row>
    <row r="124" spans="1:22" x14ac:dyDescent="0.25">
      <c r="A124" s="111" t="s">
        <v>1472</v>
      </c>
      <c r="B124" s="112" t="s">
        <v>1523</v>
      </c>
      <c r="C124" s="112" t="s">
        <v>1473</v>
      </c>
      <c r="D124" s="113">
        <v>0</v>
      </c>
      <c r="E124" s="114">
        <v>0</v>
      </c>
      <c r="F124" s="113">
        <v>0</v>
      </c>
      <c r="G124" s="114">
        <v>153</v>
      </c>
      <c r="H124" s="113">
        <v>0</v>
      </c>
      <c r="I124" s="114">
        <v>118.80965042114258</v>
      </c>
      <c r="J124" s="113">
        <v>0</v>
      </c>
      <c r="K124" s="114">
        <v>118.80965042114258</v>
      </c>
      <c r="L124" s="113">
        <v>10.079999923706055</v>
      </c>
      <c r="M124" s="114">
        <v>128.88965034484863</v>
      </c>
      <c r="N124" s="113">
        <v>0</v>
      </c>
      <c r="O124" s="114">
        <v>0</v>
      </c>
      <c r="P124" s="113">
        <v>0</v>
      </c>
      <c r="Q124" s="114">
        <v>0</v>
      </c>
      <c r="R124" s="113">
        <v>0</v>
      </c>
      <c r="S124" s="114">
        <v>0</v>
      </c>
      <c r="T124" s="113">
        <v>0</v>
      </c>
      <c r="U124" s="115">
        <v>0</v>
      </c>
      <c r="V124" t="str">
        <f>VLOOKUP(A124,Projetos_Ciclo!$H$2:$H$315,1,FALSE)</f>
        <v>SC00418</v>
      </c>
    </row>
    <row r="125" spans="1:22" x14ac:dyDescent="0.25">
      <c r="A125" s="14" t="s">
        <v>1551</v>
      </c>
      <c r="B125" s="116" t="s">
        <v>1570</v>
      </c>
      <c r="C125" s="116" t="s">
        <v>1552</v>
      </c>
      <c r="D125" s="117">
        <v>0</v>
      </c>
      <c r="E125" s="120">
        <v>0</v>
      </c>
      <c r="F125" s="117">
        <v>0</v>
      </c>
      <c r="G125" s="120">
        <v>23</v>
      </c>
      <c r="H125" s="117">
        <v>0</v>
      </c>
      <c r="I125" s="120">
        <v>0</v>
      </c>
      <c r="J125" s="117">
        <v>0</v>
      </c>
      <c r="K125" s="120">
        <v>0</v>
      </c>
      <c r="L125" s="117">
        <v>21.78000020980835</v>
      </c>
      <c r="M125" s="120">
        <v>21.78000020980835</v>
      </c>
      <c r="N125" s="117">
        <v>0</v>
      </c>
      <c r="O125" s="120">
        <v>0</v>
      </c>
      <c r="P125" s="117">
        <v>0</v>
      </c>
      <c r="Q125" s="120">
        <v>0</v>
      </c>
      <c r="R125" s="117">
        <v>0</v>
      </c>
      <c r="S125" s="120">
        <v>0</v>
      </c>
      <c r="T125" s="117">
        <v>0</v>
      </c>
      <c r="U125" s="119">
        <v>0</v>
      </c>
      <c r="V125" t="str">
        <f>VLOOKUP(A125,Projetos_Ciclo!$H$2:$H$315,1,FALSE)</f>
        <v>SC00518</v>
      </c>
    </row>
    <row r="126" spans="1:22" x14ac:dyDescent="0.25">
      <c r="A126" s="111" t="s">
        <v>1580</v>
      </c>
      <c r="B126" s="112" t="s">
        <v>1734</v>
      </c>
      <c r="C126" s="112" t="s">
        <v>1581</v>
      </c>
      <c r="D126" s="113">
        <v>0</v>
      </c>
      <c r="E126" s="114">
        <v>0</v>
      </c>
      <c r="F126" s="113">
        <v>0</v>
      </c>
      <c r="G126" s="114">
        <v>1209</v>
      </c>
      <c r="H126" s="113">
        <v>0</v>
      </c>
      <c r="I126" s="114">
        <v>0</v>
      </c>
      <c r="J126" s="113">
        <v>0</v>
      </c>
      <c r="K126" s="114">
        <v>0</v>
      </c>
      <c r="L126" s="113">
        <v>1166.3598327636719</v>
      </c>
      <c r="M126" s="114">
        <v>1166.3598327636719</v>
      </c>
      <c r="N126" s="113">
        <v>0</v>
      </c>
      <c r="O126" s="114">
        <v>0</v>
      </c>
      <c r="P126" s="113">
        <v>0</v>
      </c>
      <c r="Q126" s="114">
        <v>0</v>
      </c>
      <c r="R126" s="113">
        <v>0</v>
      </c>
      <c r="S126" s="114">
        <v>0</v>
      </c>
      <c r="T126" s="113">
        <v>0</v>
      </c>
      <c r="U126" s="115">
        <v>0</v>
      </c>
      <c r="V126" t="str">
        <f>VLOOKUP(A126,Projetos_Ciclo!$H$2:$H$315,1,FALSE)</f>
        <v>SC00618</v>
      </c>
    </row>
    <row r="127" spans="1:22" x14ac:dyDescent="0.25">
      <c r="A127" s="14" t="s">
        <v>1582</v>
      </c>
      <c r="B127" s="116" t="s">
        <v>1584</v>
      </c>
      <c r="C127" s="116" t="s">
        <v>1583</v>
      </c>
      <c r="D127" s="117">
        <v>0</v>
      </c>
      <c r="E127" s="120">
        <v>0</v>
      </c>
      <c r="F127" s="117">
        <v>0</v>
      </c>
      <c r="G127" s="120">
        <v>176</v>
      </c>
      <c r="H127" s="117">
        <v>0</v>
      </c>
      <c r="I127" s="120">
        <v>10.799999952316284</v>
      </c>
      <c r="J127" s="117">
        <v>0</v>
      </c>
      <c r="K127" s="120">
        <v>10.799999952316284</v>
      </c>
      <c r="L127" s="117">
        <v>131.70640563964844</v>
      </c>
      <c r="M127" s="120">
        <v>142.50640559196472</v>
      </c>
      <c r="N127" s="117">
        <v>0</v>
      </c>
      <c r="O127" s="120">
        <v>0</v>
      </c>
      <c r="P127" s="117">
        <v>0</v>
      </c>
      <c r="Q127" s="120">
        <v>0</v>
      </c>
      <c r="R127" s="117">
        <v>0</v>
      </c>
      <c r="S127" s="120">
        <v>0</v>
      </c>
      <c r="T127" s="117">
        <v>0</v>
      </c>
      <c r="U127" s="119">
        <v>0</v>
      </c>
      <c r="V127" t="str">
        <f>VLOOKUP(A127,Projetos_Ciclo!$H$2:$H$315,1,FALSE)</f>
        <v>SC00718</v>
      </c>
    </row>
    <row r="128" spans="1:22" x14ac:dyDescent="0.25">
      <c r="A128" s="111" t="s">
        <v>1830</v>
      </c>
      <c r="B128" s="112" t="s">
        <v>1847</v>
      </c>
      <c r="C128" s="112" t="s">
        <v>1831</v>
      </c>
      <c r="D128" s="113">
        <v>0</v>
      </c>
      <c r="E128" s="114">
        <v>0</v>
      </c>
      <c r="F128" s="113">
        <v>0</v>
      </c>
      <c r="G128" s="114">
        <v>7</v>
      </c>
      <c r="H128" s="113">
        <v>0</v>
      </c>
      <c r="I128" s="114">
        <v>2.8900001049041748</v>
      </c>
      <c r="J128" s="113">
        <v>0</v>
      </c>
      <c r="K128" s="114">
        <v>2.8900001049041748</v>
      </c>
      <c r="L128" s="113">
        <v>0</v>
      </c>
      <c r="M128" s="114">
        <v>2.8900001049041748</v>
      </c>
      <c r="N128" s="113">
        <v>0</v>
      </c>
      <c r="O128" s="114">
        <v>0</v>
      </c>
      <c r="P128" s="113">
        <v>0</v>
      </c>
      <c r="Q128" s="114">
        <v>0</v>
      </c>
      <c r="R128" s="113">
        <v>0</v>
      </c>
      <c r="S128" s="114">
        <v>0</v>
      </c>
      <c r="T128" s="113">
        <v>0</v>
      </c>
      <c r="U128" s="115">
        <v>0</v>
      </c>
      <c r="V128" t="str">
        <f>VLOOKUP(A128,Projetos_Ciclo!$H$2:$H$315,1,FALSE)</f>
        <v>SC00818</v>
      </c>
    </row>
    <row r="129" spans="1:22" x14ac:dyDescent="0.25">
      <c r="A129" s="14" t="s">
        <v>1828</v>
      </c>
      <c r="B129" s="116" t="s">
        <v>1848</v>
      </c>
      <c r="C129" s="116" t="s">
        <v>1935</v>
      </c>
      <c r="D129" s="117">
        <v>0</v>
      </c>
      <c r="E129" s="120">
        <v>0</v>
      </c>
      <c r="F129" s="117">
        <v>0</v>
      </c>
      <c r="G129" s="120">
        <v>9</v>
      </c>
      <c r="H129" s="117">
        <v>0</v>
      </c>
      <c r="I129" s="120">
        <v>0</v>
      </c>
      <c r="J129" s="117">
        <v>0</v>
      </c>
      <c r="K129" s="120">
        <v>0</v>
      </c>
      <c r="L129" s="117">
        <v>9.25</v>
      </c>
      <c r="M129" s="120">
        <v>9.25</v>
      </c>
      <c r="N129" s="117">
        <v>0</v>
      </c>
      <c r="O129" s="120">
        <v>0</v>
      </c>
      <c r="P129" s="117">
        <v>0</v>
      </c>
      <c r="Q129" s="120">
        <v>0</v>
      </c>
      <c r="R129" s="117">
        <v>0</v>
      </c>
      <c r="S129" s="120">
        <v>0</v>
      </c>
      <c r="T129" s="117">
        <v>0</v>
      </c>
      <c r="U129" s="119">
        <v>0</v>
      </c>
      <c r="V129" t="str">
        <f>VLOOKUP(A129,Projetos_Ciclo!$H$2:$H$315,1,FALSE)</f>
        <v>SC00918</v>
      </c>
    </row>
    <row r="130" spans="1:22" x14ac:dyDescent="0.25">
      <c r="A130" s="111" t="s">
        <v>1893</v>
      </c>
      <c r="B130" s="112" t="s">
        <v>1966</v>
      </c>
      <c r="C130" s="112" t="s">
        <v>1894</v>
      </c>
      <c r="D130" s="113">
        <v>0</v>
      </c>
      <c r="E130" s="114">
        <v>0</v>
      </c>
      <c r="F130" s="113">
        <v>0</v>
      </c>
      <c r="G130" s="114">
        <v>40</v>
      </c>
      <c r="H130" s="113">
        <v>0</v>
      </c>
      <c r="I130" s="114">
        <v>0</v>
      </c>
      <c r="J130" s="113">
        <v>0</v>
      </c>
      <c r="K130" s="114">
        <v>0</v>
      </c>
      <c r="L130" s="113">
        <v>37.535999298095703</v>
      </c>
      <c r="M130" s="114">
        <v>37.535999298095703</v>
      </c>
      <c r="N130" s="113">
        <v>0</v>
      </c>
      <c r="O130" s="114">
        <v>0</v>
      </c>
      <c r="P130" s="113">
        <v>0</v>
      </c>
      <c r="Q130" s="114">
        <v>0</v>
      </c>
      <c r="R130" s="113">
        <v>0</v>
      </c>
      <c r="S130" s="114">
        <v>0</v>
      </c>
      <c r="T130" s="113">
        <v>0</v>
      </c>
      <c r="U130" s="115">
        <v>0</v>
      </c>
      <c r="V130" t="str">
        <f>VLOOKUP(A130,Projetos_Ciclo!$H$2:$H$315,1,FALSE)</f>
        <v>SC01318</v>
      </c>
    </row>
    <row r="131" spans="1:22" x14ac:dyDescent="0.25">
      <c r="A131" s="14" t="s">
        <v>1138</v>
      </c>
      <c r="B131" s="116" t="s">
        <v>1139</v>
      </c>
      <c r="C131" s="116" t="s">
        <v>57</v>
      </c>
      <c r="D131" s="117">
        <v>3052.5</v>
      </c>
      <c r="E131" s="120">
        <v>0</v>
      </c>
      <c r="F131" s="117">
        <v>0</v>
      </c>
      <c r="G131" s="120">
        <v>0</v>
      </c>
      <c r="H131" s="117">
        <v>0</v>
      </c>
      <c r="I131" s="120">
        <v>0</v>
      </c>
      <c r="J131" s="117">
        <v>0</v>
      </c>
      <c r="K131" s="120">
        <v>0</v>
      </c>
      <c r="L131" s="117">
        <v>0</v>
      </c>
      <c r="M131" s="120">
        <v>0</v>
      </c>
      <c r="N131" s="117">
        <v>0</v>
      </c>
      <c r="O131" s="120">
        <v>0</v>
      </c>
      <c r="P131" s="117">
        <v>0</v>
      </c>
      <c r="Q131" s="120">
        <v>0</v>
      </c>
      <c r="R131" s="117">
        <v>0</v>
      </c>
      <c r="S131" s="120">
        <v>0</v>
      </c>
      <c r="T131" s="117">
        <v>0</v>
      </c>
      <c r="U131" s="119">
        <v>0</v>
      </c>
      <c r="V131" t="e">
        <f>VLOOKUP(A131,Projetos_Ciclo!$H$2:$H$315,1,FALSE)</f>
        <v>#N/A</v>
      </c>
    </row>
    <row r="132" spans="1:22" x14ac:dyDescent="0.25">
      <c r="A132" s="111" t="s">
        <v>1476</v>
      </c>
      <c r="B132" s="112" t="s">
        <v>1486</v>
      </c>
      <c r="C132" s="112" t="s">
        <v>1477</v>
      </c>
      <c r="D132" s="113">
        <v>0</v>
      </c>
      <c r="E132" s="114">
        <v>0</v>
      </c>
      <c r="F132" s="113">
        <v>0</v>
      </c>
      <c r="G132" s="114">
        <v>12</v>
      </c>
      <c r="H132" s="113">
        <v>0</v>
      </c>
      <c r="I132" s="114">
        <v>11.725610017776489</v>
      </c>
      <c r="J132" s="113">
        <v>0</v>
      </c>
      <c r="K132" s="114">
        <v>11.725610017776489</v>
      </c>
      <c r="L132" s="113">
        <v>0</v>
      </c>
      <c r="M132" s="114">
        <v>11.725610017776489</v>
      </c>
      <c r="N132" s="113">
        <v>0</v>
      </c>
      <c r="O132" s="114">
        <v>0</v>
      </c>
      <c r="P132" s="113">
        <v>0</v>
      </c>
      <c r="Q132" s="114">
        <v>0</v>
      </c>
      <c r="R132" s="113">
        <v>0</v>
      </c>
      <c r="S132" s="114">
        <v>0</v>
      </c>
      <c r="T132" s="113">
        <v>0</v>
      </c>
      <c r="U132" s="115">
        <v>0</v>
      </c>
      <c r="V132" t="str">
        <f>VLOOKUP(A132,Projetos_Ciclo!$H$2:$H$315,1,FALSE)</f>
        <v>TI05018</v>
      </c>
    </row>
    <row r="133" spans="1:22" x14ac:dyDescent="0.25">
      <c r="A133" s="14" t="s">
        <v>1133</v>
      </c>
      <c r="B133" s="116" t="s">
        <v>1246</v>
      </c>
      <c r="C133" s="116" t="s">
        <v>57</v>
      </c>
      <c r="D133" s="117">
        <v>0</v>
      </c>
      <c r="E133" s="120">
        <v>0</v>
      </c>
      <c r="F133" s="117">
        <v>0</v>
      </c>
      <c r="G133" s="120">
        <v>0</v>
      </c>
      <c r="H133" s="117">
        <v>0</v>
      </c>
      <c r="I133" s="120">
        <v>0</v>
      </c>
      <c r="J133" s="117">
        <v>0</v>
      </c>
      <c r="K133" s="120">
        <v>0</v>
      </c>
      <c r="L133" s="117">
        <v>0</v>
      </c>
      <c r="M133" s="120">
        <v>0</v>
      </c>
      <c r="N133" s="117">
        <v>0</v>
      </c>
      <c r="O133" s="120">
        <v>0</v>
      </c>
      <c r="P133" s="117">
        <v>0</v>
      </c>
      <c r="Q133" s="120">
        <v>0</v>
      </c>
      <c r="R133" s="117">
        <v>0</v>
      </c>
      <c r="S133" s="120">
        <v>0</v>
      </c>
      <c r="T133" s="117">
        <v>0</v>
      </c>
      <c r="U133" s="119">
        <v>0</v>
      </c>
      <c r="V133" t="e">
        <f>VLOOKUP(A133,Projetos_Ciclo!$H$2:$H$315,1,FALSE)</f>
        <v>#N/A</v>
      </c>
    </row>
    <row r="134" spans="1:22" x14ac:dyDescent="0.25">
      <c r="A134" s="111" t="s">
        <v>1135</v>
      </c>
      <c r="B134" s="112" t="s">
        <v>1136</v>
      </c>
      <c r="C134" s="112" t="s">
        <v>57</v>
      </c>
      <c r="D134" s="113">
        <v>0</v>
      </c>
      <c r="E134" s="114">
        <v>0</v>
      </c>
      <c r="F134" s="113">
        <v>0</v>
      </c>
      <c r="G134" s="114">
        <v>0</v>
      </c>
      <c r="H134" s="113">
        <v>0</v>
      </c>
      <c r="I134" s="114">
        <v>0</v>
      </c>
      <c r="J134" s="113">
        <v>0</v>
      </c>
      <c r="K134" s="114">
        <v>0</v>
      </c>
      <c r="L134" s="113">
        <v>0</v>
      </c>
      <c r="M134" s="114">
        <v>0</v>
      </c>
      <c r="N134" s="113">
        <v>0</v>
      </c>
      <c r="O134" s="114">
        <v>0</v>
      </c>
      <c r="P134" s="113">
        <v>0</v>
      </c>
      <c r="Q134" s="114">
        <v>0</v>
      </c>
      <c r="R134" s="113">
        <v>0</v>
      </c>
      <c r="S134" s="114">
        <v>0</v>
      </c>
      <c r="T134" s="113">
        <v>0</v>
      </c>
      <c r="U134" s="115">
        <v>0</v>
      </c>
      <c r="V134" t="e">
        <f>VLOOKUP(A134,Projetos_Ciclo!$H$2:$H$315,1,FALSE)</f>
        <v>#N/A</v>
      </c>
    </row>
    <row r="135" spans="1:22" x14ac:dyDescent="0.25">
      <c r="A135" s="14" t="s">
        <v>520</v>
      </c>
      <c r="B135" s="116" t="s">
        <v>1137</v>
      </c>
      <c r="C135" s="116" t="s">
        <v>57</v>
      </c>
      <c r="D135" s="117">
        <v>30055</v>
      </c>
      <c r="E135" s="120">
        <v>0</v>
      </c>
      <c r="F135" s="117">
        <v>0</v>
      </c>
      <c r="G135" s="120">
        <v>0</v>
      </c>
      <c r="H135" s="117">
        <v>0</v>
      </c>
      <c r="I135" s="120">
        <v>0</v>
      </c>
      <c r="J135" s="117">
        <v>0</v>
      </c>
      <c r="K135" s="120">
        <v>0</v>
      </c>
      <c r="L135" s="117">
        <v>0</v>
      </c>
      <c r="M135" s="120">
        <v>0</v>
      </c>
      <c r="N135" s="117">
        <v>5007</v>
      </c>
      <c r="O135" s="120">
        <v>8113</v>
      </c>
      <c r="P135" s="117">
        <v>9847</v>
      </c>
      <c r="Q135" s="120">
        <v>7088</v>
      </c>
      <c r="R135" s="117">
        <v>0</v>
      </c>
      <c r="S135" s="120">
        <v>0</v>
      </c>
      <c r="T135" s="117">
        <v>0</v>
      </c>
      <c r="U135" s="119">
        <v>0</v>
      </c>
      <c r="V135" t="str">
        <f>VLOOKUP(A135,Projetos_Ciclo!$H$2:$H$315,1,FALSE)</f>
        <v>NA</v>
      </c>
    </row>
    <row r="136" spans="1:22" x14ac:dyDescent="0.25">
      <c r="A136" s="111" t="s">
        <v>1138</v>
      </c>
      <c r="B136" s="112" t="s">
        <v>1139</v>
      </c>
      <c r="C136" s="112" t="s">
        <v>57</v>
      </c>
      <c r="D136" s="113">
        <v>-1</v>
      </c>
      <c r="E136" s="114">
        <v>0</v>
      </c>
      <c r="F136" s="113">
        <v>0</v>
      </c>
      <c r="G136" s="114">
        <v>0</v>
      </c>
      <c r="H136" s="113">
        <v>0</v>
      </c>
      <c r="I136" s="114">
        <v>0</v>
      </c>
      <c r="J136" s="113">
        <v>0</v>
      </c>
      <c r="K136" s="114">
        <v>0</v>
      </c>
      <c r="L136" s="113">
        <v>0</v>
      </c>
      <c r="M136" s="114">
        <v>0</v>
      </c>
      <c r="N136" s="113">
        <v>0</v>
      </c>
      <c r="O136" s="114">
        <v>0</v>
      </c>
      <c r="P136" s="113">
        <v>0</v>
      </c>
      <c r="Q136" s="114">
        <v>0</v>
      </c>
      <c r="R136" s="113">
        <v>0</v>
      </c>
      <c r="S136" s="114">
        <v>0</v>
      </c>
      <c r="T136" s="113">
        <v>0</v>
      </c>
      <c r="U136" s="115">
        <v>0</v>
      </c>
      <c r="V136" t="e">
        <f>VLOOKUP(A136,Projetos_Ciclo!$H$2:$H$315,1,FALSE)</f>
        <v>#N/A</v>
      </c>
    </row>
    <row r="137" spans="1:22" x14ac:dyDescent="0.25">
      <c r="A137" s="14" t="s">
        <v>1247</v>
      </c>
      <c r="B137" s="116" t="s">
        <v>1248</v>
      </c>
      <c r="C137" s="116" t="s">
        <v>1249</v>
      </c>
      <c r="D137" s="117">
        <v>4508</v>
      </c>
      <c r="E137" s="120">
        <v>0</v>
      </c>
      <c r="F137" s="117">
        <v>4112</v>
      </c>
      <c r="G137" s="120">
        <v>0</v>
      </c>
      <c r="H137" s="117">
        <v>293</v>
      </c>
      <c r="I137" s="120">
        <v>0</v>
      </c>
      <c r="J137" s="117">
        <v>0</v>
      </c>
      <c r="K137" s="120">
        <v>0</v>
      </c>
      <c r="L137" s="117">
        <v>0</v>
      </c>
      <c r="M137" s="120">
        <v>0</v>
      </c>
      <c r="N137" s="117">
        <v>196</v>
      </c>
      <c r="O137" s="120">
        <v>200</v>
      </c>
      <c r="P137" s="117">
        <v>0</v>
      </c>
      <c r="Q137" s="120">
        <v>0</v>
      </c>
      <c r="R137" s="117">
        <v>0</v>
      </c>
      <c r="S137" s="120">
        <v>0</v>
      </c>
      <c r="T137" s="117">
        <v>0</v>
      </c>
      <c r="U137" s="119">
        <v>0</v>
      </c>
      <c r="V137" t="e">
        <f>VLOOKUP(A137,Projetos_Ciclo!$H$2:$H$315,1,FALSE)</f>
        <v>#N/A</v>
      </c>
    </row>
    <row r="138" spans="1:22" x14ac:dyDescent="0.25">
      <c r="A138" s="111" t="s">
        <v>1131</v>
      </c>
      <c r="B138" s="112" t="s">
        <v>1250</v>
      </c>
      <c r="C138" s="112" t="s">
        <v>1132</v>
      </c>
      <c r="D138" s="113">
        <v>0</v>
      </c>
      <c r="E138" s="114">
        <v>0</v>
      </c>
      <c r="F138" s="113">
        <v>0</v>
      </c>
      <c r="G138" s="114">
        <v>367</v>
      </c>
      <c r="H138" s="113">
        <v>0</v>
      </c>
      <c r="I138" s="114">
        <v>0</v>
      </c>
      <c r="J138" s="113">
        <v>0</v>
      </c>
      <c r="K138" s="114">
        <v>0</v>
      </c>
      <c r="L138" s="113">
        <v>356.9999942779541</v>
      </c>
      <c r="M138" s="114">
        <v>356.9999942779541</v>
      </c>
      <c r="N138" s="113">
        <v>0</v>
      </c>
      <c r="O138" s="114">
        <v>0</v>
      </c>
      <c r="P138" s="113">
        <v>0</v>
      </c>
      <c r="Q138" s="114">
        <v>0</v>
      </c>
      <c r="R138" s="113">
        <v>0</v>
      </c>
      <c r="S138" s="114">
        <v>0</v>
      </c>
      <c r="T138" s="113">
        <v>0</v>
      </c>
      <c r="U138" s="115">
        <v>0</v>
      </c>
      <c r="V138" t="str">
        <f>VLOOKUP(A138,Projetos_Ciclo!$H$2:$H$315,1,FALSE)</f>
        <v>TI02918</v>
      </c>
    </row>
    <row r="139" spans="1:22" x14ac:dyDescent="0.25">
      <c r="A139" s="14" t="s">
        <v>1251</v>
      </c>
      <c r="B139" s="116" t="s">
        <v>1252</v>
      </c>
      <c r="C139" s="116" t="s">
        <v>1253</v>
      </c>
      <c r="D139" s="117">
        <v>0</v>
      </c>
      <c r="E139" s="120">
        <v>0</v>
      </c>
      <c r="F139" s="117">
        <v>0</v>
      </c>
      <c r="G139" s="120">
        <v>108</v>
      </c>
      <c r="H139" s="117">
        <v>0</v>
      </c>
      <c r="I139" s="120">
        <v>35.139549970626831</v>
      </c>
      <c r="J139" s="117">
        <v>0</v>
      </c>
      <c r="K139" s="120">
        <v>35.139549970626831</v>
      </c>
      <c r="L139" s="117">
        <v>1.5320999920368195</v>
      </c>
      <c r="M139" s="120">
        <v>36.671649962663651</v>
      </c>
      <c r="N139" s="117">
        <v>0</v>
      </c>
      <c r="O139" s="120">
        <v>0</v>
      </c>
      <c r="P139" s="117">
        <v>0</v>
      </c>
      <c r="Q139" s="120">
        <v>0</v>
      </c>
      <c r="R139" s="117">
        <v>0</v>
      </c>
      <c r="S139" s="120">
        <v>0</v>
      </c>
      <c r="T139" s="117">
        <v>0</v>
      </c>
      <c r="U139" s="119">
        <v>0</v>
      </c>
      <c r="V139" t="str">
        <f>VLOOKUP(A139,Projetos_Ciclo!$H$2:$H$315,1,FALSE)</f>
        <v>TI03118</v>
      </c>
    </row>
    <row r="140" spans="1:22" x14ac:dyDescent="0.25">
      <c r="A140" s="111" t="s">
        <v>1460</v>
      </c>
      <c r="B140" s="112" t="s">
        <v>944</v>
      </c>
      <c r="C140" s="112" t="s">
        <v>1461</v>
      </c>
      <c r="D140" s="113">
        <v>0</v>
      </c>
      <c r="E140" s="114">
        <v>0</v>
      </c>
      <c r="F140" s="113">
        <v>0</v>
      </c>
      <c r="G140" s="114">
        <v>200</v>
      </c>
      <c r="H140" s="113">
        <v>0</v>
      </c>
      <c r="I140" s="114">
        <v>0</v>
      </c>
      <c r="J140" s="113">
        <v>0</v>
      </c>
      <c r="K140" s="114">
        <v>0</v>
      </c>
      <c r="L140" s="113">
        <v>192.89999389648437</v>
      </c>
      <c r="M140" s="114">
        <v>192.89999389648437</v>
      </c>
      <c r="N140" s="113">
        <v>0</v>
      </c>
      <c r="O140" s="114">
        <v>0</v>
      </c>
      <c r="P140" s="113">
        <v>0</v>
      </c>
      <c r="Q140" s="114">
        <v>0</v>
      </c>
      <c r="R140" s="113">
        <v>0</v>
      </c>
      <c r="S140" s="114">
        <v>0</v>
      </c>
      <c r="T140" s="113">
        <v>0</v>
      </c>
      <c r="U140" s="115">
        <v>0</v>
      </c>
      <c r="V140" t="str">
        <f>VLOOKUP(A140,Projetos_Ciclo!$H$2:$H$315,1,FALSE)</f>
        <v>TI05118</v>
      </c>
    </row>
    <row r="141" spans="1:22" x14ac:dyDescent="0.25">
      <c r="A141" s="14" t="s">
        <v>1593</v>
      </c>
      <c r="B141" s="116" t="s">
        <v>689</v>
      </c>
      <c r="C141" s="116" t="s">
        <v>1594</v>
      </c>
      <c r="D141" s="117">
        <v>0</v>
      </c>
      <c r="E141" s="120">
        <v>0</v>
      </c>
      <c r="F141" s="117">
        <v>0</v>
      </c>
      <c r="G141" s="120">
        <v>2214</v>
      </c>
      <c r="H141" s="117">
        <v>0</v>
      </c>
      <c r="I141" s="120">
        <v>75.714519381523132</v>
      </c>
      <c r="J141" s="117">
        <v>0</v>
      </c>
      <c r="K141" s="120">
        <v>75.714519381523132</v>
      </c>
      <c r="L141" s="117">
        <v>492.28707165271044</v>
      </c>
      <c r="M141" s="120">
        <v>568.00159103423357</v>
      </c>
      <c r="N141" s="117">
        <v>0</v>
      </c>
      <c r="O141" s="120">
        <v>0</v>
      </c>
      <c r="P141" s="117">
        <v>0</v>
      </c>
      <c r="Q141" s="120">
        <v>0</v>
      </c>
      <c r="R141" s="117">
        <v>0</v>
      </c>
      <c r="S141" s="120">
        <v>0</v>
      </c>
      <c r="T141" s="117">
        <v>0</v>
      </c>
      <c r="U141" s="119">
        <v>0</v>
      </c>
      <c r="V141" t="str">
        <f>VLOOKUP(A141,Projetos_Ciclo!$H$2:$H$315,1,FALSE)</f>
        <v>TI05918</v>
      </c>
    </row>
    <row r="142" spans="1:22" x14ac:dyDescent="0.25">
      <c r="A142" s="111" t="s">
        <v>1799</v>
      </c>
      <c r="B142" s="112" t="s">
        <v>1800</v>
      </c>
      <c r="C142" s="112" t="s">
        <v>1801</v>
      </c>
      <c r="D142" s="113">
        <v>0</v>
      </c>
      <c r="E142" s="114">
        <v>0</v>
      </c>
      <c r="F142" s="113">
        <v>0</v>
      </c>
      <c r="G142" s="114">
        <v>80</v>
      </c>
      <c r="H142" s="113">
        <v>0</v>
      </c>
      <c r="I142" s="114">
        <v>0</v>
      </c>
      <c r="J142" s="113">
        <v>0</v>
      </c>
      <c r="K142" s="114">
        <v>0</v>
      </c>
      <c r="L142" s="113">
        <v>0</v>
      </c>
      <c r="M142" s="114">
        <v>0</v>
      </c>
      <c r="N142" s="113">
        <v>0</v>
      </c>
      <c r="O142" s="114">
        <v>0</v>
      </c>
      <c r="P142" s="113">
        <v>0</v>
      </c>
      <c r="Q142" s="114">
        <v>0</v>
      </c>
      <c r="R142" s="113">
        <v>0</v>
      </c>
      <c r="S142" s="114">
        <v>0</v>
      </c>
      <c r="T142" s="113">
        <v>0</v>
      </c>
      <c r="U142" s="115">
        <v>0</v>
      </c>
      <c r="V142" t="str">
        <f>VLOOKUP(A142,Projetos_Ciclo!$H$2:$H$315,1,FALSE)</f>
        <v>TI07318</v>
      </c>
    </row>
    <row r="143" spans="1:22" x14ac:dyDescent="0.25">
      <c r="A143" s="14" t="s">
        <v>1875</v>
      </c>
      <c r="B143" s="116" t="s">
        <v>1876</v>
      </c>
      <c r="C143" s="116" t="s">
        <v>1877</v>
      </c>
      <c r="D143" s="117">
        <v>0</v>
      </c>
      <c r="E143" s="120">
        <v>0</v>
      </c>
      <c r="F143" s="117">
        <v>0</v>
      </c>
      <c r="G143" s="120">
        <v>280</v>
      </c>
      <c r="H143" s="117">
        <v>0</v>
      </c>
      <c r="I143" s="120">
        <v>0</v>
      </c>
      <c r="J143" s="117">
        <v>0</v>
      </c>
      <c r="K143" s="120">
        <v>0</v>
      </c>
      <c r="L143" s="117">
        <v>271.89999544620514</v>
      </c>
      <c r="M143" s="120">
        <v>271.89999544620514</v>
      </c>
      <c r="N143" s="117">
        <v>0</v>
      </c>
      <c r="O143" s="120">
        <v>0</v>
      </c>
      <c r="P143" s="117">
        <v>0</v>
      </c>
      <c r="Q143" s="120">
        <v>0</v>
      </c>
      <c r="R143" s="117">
        <v>0</v>
      </c>
      <c r="S143" s="120">
        <v>0</v>
      </c>
      <c r="T143" s="117">
        <v>0</v>
      </c>
      <c r="U143" s="119">
        <v>0</v>
      </c>
      <c r="V143" t="str">
        <f>VLOOKUP(A143,Projetos_Ciclo!$H$2:$H$315,1,FALSE)</f>
        <v>TI07718</v>
      </c>
    </row>
    <row r="144" spans="1:22" x14ac:dyDescent="0.25">
      <c r="A144" s="111" t="s">
        <v>1838</v>
      </c>
      <c r="B144" s="112" t="s">
        <v>668</v>
      </c>
      <c r="C144" s="112" t="s">
        <v>1839</v>
      </c>
      <c r="D144" s="113">
        <v>0</v>
      </c>
      <c r="E144" s="114">
        <v>0</v>
      </c>
      <c r="F144" s="113">
        <v>0</v>
      </c>
      <c r="G144" s="114">
        <v>711</v>
      </c>
      <c r="H144" s="113">
        <v>0</v>
      </c>
      <c r="I144" s="114">
        <v>163.97467915713787</v>
      </c>
      <c r="J144" s="113">
        <v>0</v>
      </c>
      <c r="K144" s="114">
        <v>163.97467915713787</v>
      </c>
      <c r="L144" s="113">
        <v>0</v>
      </c>
      <c r="M144" s="114">
        <v>163.97467915713787</v>
      </c>
      <c r="N144" s="113">
        <v>0</v>
      </c>
      <c r="O144" s="114">
        <v>0</v>
      </c>
      <c r="P144" s="113">
        <v>0</v>
      </c>
      <c r="Q144" s="114">
        <v>0</v>
      </c>
      <c r="R144" s="113">
        <v>0</v>
      </c>
      <c r="S144" s="114">
        <v>0</v>
      </c>
      <c r="T144" s="113">
        <v>0</v>
      </c>
      <c r="U144" s="115">
        <v>0</v>
      </c>
      <c r="V144" t="str">
        <f>VLOOKUP(A144,Projetos_Ciclo!$H$2:$H$315,1,FALSE)</f>
        <v>TI07918</v>
      </c>
    </row>
    <row r="145" spans="1:22" x14ac:dyDescent="0.25">
      <c r="A145" s="14" t="s">
        <v>1133</v>
      </c>
      <c r="B145" s="116" t="s">
        <v>1254</v>
      </c>
      <c r="C145" s="116" t="s">
        <v>57</v>
      </c>
      <c r="D145" s="117">
        <v>0</v>
      </c>
      <c r="E145" s="120">
        <v>0</v>
      </c>
      <c r="F145" s="117">
        <v>0</v>
      </c>
      <c r="G145" s="120">
        <v>0</v>
      </c>
      <c r="H145" s="117">
        <v>0</v>
      </c>
      <c r="I145" s="120">
        <v>0</v>
      </c>
      <c r="J145" s="117">
        <v>0</v>
      </c>
      <c r="K145" s="120">
        <v>0</v>
      </c>
      <c r="L145" s="117">
        <v>0</v>
      </c>
      <c r="M145" s="120">
        <v>0</v>
      </c>
      <c r="N145" s="117">
        <v>0</v>
      </c>
      <c r="O145" s="120">
        <v>0</v>
      </c>
      <c r="P145" s="117">
        <v>0</v>
      </c>
      <c r="Q145" s="120">
        <v>0</v>
      </c>
      <c r="R145" s="117">
        <v>0</v>
      </c>
      <c r="S145" s="120">
        <v>0</v>
      </c>
      <c r="T145" s="117">
        <v>0</v>
      </c>
      <c r="U145" s="119">
        <v>0</v>
      </c>
      <c r="V145" t="e">
        <f>VLOOKUP(A145,Projetos_Ciclo!$H$2:$H$315,1,FALSE)</f>
        <v>#N/A</v>
      </c>
    </row>
    <row r="146" spans="1:22" x14ac:dyDescent="0.25">
      <c r="A146" s="111" t="s">
        <v>1135</v>
      </c>
      <c r="B146" s="112" t="s">
        <v>1136</v>
      </c>
      <c r="C146" s="112" t="s">
        <v>57</v>
      </c>
      <c r="D146" s="113">
        <v>0</v>
      </c>
      <c r="E146" s="114">
        <v>0</v>
      </c>
      <c r="F146" s="113">
        <v>0</v>
      </c>
      <c r="G146" s="114">
        <v>0</v>
      </c>
      <c r="H146" s="113">
        <v>0</v>
      </c>
      <c r="I146" s="114">
        <v>0</v>
      </c>
      <c r="J146" s="113">
        <v>0</v>
      </c>
      <c r="K146" s="114">
        <v>0</v>
      </c>
      <c r="L146" s="113">
        <v>0</v>
      </c>
      <c r="M146" s="114">
        <v>0</v>
      </c>
      <c r="N146" s="113">
        <v>0</v>
      </c>
      <c r="O146" s="114">
        <v>0</v>
      </c>
      <c r="P146" s="113">
        <v>0</v>
      </c>
      <c r="Q146" s="114">
        <v>0</v>
      </c>
      <c r="R146" s="113">
        <v>0</v>
      </c>
      <c r="S146" s="114">
        <v>0</v>
      </c>
      <c r="T146" s="113">
        <v>0</v>
      </c>
      <c r="U146" s="115">
        <v>0</v>
      </c>
      <c r="V146" t="e">
        <f>VLOOKUP(A146,Projetos_Ciclo!$H$2:$H$315,1,FALSE)</f>
        <v>#N/A</v>
      </c>
    </row>
    <row r="147" spans="1:22" x14ac:dyDescent="0.25">
      <c r="A147" s="14" t="s">
        <v>520</v>
      </c>
      <c r="B147" s="116" t="s">
        <v>1255</v>
      </c>
      <c r="C147" s="116" t="s">
        <v>57</v>
      </c>
      <c r="D147" s="117">
        <v>20900</v>
      </c>
      <c r="E147" s="120">
        <v>0</v>
      </c>
      <c r="F147" s="117">
        <v>0</v>
      </c>
      <c r="G147" s="120">
        <v>0</v>
      </c>
      <c r="H147" s="117">
        <v>0</v>
      </c>
      <c r="I147" s="120">
        <v>0</v>
      </c>
      <c r="J147" s="117">
        <v>0</v>
      </c>
      <c r="K147" s="120">
        <v>0</v>
      </c>
      <c r="L147" s="117">
        <v>0</v>
      </c>
      <c r="M147" s="120">
        <v>0</v>
      </c>
      <c r="N147" s="117">
        <v>15190</v>
      </c>
      <c r="O147" s="120">
        <v>2660</v>
      </c>
      <c r="P147" s="117">
        <v>390</v>
      </c>
      <c r="Q147" s="120">
        <v>2660</v>
      </c>
      <c r="R147" s="117">
        <v>0</v>
      </c>
      <c r="S147" s="120">
        <v>0</v>
      </c>
      <c r="T147" s="117">
        <v>0</v>
      </c>
      <c r="U147" s="119">
        <v>0</v>
      </c>
      <c r="V147" t="str">
        <f>VLOOKUP(A147,Projetos_Ciclo!$H$2:$H$315,1,FALSE)</f>
        <v>NA</v>
      </c>
    </row>
    <row r="148" spans="1:22" x14ac:dyDescent="0.25">
      <c r="A148" s="111" t="s">
        <v>1138</v>
      </c>
      <c r="B148" s="112" t="s">
        <v>1139</v>
      </c>
      <c r="C148" s="112" t="s">
        <v>57</v>
      </c>
      <c r="D148" s="113">
        <v>0</v>
      </c>
      <c r="E148" s="114">
        <v>0</v>
      </c>
      <c r="F148" s="113">
        <v>0</v>
      </c>
      <c r="G148" s="114">
        <v>0</v>
      </c>
      <c r="H148" s="113">
        <v>0</v>
      </c>
      <c r="I148" s="114">
        <v>0</v>
      </c>
      <c r="J148" s="113">
        <v>0</v>
      </c>
      <c r="K148" s="114">
        <v>0</v>
      </c>
      <c r="L148" s="113">
        <v>0</v>
      </c>
      <c r="M148" s="114">
        <v>0</v>
      </c>
      <c r="N148" s="113">
        <v>0</v>
      </c>
      <c r="O148" s="114">
        <v>0</v>
      </c>
      <c r="P148" s="113">
        <v>0</v>
      </c>
      <c r="Q148" s="114">
        <v>0</v>
      </c>
      <c r="R148" s="113">
        <v>0</v>
      </c>
      <c r="S148" s="114">
        <v>0</v>
      </c>
      <c r="T148" s="113">
        <v>0</v>
      </c>
      <c r="U148" s="115">
        <v>0</v>
      </c>
      <c r="V148" t="e">
        <f>VLOOKUP(A148,Projetos_Ciclo!$H$2:$H$315,1,FALSE)</f>
        <v>#N/A</v>
      </c>
    </row>
    <row r="149" spans="1:22" x14ac:dyDescent="0.25">
      <c r="A149" s="14" t="s">
        <v>1256</v>
      </c>
      <c r="B149" s="116" t="s">
        <v>1257</v>
      </c>
      <c r="C149" s="116" t="s">
        <v>1258</v>
      </c>
      <c r="D149" s="117">
        <v>4964</v>
      </c>
      <c r="E149" s="120">
        <v>0</v>
      </c>
      <c r="F149" s="117">
        <v>4684</v>
      </c>
      <c r="G149" s="120">
        <v>0</v>
      </c>
      <c r="H149" s="117">
        <v>0</v>
      </c>
      <c r="I149" s="120">
        <v>0</v>
      </c>
      <c r="J149" s="117">
        <v>0</v>
      </c>
      <c r="K149" s="120">
        <v>0</v>
      </c>
      <c r="L149" s="117">
        <v>0</v>
      </c>
      <c r="M149" s="120">
        <v>0</v>
      </c>
      <c r="N149" s="117">
        <v>280</v>
      </c>
      <c r="O149" s="120">
        <v>0</v>
      </c>
      <c r="P149" s="117">
        <v>0</v>
      </c>
      <c r="Q149" s="120">
        <v>0</v>
      </c>
      <c r="R149" s="117">
        <v>0</v>
      </c>
      <c r="S149" s="120">
        <v>0</v>
      </c>
      <c r="T149" s="117">
        <v>0</v>
      </c>
      <c r="U149" s="119">
        <v>0</v>
      </c>
      <c r="V149" t="e">
        <f>VLOOKUP(A149,Projetos_Ciclo!$H$2:$H$315,1,FALSE)</f>
        <v>#N/A</v>
      </c>
    </row>
    <row r="150" spans="1:22" x14ac:dyDescent="0.25">
      <c r="A150" s="111" t="s">
        <v>655</v>
      </c>
      <c r="B150" s="112" t="s">
        <v>1259</v>
      </c>
      <c r="C150" s="112" t="s">
        <v>1260</v>
      </c>
      <c r="D150" s="113">
        <v>0</v>
      </c>
      <c r="E150" s="114">
        <v>0</v>
      </c>
      <c r="F150" s="113">
        <v>0</v>
      </c>
      <c r="G150" s="114">
        <v>0</v>
      </c>
      <c r="H150" s="113">
        <v>0</v>
      </c>
      <c r="I150" s="114">
        <v>0</v>
      </c>
      <c r="J150" s="113">
        <v>0</v>
      </c>
      <c r="K150" s="114">
        <v>0</v>
      </c>
      <c r="L150" s="113">
        <v>0</v>
      </c>
      <c r="M150" s="114">
        <v>0</v>
      </c>
      <c r="N150" s="113">
        <v>0</v>
      </c>
      <c r="O150" s="114">
        <v>0</v>
      </c>
      <c r="P150" s="113">
        <v>0</v>
      </c>
      <c r="Q150" s="114">
        <v>0</v>
      </c>
      <c r="R150" s="113">
        <v>0</v>
      </c>
      <c r="S150" s="114">
        <v>0</v>
      </c>
      <c r="T150" s="113">
        <v>0</v>
      </c>
      <c r="U150" s="115">
        <v>0</v>
      </c>
      <c r="V150" t="str">
        <f>VLOOKUP(A150,Projetos_Ciclo!$H$2:$H$315,1,FALSE)</f>
        <v>TI01816</v>
      </c>
    </row>
    <row r="151" spans="1:22" x14ac:dyDescent="0.25">
      <c r="A151" s="14" t="s">
        <v>1401</v>
      </c>
      <c r="B151" s="116" t="s">
        <v>1402</v>
      </c>
      <c r="C151" s="116" t="s">
        <v>1403</v>
      </c>
      <c r="D151" s="117">
        <v>0</v>
      </c>
      <c r="E151" s="120">
        <v>0</v>
      </c>
      <c r="F151" s="117">
        <v>0</v>
      </c>
      <c r="G151" s="120">
        <v>4684</v>
      </c>
      <c r="H151" s="117">
        <v>0</v>
      </c>
      <c r="I151" s="120">
        <v>0</v>
      </c>
      <c r="J151" s="117">
        <v>0</v>
      </c>
      <c r="K151" s="120">
        <v>0</v>
      </c>
      <c r="L151" s="117">
        <v>4650.193359375</v>
      </c>
      <c r="M151" s="120">
        <v>4650.193359375</v>
      </c>
      <c r="N151" s="117">
        <v>0</v>
      </c>
      <c r="O151" s="120">
        <v>0</v>
      </c>
      <c r="P151" s="117">
        <v>0</v>
      </c>
      <c r="Q151" s="120">
        <v>0</v>
      </c>
      <c r="R151" s="117">
        <v>0</v>
      </c>
      <c r="S151" s="120">
        <v>0</v>
      </c>
      <c r="T151" s="117">
        <v>0</v>
      </c>
      <c r="U151" s="119">
        <v>0</v>
      </c>
      <c r="V151" t="str">
        <f>VLOOKUP(A151,Projetos_Ciclo!$H$2:$H$315,1,FALSE)</f>
        <v>TI04318</v>
      </c>
    </row>
    <row r="152" spans="1:22" x14ac:dyDescent="0.25">
      <c r="A152" s="111" t="s">
        <v>1462</v>
      </c>
      <c r="B152" s="112" t="s">
        <v>1463</v>
      </c>
      <c r="C152" s="112" t="s">
        <v>1464</v>
      </c>
      <c r="D152" s="113">
        <v>0</v>
      </c>
      <c r="E152" s="114">
        <v>0</v>
      </c>
      <c r="F152" s="113">
        <v>0</v>
      </c>
      <c r="G152" s="114">
        <v>55</v>
      </c>
      <c r="H152" s="113">
        <v>0</v>
      </c>
      <c r="I152" s="114">
        <v>46.814499855041504</v>
      </c>
      <c r="J152" s="113">
        <v>0</v>
      </c>
      <c r="K152" s="114">
        <v>46.814499855041504</v>
      </c>
      <c r="L152" s="113">
        <v>5.0538201332092285</v>
      </c>
      <c r="M152" s="114">
        <v>51.868319988250732</v>
      </c>
      <c r="N152" s="113">
        <v>0</v>
      </c>
      <c r="O152" s="114">
        <v>0</v>
      </c>
      <c r="P152" s="113">
        <v>0</v>
      </c>
      <c r="Q152" s="114">
        <v>0</v>
      </c>
      <c r="R152" s="113">
        <v>0</v>
      </c>
      <c r="S152" s="114">
        <v>0</v>
      </c>
      <c r="T152" s="113">
        <v>0</v>
      </c>
      <c r="U152" s="115">
        <v>0</v>
      </c>
      <c r="V152" t="str">
        <f>VLOOKUP(A152,Projetos_Ciclo!$H$2:$H$315,1,FALSE)</f>
        <v>3211/12</v>
      </c>
    </row>
    <row r="153" spans="1:22" x14ac:dyDescent="0.25">
      <c r="A153" s="14" t="s">
        <v>1133</v>
      </c>
      <c r="B153" s="116" t="s">
        <v>1261</v>
      </c>
      <c r="C153" s="116" t="s">
        <v>57</v>
      </c>
      <c r="D153" s="117">
        <v>0</v>
      </c>
      <c r="E153" s="120">
        <v>0</v>
      </c>
      <c r="F153" s="117">
        <v>0</v>
      </c>
      <c r="G153" s="120">
        <v>0</v>
      </c>
      <c r="H153" s="117">
        <v>0</v>
      </c>
      <c r="I153" s="120">
        <v>0</v>
      </c>
      <c r="J153" s="117">
        <v>0</v>
      </c>
      <c r="K153" s="120">
        <v>0</v>
      </c>
      <c r="L153" s="117">
        <v>0</v>
      </c>
      <c r="M153" s="120">
        <v>0</v>
      </c>
      <c r="N153" s="117">
        <v>0</v>
      </c>
      <c r="O153" s="120">
        <v>0</v>
      </c>
      <c r="P153" s="117">
        <v>0</v>
      </c>
      <c r="Q153" s="120">
        <v>0</v>
      </c>
      <c r="R153" s="117">
        <v>0</v>
      </c>
      <c r="S153" s="120">
        <v>0</v>
      </c>
      <c r="T153" s="117">
        <v>0</v>
      </c>
      <c r="U153" s="119">
        <v>0</v>
      </c>
      <c r="V153" t="e">
        <f>VLOOKUP(A153,Projetos_Ciclo!$H$2:$H$315,1,FALSE)</f>
        <v>#N/A</v>
      </c>
    </row>
    <row r="154" spans="1:22" x14ac:dyDescent="0.25">
      <c r="A154" s="111" t="s">
        <v>1135</v>
      </c>
      <c r="B154" s="112" t="s">
        <v>1136</v>
      </c>
      <c r="C154" s="112" t="s">
        <v>57</v>
      </c>
      <c r="D154" s="113">
        <v>0</v>
      </c>
      <c r="E154" s="114">
        <v>0</v>
      </c>
      <c r="F154" s="113">
        <v>0</v>
      </c>
      <c r="G154" s="114">
        <v>0</v>
      </c>
      <c r="H154" s="113">
        <v>0</v>
      </c>
      <c r="I154" s="114">
        <v>0</v>
      </c>
      <c r="J154" s="113">
        <v>0</v>
      </c>
      <c r="K154" s="114">
        <v>0</v>
      </c>
      <c r="L154" s="113">
        <v>0</v>
      </c>
      <c r="M154" s="114">
        <v>0</v>
      </c>
      <c r="N154" s="113">
        <v>0</v>
      </c>
      <c r="O154" s="114">
        <v>0</v>
      </c>
      <c r="P154" s="113">
        <v>0</v>
      </c>
      <c r="Q154" s="114">
        <v>0</v>
      </c>
      <c r="R154" s="113">
        <v>0</v>
      </c>
      <c r="S154" s="114">
        <v>0</v>
      </c>
      <c r="T154" s="113">
        <v>0</v>
      </c>
      <c r="U154" s="115">
        <v>0</v>
      </c>
      <c r="V154" t="e">
        <f>VLOOKUP(A154,Projetos_Ciclo!$H$2:$H$315,1,FALSE)</f>
        <v>#N/A</v>
      </c>
    </row>
    <row r="155" spans="1:22" x14ac:dyDescent="0.25">
      <c r="A155" s="14" t="s">
        <v>520</v>
      </c>
      <c r="B155" s="116" t="s">
        <v>1262</v>
      </c>
      <c r="C155" s="116" t="s">
        <v>57</v>
      </c>
      <c r="D155" s="117">
        <v>113854</v>
      </c>
      <c r="E155" s="120">
        <v>0</v>
      </c>
      <c r="F155" s="117">
        <v>0</v>
      </c>
      <c r="G155" s="120">
        <v>0</v>
      </c>
      <c r="H155" s="117">
        <v>0</v>
      </c>
      <c r="I155" s="120">
        <v>0</v>
      </c>
      <c r="J155" s="117">
        <v>0</v>
      </c>
      <c r="K155" s="120">
        <v>0</v>
      </c>
      <c r="L155" s="117">
        <v>0</v>
      </c>
      <c r="M155" s="120">
        <v>0</v>
      </c>
      <c r="N155" s="117">
        <v>30359</v>
      </c>
      <c r="O155" s="120">
        <v>38296</v>
      </c>
      <c r="P155" s="117">
        <v>18952</v>
      </c>
      <c r="Q155" s="120">
        <v>26247</v>
      </c>
      <c r="R155" s="117">
        <v>0</v>
      </c>
      <c r="S155" s="120">
        <v>0</v>
      </c>
      <c r="T155" s="117">
        <v>0</v>
      </c>
      <c r="U155" s="119">
        <v>0</v>
      </c>
      <c r="V155" t="str">
        <f>VLOOKUP(A155,Projetos_Ciclo!$H$2:$H$315,1,FALSE)</f>
        <v>NA</v>
      </c>
    </row>
    <row r="156" spans="1:22" x14ac:dyDescent="0.25">
      <c r="A156" s="111" t="s">
        <v>1138</v>
      </c>
      <c r="B156" s="112" t="s">
        <v>1139</v>
      </c>
      <c r="C156" s="112" t="s">
        <v>57</v>
      </c>
      <c r="D156" s="113">
        <v>0</v>
      </c>
      <c r="E156" s="114">
        <v>0</v>
      </c>
      <c r="F156" s="113">
        <v>0</v>
      </c>
      <c r="G156" s="114">
        <v>0</v>
      </c>
      <c r="H156" s="113">
        <v>0</v>
      </c>
      <c r="I156" s="114">
        <v>0</v>
      </c>
      <c r="J156" s="113">
        <v>0</v>
      </c>
      <c r="K156" s="114">
        <v>0</v>
      </c>
      <c r="L156" s="113">
        <v>0</v>
      </c>
      <c r="M156" s="114">
        <v>0</v>
      </c>
      <c r="N156" s="113">
        <v>0</v>
      </c>
      <c r="O156" s="114">
        <v>0</v>
      </c>
      <c r="P156" s="113">
        <v>0</v>
      </c>
      <c r="Q156" s="114">
        <v>0</v>
      </c>
      <c r="R156" s="113">
        <v>0</v>
      </c>
      <c r="S156" s="114">
        <v>0</v>
      </c>
      <c r="T156" s="113">
        <v>0</v>
      </c>
      <c r="U156" s="115">
        <v>0</v>
      </c>
      <c r="V156" t="e">
        <f>VLOOKUP(A156,Projetos_Ciclo!$H$2:$H$315,1,FALSE)</f>
        <v>#N/A</v>
      </c>
    </row>
    <row r="157" spans="1:22" x14ac:dyDescent="0.25">
      <c r="A157" s="14" t="s">
        <v>1077</v>
      </c>
      <c r="B157" s="116" t="s">
        <v>1149</v>
      </c>
      <c r="C157" s="116" t="s">
        <v>1263</v>
      </c>
      <c r="D157" s="117">
        <v>0</v>
      </c>
      <c r="E157" s="120">
        <v>0</v>
      </c>
      <c r="F157" s="117">
        <v>0</v>
      </c>
      <c r="G157" s="120">
        <v>479</v>
      </c>
      <c r="H157" s="117">
        <v>0</v>
      </c>
      <c r="I157" s="120">
        <v>479.32675170898437</v>
      </c>
      <c r="J157" s="117">
        <v>0</v>
      </c>
      <c r="K157" s="120">
        <v>479.32675170898437</v>
      </c>
      <c r="L157" s="117">
        <v>0</v>
      </c>
      <c r="M157" s="120">
        <v>479.32675170898437</v>
      </c>
      <c r="N157" s="117">
        <v>0</v>
      </c>
      <c r="O157" s="120">
        <v>0</v>
      </c>
      <c r="P157" s="117">
        <v>0</v>
      </c>
      <c r="Q157" s="120">
        <v>0</v>
      </c>
      <c r="R157" s="117">
        <v>0</v>
      </c>
      <c r="S157" s="120">
        <v>0</v>
      </c>
      <c r="T157" s="117">
        <v>0</v>
      </c>
      <c r="U157" s="119">
        <v>0</v>
      </c>
      <c r="V157" t="str">
        <f>VLOOKUP(A157,Projetos_Ciclo!$H$2:$H$315,1,FALSE)</f>
        <v>TI00118</v>
      </c>
    </row>
    <row r="158" spans="1:22" x14ac:dyDescent="0.25">
      <c r="A158" s="111" t="s">
        <v>1116</v>
      </c>
      <c r="B158" s="112" t="s">
        <v>1118</v>
      </c>
      <c r="C158" s="112" t="s">
        <v>1117</v>
      </c>
      <c r="D158" s="113">
        <v>0</v>
      </c>
      <c r="E158" s="114">
        <v>0</v>
      </c>
      <c r="F158" s="113">
        <v>0</v>
      </c>
      <c r="G158" s="114">
        <v>14</v>
      </c>
      <c r="H158" s="113">
        <v>0</v>
      </c>
      <c r="I158" s="114">
        <v>14.010740280151367</v>
      </c>
      <c r="J158" s="113">
        <v>0</v>
      </c>
      <c r="K158" s="114">
        <v>14.010740280151367</v>
      </c>
      <c r="L158" s="113">
        <v>0</v>
      </c>
      <c r="M158" s="114">
        <v>14.010740280151367</v>
      </c>
      <c r="N158" s="113">
        <v>0</v>
      </c>
      <c r="O158" s="114">
        <v>0</v>
      </c>
      <c r="P158" s="113">
        <v>0</v>
      </c>
      <c r="Q158" s="114">
        <v>0</v>
      </c>
      <c r="R158" s="113">
        <v>0</v>
      </c>
      <c r="S158" s="114">
        <v>0</v>
      </c>
      <c r="T158" s="113">
        <v>0</v>
      </c>
      <c r="U158" s="115">
        <v>0</v>
      </c>
      <c r="V158" t="str">
        <f>VLOOKUP(A158,Projetos_Ciclo!$H$2:$H$315,1,FALSE)</f>
        <v>TI00216</v>
      </c>
    </row>
    <row r="159" spans="1:22" x14ac:dyDescent="0.25">
      <c r="A159" s="14" t="s">
        <v>1124</v>
      </c>
      <c r="B159" s="116" t="s">
        <v>1126</v>
      </c>
      <c r="C159" s="116" t="s">
        <v>1125</v>
      </c>
      <c r="D159" s="117">
        <v>0</v>
      </c>
      <c r="E159" s="120">
        <v>0</v>
      </c>
      <c r="F159" s="117">
        <v>0</v>
      </c>
      <c r="G159" s="120">
        <v>10</v>
      </c>
      <c r="H159" s="117">
        <v>0</v>
      </c>
      <c r="I159" s="120">
        <v>9.5870800018310547</v>
      </c>
      <c r="J159" s="117">
        <v>0</v>
      </c>
      <c r="K159" s="120">
        <v>9.5870800018310547</v>
      </c>
      <c r="L159" s="117">
        <v>0</v>
      </c>
      <c r="M159" s="120">
        <v>9.5870800018310547</v>
      </c>
      <c r="N159" s="117">
        <v>0</v>
      </c>
      <c r="O159" s="120">
        <v>0</v>
      </c>
      <c r="P159" s="117">
        <v>0</v>
      </c>
      <c r="Q159" s="120">
        <v>0</v>
      </c>
      <c r="R159" s="117">
        <v>0</v>
      </c>
      <c r="S159" s="120">
        <v>0</v>
      </c>
      <c r="T159" s="117">
        <v>0</v>
      </c>
      <c r="U159" s="119">
        <v>0</v>
      </c>
      <c r="V159" t="str">
        <f>VLOOKUP(A159,Projetos_Ciclo!$H$2:$H$315,1,FALSE)</f>
        <v>TI00316</v>
      </c>
    </row>
    <row r="160" spans="1:22" x14ac:dyDescent="0.25">
      <c r="A160" s="111" t="s">
        <v>1120</v>
      </c>
      <c r="B160" s="112" t="s">
        <v>1122</v>
      </c>
      <c r="C160" s="112" t="s">
        <v>1121</v>
      </c>
      <c r="D160" s="113">
        <v>0</v>
      </c>
      <c r="E160" s="114">
        <v>0</v>
      </c>
      <c r="F160" s="113">
        <v>0</v>
      </c>
      <c r="G160" s="114">
        <v>11</v>
      </c>
      <c r="H160" s="113">
        <v>0</v>
      </c>
      <c r="I160" s="114">
        <v>10.502650260925293</v>
      </c>
      <c r="J160" s="113">
        <v>0</v>
      </c>
      <c r="K160" s="114">
        <v>10.502650260925293</v>
      </c>
      <c r="L160" s="113">
        <v>0</v>
      </c>
      <c r="M160" s="114">
        <v>10.502650260925293</v>
      </c>
      <c r="N160" s="113">
        <v>0</v>
      </c>
      <c r="O160" s="114">
        <v>0</v>
      </c>
      <c r="P160" s="113">
        <v>0</v>
      </c>
      <c r="Q160" s="114">
        <v>0</v>
      </c>
      <c r="R160" s="113">
        <v>0</v>
      </c>
      <c r="S160" s="114">
        <v>0</v>
      </c>
      <c r="T160" s="113">
        <v>0</v>
      </c>
      <c r="U160" s="115">
        <v>0</v>
      </c>
      <c r="V160" t="str">
        <f>VLOOKUP(A160,Projetos_Ciclo!$H$2:$H$315,1,FALSE)</f>
        <v>TI00416</v>
      </c>
    </row>
    <row r="161" spans="1:22" x14ac:dyDescent="0.25">
      <c r="A161" s="14" t="s">
        <v>702</v>
      </c>
      <c r="B161" s="116" t="s">
        <v>1264</v>
      </c>
      <c r="C161" s="116" t="s">
        <v>1265</v>
      </c>
      <c r="D161" s="117">
        <v>0</v>
      </c>
      <c r="E161" s="120">
        <v>0</v>
      </c>
      <c r="F161" s="117">
        <v>0</v>
      </c>
      <c r="G161" s="120">
        <v>102</v>
      </c>
      <c r="H161" s="117">
        <v>0</v>
      </c>
      <c r="I161" s="120">
        <v>101.37385904788971</v>
      </c>
      <c r="J161" s="117">
        <v>0</v>
      </c>
      <c r="K161" s="120">
        <v>101.37385904788971</v>
      </c>
      <c r="L161" s="117">
        <v>0</v>
      </c>
      <c r="M161" s="120">
        <v>101.37385904788971</v>
      </c>
      <c r="N161" s="117">
        <v>0</v>
      </c>
      <c r="O161" s="120">
        <v>0</v>
      </c>
      <c r="P161" s="117">
        <v>0</v>
      </c>
      <c r="Q161" s="120">
        <v>0</v>
      </c>
      <c r="R161" s="117">
        <v>0</v>
      </c>
      <c r="S161" s="120">
        <v>0</v>
      </c>
      <c r="T161" s="117">
        <v>0</v>
      </c>
      <c r="U161" s="119">
        <v>0</v>
      </c>
      <c r="V161" t="str">
        <f>VLOOKUP(A161,Projetos_Ciclo!$H$2:$H$315,1,FALSE)</f>
        <v>TI00417</v>
      </c>
    </row>
    <row r="162" spans="1:22" x14ac:dyDescent="0.25">
      <c r="A162" s="111" t="s">
        <v>701</v>
      </c>
      <c r="B162" s="112" t="s">
        <v>316</v>
      </c>
      <c r="C162" s="112" t="s">
        <v>1269</v>
      </c>
      <c r="D162" s="113">
        <v>0</v>
      </c>
      <c r="E162" s="114">
        <v>0</v>
      </c>
      <c r="F162" s="113">
        <v>0</v>
      </c>
      <c r="G162" s="114">
        <v>122</v>
      </c>
      <c r="H162" s="113">
        <v>0</v>
      </c>
      <c r="I162" s="114">
        <v>103.01386070251465</v>
      </c>
      <c r="J162" s="113">
        <v>0</v>
      </c>
      <c r="K162" s="114">
        <v>103.01386070251465</v>
      </c>
      <c r="L162" s="113">
        <v>14.492839813232422</v>
      </c>
      <c r="M162" s="114">
        <v>117.50670051574707</v>
      </c>
      <c r="N162" s="113">
        <v>0</v>
      </c>
      <c r="O162" s="114">
        <v>0</v>
      </c>
      <c r="P162" s="113">
        <v>0</v>
      </c>
      <c r="Q162" s="114">
        <v>0</v>
      </c>
      <c r="R162" s="113">
        <v>0</v>
      </c>
      <c r="S162" s="114">
        <v>0</v>
      </c>
      <c r="T162" s="113">
        <v>0</v>
      </c>
      <c r="U162" s="115">
        <v>0</v>
      </c>
      <c r="V162" t="str">
        <f>VLOOKUP(A162,Projetos_Ciclo!$H$2:$H$315,1,FALSE)</f>
        <v>TI00517</v>
      </c>
    </row>
    <row r="163" spans="1:22" x14ac:dyDescent="0.25">
      <c r="A163" s="14" t="s">
        <v>699</v>
      </c>
      <c r="B163" s="116" t="s">
        <v>1270</v>
      </c>
      <c r="C163" s="116" t="s">
        <v>1271</v>
      </c>
      <c r="D163" s="117">
        <v>0</v>
      </c>
      <c r="E163" s="120">
        <v>0</v>
      </c>
      <c r="F163" s="117">
        <v>0</v>
      </c>
      <c r="G163" s="120">
        <v>438</v>
      </c>
      <c r="H163" s="117">
        <v>0</v>
      </c>
      <c r="I163" s="120">
        <v>275.21786499023437</v>
      </c>
      <c r="J163" s="117">
        <v>0</v>
      </c>
      <c r="K163" s="120">
        <v>275.21786499023437</v>
      </c>
      <c r="L163" s="117">
        <v>162.94331359863281</v>
      </c>
      <c r="M163" s="120">
        <v>438.16117858886719</v>
      </c>
      <c r="N163" s="117">
        <v>0</v>
      </c>
      <c r="O163" s="120">
        <v>0</v>
      </c>
      <c r="P163" s="117">
        <v>0</v>
      </c>
      <c r="Q163" s="120">
        <v>0</v>
      </c>
      <c r="R163" s="117">
        <v>0</v>
      </c>
      <c r="S163" s="120">
        <v>0</v>
      </c>
      <c r="T163" s="117">
        <v>0</v>
      </c>
      <c r="U163" s="119">
        <v>0</v>
      </c>
      <c r="V163" t="str">
        <f>VLOOKUP(A163,Projetos_Ciclo!$H$2:$H$315,1,FALSE)</f>
        <v>TI00617</v>
      </c>
    </row>
    <row r="164" spans="1:22" x14ac:dyDescent="0.25">
      <c r="A164" s="111" t="s">
        <v>1275</v>
      </c>
      <c r="B164" s="112" t="s">
        <v>767</v>
      </c>
      <c r="C164" s="112" t="s">
        <v>1276</v>
      </c>
      <c r="D164" s="113">
        <v>0</v>
      </c>
      <c r="E164" s="114">
        <v>0</v>
      </c>
      <c r="F164" s="113">
        <v>0</v>
      </c>
      <c r="G164" s="114">
        <v>0</v>
      </c>
      <c r="H164" s="113">
        <v>0</v>
      </c>
      <c r="I164" s="114">
        <v>0</v>
      </c>
      <c r="J164" s="113">
        <v>0</v>
      </c>
      <c r="K164" s="114">
        <v>0</v>
      </c>
      <c r="L164" s="113">
        <v>0</v>
      </c>
      <c r="M164" s="114">
        <v>0</v>
      </c>
      <c r="N164" s="113">
        <v>0</v>
      </c>
      <c r="O164" s="114">
        <v>0</v>
      </c>
      <c r="P164" s="113">
        <v>0</v>
      </c>
      <c r="Q164" s="114">
        <v>0</v>
      </c>
      <c r="R164" s="113">
        <v>0</v>
      </c>
      <c r="S164" s="114">
        <v>0</v>
      </c>
      <c r="T164" s="113">
        <v>0</v>
      </c>
      <c r="U164" s="115">
        <v>0</v>
      </c>
      <c r="V164" t="str">
        <f>VLOOKUP(A164,Projetos_Ciclo!$H$2:$H$315,1,FALSE)</f>
        <v>TI00818</v>
      </c>
    </row>
    <row r="165" spans="1:22" x14ac:dyDescent="0.25">
      <c r="A165" s="14" t="s">
        <v>1128</v>
      </c>
      <c r="B165" s="116" t="s">
        <v>1277</v>
      </c>
      <c r="C165" s="116" t="s">
        <v>1129</v>
      </c>
      <c r="D165" s="117">
        <v>0</v>
      </c>
      <c r="E165" s="120">
        <v>0</v>
      </c>
      <c r="F165" s="117">
        <v>0</v>
      </c>
      <c r="G165" s="120">
        <v>1</v>
      </c>
      <c r="H165" s="117">
        <v>0</v>
      </c>
      <c r="I165" s="120">
        <v>0.70901525020599365</v>
      </c>
      <c r="J165" s="117">
        <v>0</v>
      </c>
      <c r="K165" s="120">
        <v>0.70901525020599365</v>
      </c>
      <c r="L165" s="117">
        <v>0</v>
      </c>
      <c r="M165" s="120">
        <v>0.70901525020599365</v>
      </c>
      <c r="N165" s="117">
        <v>0</v>
      </c>
      <c r="O165" s="120">
        <v>0</v>
      </c>
      <c r="P165" s="117">
        <v>0</v>
      </c>
      <c r="Q165" s="120">
        <v>0</v>
      </c>
      <c r="R165" s="117">
        <v>0</v>
      </c>
      <c r="S165" s="120">
        <v>0</v>
      </c>
      <c r="T165" s="117">
        <v>0</v>
      </c>
      <c r="U165" s="119">
        <v>0</v>
      </c>
      <c r="V165" t="str">
        <f>VLOOKUP(A165,Projetos_Ciclo!$H$2:$H$315,1,FALSE)</f>
        <v>TI00914</v>
      </c>
    </row>
    <row r="166" spans="1:22" x14ac:dyDescent="0.25">
      <c r="A166" s="111" t="s">
        <v>1278</v>
      </c>
      <c r="B166" s="112" t="s">
        <v>946</v>
      </c>
      <c r="C166" s="112" t="s">
        <v>1279</v>
      </c>
      <c r="D166" s="113">
        <v>0</v>
      </c>
      <c r="E166" s="114">
        <v>0</v>
      </c>
      <c r="F166" s="113">
        <v>0</v>
      </c>
      <c r="G166" s="114">
        <v>0</v>
      </c>
      <c r="H166" s="113">
        <v>0</v>
      </c>
      <c r="I166" s="114">
        <v>0</v>
      </c>
      <c r="J166" s="113">
        <v>0</v>
      </c>
      <c r="K166" s="114">
        <v>0</v>
      </c>
      <c r="L166" s="113">
        <v>0</v>
      </c>
      <c r="M166" s="114">
        <v>0</v>
      </c>
      <c r="N166" s="113">
        <v>0</v>
      </c>
      <c r="O166" s="114">
        <v>0</v>
      </c>
      <c r="P166" s="113">
        <v>0</v>
      </c>
      <c r="Q166" s="114">
        <v>0</v>
      </c>
      <c r="R166" s="113">
        <v>0</v>
      </c>
      <c r="S166" s="114">
        <v>0</v>
      </c>
      <c r="T166" s="113">
        <v>0</v>
      </c>
      <c r="U166" s="115">
        <v>0</v>
      </c>
      <c r="V166" t="str">
        <f>VLOOKUP(A166,Projetos_Ciclo!$H$2:$H$315,1,FALSE)</f>
        <v>TI00918</v>
      </c>
    </row>
    <row r="167" spans="1:22" x14ac:dyDescent="0.25">
      <c r="A167" s="14" t="s">
        <v>519</v>
      </c>
      <c r="B167" s="116" t="s">
        <v>1280</v>
      </c>
      <c r="C167" s="116" t="s">
        <v>1281</v>
      </c>
      <c r="D167" s="117">
        <v>0</v>
      </c>
      <c r="E167" s="120">
        <v>0</v>
      </c>
      <c r="F167" s="117">
        <v>0</v>
      </c>
      <c r="G167" s="120">
        <v>2954</v>
      </c>
      <c r="H167" s="117">
        <v>0</v>
      </c>
      <c r="I167" s="120">
        <v>282.74730110168457</v>
      </c>
      <c r="J167" s="117">
        <v>0</v>
      </c>
      <c r="K167" s="120">
        <v>282.74730110168457</v>
      </c>
      <c r="L167" s="117">
        <v>630.26922607421875</v>
      </c>
      <c r="M167" s="120">
        <v>913.01652717590332</v>
      </c>
      <c r="N167" s="117">
        <v>0</v>
      </c>
      <c r="O167" s="120">
        <v>0</v>
      </c>
      <c r="P167" s="117">
        <v>0</v>
      </c>
      <c r="Q167" s="120">
        <v>0</v>
      </c>
      <c r="R167" s="117">
        <v>0</v>
      </c>
      <c r="S167" s="120">
        <v>0</v>
      </c>
      <c r="T167" s="117">
        <v>0</v>
      </c>
      <c r="U167" s="119">
        <v>0</v>
      </c>
      <c r="V167" t="str">
        <f>VLOOKUP(A167,Projetos_Ciclo!$H$2:$H$315,1,FALSE)</f>
        <v>TI01016</v>
      </c>
    </row>
    <row r="168" spans="1:22" x14ac:dyDescent="0.25">
      <c r="A168" s="111" t="s">
        <v>1282</v>
      </c>
      <c r="B168" s="112" t="s">
        <v>1283</v>
      </c>
      <c r="C168" s="112" t="s">
        <v>1284</v>
      </c>
      <c r="D168" s="113">
        <v>0</v>
      </c>
      <c r="E168" s="114">
        <v>0</v>
      </c>
      <c r="F168" s="113">
        <v>0</v>
      </c>
      <c r="G168" s="114">
        <v>0</v>
      </c>
      <c r="H168" s="113">
        <v>0</v>
      </c>
      <c r="I168" s="114">
        <v>0</v>
      </c>
      <c r="J168" s="113">
        <v>0</v>
      </c>
      <c r="K168" s="114">
        <v>0</v>
      </c>
      <c r="L168" s="113">
        <v>0</v>
      </c>
      <c r="M168" s="114">
        <v>0</v>
      </c>
      <c r="N168" s="113">
        <v>0</v>
      </c>
      <c r="O168" s="114">
        <v>0</v>
      </c>
      <c r="P168" s="113">
        <v>0</v>
      </c>
      <c r="Q168" s="114">
        <v>0</v>
      </c>
      <c r="R168" s="113">
        <v>0</v>
      </c>
      <c r="S168" s="114">
        <v>0</v>
      </c>
      <c r="T168" s="113">
        <v>0</v>
      </c>
      <c r="U168" s="115">
        <v>0</v>
      </c>
      <c r="V168" t="str">
        <f>VLOOKUP(A168,Projetos_Ciclo!$H$2:$H$315,1,FALSE)</f>
        <v>TI01018</v>
      </c>
    </row>
    <row r="169" spans="1:22" x14ac:dyDescent="0.25">
      <c r="A169" s="14" t="s">
        <v>1106</v>
      </c>
      <c r="B169" s="116" t="s">
        <v>1285</v>
      </c>
      <c r="C169" s="116" t="s">
        <v>1107</v>
      </c>
      <c r="D169" s="117">
        <v>0</v>
      </c>
      <c r="E169" s="120">
        <v>0</v>
      </c>
      <c r="F169" s="117">
        <v>0</v>
      </c>
      <c r="G169" s="120">
        <v>1606</v>
      </c>
      <c r="H169" s="117">
        <v>0</v>
      </c>
      <c r="I169" s="120">
        <v>1236.459716796875</v>
      </c>
      <c r="J169" s="117">
        <v>0</v>
      </c>
      <c r="K169" s="120">
        <v>1236.459716796875</v>
      </c>
      <c r="L169" s="117">
        <v>0</v>
      </c>
      <c r="M169" s="120">
        <v>1236.459716796875</v>
      </c>
      <c r="N169" s="117">
        <v>0</v>
      </c>
      <c r="O169" s="120">
        <v>0</v>
      </c>
      <c r="P169" s="117">
        <v>0</v>
      </c>
      <c r="Q169" s="120">
        <v>0</v>
      </c>
      <c r="R169" s="117">
        <v>0</v>
      </c>
      <c r="S169" s="120">
        <v>0</v>
      </c>
      <c r="T169" s="117">
        <v>0</v>
      </c>
      <c r="U169" s="119">
        <v>0</v>
      </c>
      <c r="V169" t="str">
        <f>VLOOKUP(A169,Projetos_Ciclo!$H$2:$H$315,1,FALSE)</f>
        <v>TI01118</v>
      </c>
    </row>
    <row r="170" spans="1:22" x14ac:dyDescent="0.25">
      <c r="A170" s="111" t="s">
        <v>1289</v>
      </c>
      <c r="B170" s="112" t="s">
        <v>1290</v>
      </c>
      <c r="C170" s="112" t="s">
        <v>1291</v>
      </c>
      <c r="D170" s="113">
        <v>0</v>
      </c>
      <c r="E170" s="114">
        <v>0</v>
      </c>
      <c r="F170" s="113">
        <v>0</v>
      </c>
      <c r="G170" s="114">
        <v>0</v>
      </c>
      <c r="H170" s="113">
        <v>0</v>
      </c>
      <c r="I170" s="114">
        <v>0</v>
      </c>
      <c r="J170" s="113">
        <v>0</v>
      </c>
      <c r="K170" s="114">
        <v>0</v>
      </c>
      <c r="L170" s="113">
        <v>0</v>
      </c>
      <c r="M170" s="114">
        <v>0</v>
      </c>
      <c r="N170" s="113">
        <v>0</v>
      </c>
      <c r="O170" s="114">
        <v>0</v>
      </c>
      <c r="P170" s="113">
        <v>0</v>
      </c>
      <c r="Q170" s="114">
        <v>0</v>
      </c>
      <c r="R170" s="113">
        <v>0</v>
      </c>
      <c r="S170" s="114">
        <v>0</v>
      </c>
      <c r="T170" s="113">
        <v>0</v>
      </c>
      <c r="U170" s="115">
        <v>0</v>
      </c>
      <c r="V170" t="str">
        <f>VLOOKUP(A170,Projetos_Ciclo!$H$2:$H$315,1,FALSE)</f>
        <v>TI01218</v>
      </c>
    </row>
    <row r="171" spans="1:22" x14ac:dyDescent="0.25">
      <c r="A171" s="14" t="s">
        <v>703</v>
      </c>
      <c r="B171" s="116" t="s">
        <v>322</v>
      </c>
      <c r="C171" s="116" t="s">
        <v>1292</v>
      </c>
      <c r="D171" s="117">
        <v>0</v>
      </c>
      <c r="E171" s="120">
        <v>0</v>
      </c>
      <c r="F171" s="117">
        <v>0</v>
      </c>
      <c r="G171" s="120">
        <v>217</v>
      </c>
      <c r="H171" s="117">
        <v>0</v>
      </c>
      <c r="I171" s="120">
        <v>216.76560020446777</v>
      </c>
      <c r="J171" s="117">
        <v>0</v>
      </c>
      <c r="K171" s="120">
        <v>216.76560020446777</v>
      </c>
      <c r="L171" s="117">
        <v>0.12561999261379242</v>
      </c>
      <c r="M171" s="120">
        <v>216.89122019708157</v>
      </c>
      <c r="N171" s="117">
        <v>0</v>
      </c>
      <c r="O171" s="120">
        <v>0</v>
      </c>
      <c r="P171" s="117">
        <v>0</v>
      </c>
      <c r="Q171" s="120">
        <v>0</v>
      </c>
      <c r="R171" s="117">
        <v>0</v>
      </c>
      <c r="S171" s="120">
        <v>0</v>
      </c>
      <c r="T171" s="117">
        <v>0</v>
      </c>
      <c r="U171" s="119">
        <v>0</v>
      </c>
      <c r="V171" t="str">
        <f>VLOOKUP(A171,Projetos_Ciclo!$H$2:$H$315,1,FALSE)</f>
        <v>TI01317</v>
      </c>
    </row>
    <row r="172" spans="1:22" x14ac:dyDescent="0.25">
      <c r="A172" s="111" t="s">
        <v>1293</v>
      </c>
      <c r="B172" s="112" t="s">
        <v>1294</v>
      </c>
      <c r="C172" s="112" t="s">
        <v>1295</v>
      </c>
      <c r="D172" s="113">
        <v>90241</v>
      </c>
      <c r="E172" s="114">
        <v>0</v>
      </c>
      <c r="F172" s="113">
        <v>54226</v>
      </c>
      <c r="G172" s="114">
        <v>0</v>
      </c>
      <c r="H172" s="113">
        <v>16595</v>
      </c>
      <c r="I172" s="114">
        <v>0</v>
      </c>
      <c r="J172" s="113">
        <v>0</v>
      </c>
      <c r="K172" s="114">
        <v>0</v>
      </c>
      <c r="L172" s="113">
        <v>0</v>
      </c>
      <c r="M172" s="114">
        <v>0</v>
      </c>
      <c r="N172" s="113">
        <v>20952</v>
      </c>
      <c r="O172" s="114">
        <v>11325</v>
      </c>
      <c r="P172" s="113">
        <v>3638</v>
      </c>
      <c r="Q172" s="114">
        <v>100</v>
      </c>
      <c r="R172" s="113">
        <v>0</v>
      </c>
      <c r="S172" s="114">
        <v>0</v>
      </c>
      <c r="T172" s="113">
        <v>0</v>
      </c>
      <c r="U172" s="115">
        <v>0</v>
      </c>
      <c r="V172" t="e">
        <f>VLOOKUP(A172,Projetos_Ciclo!$H$2:$H$315,1,FALSE)</f>
        <v>#N/A</v>
      </c>
    </row>
    <row r="173" spans="1:22" x14ac:dyDescent="0.25">
      <c r="A173" s="14" t="s">
        <v>696</v>
      </c>
      <c r="B173" s="116" t="s">
        <v>304</v>
      </c>
      <c r="C173" s="116" t="s">
        <v>1299</v>
      </c>
      <c r="D173" s="117">
        <v>0</v>
      </c>
      <c r="E173" s="120">
        <v>0</v>
      </c>
      <c r="F173" s="117">
        <v>0</v>
      </c>
      <c r="G173" s="120">
        <v>8624</v>
      </c>
      <c r="H173" s="117">
        <v>0</v>
      </c>
      <c r="I173" s="120">
        <v>6057.4615314006805</v>
      </c>
      <c r="J173" s="117">
        <v>0</v>
      </c>
      <c r="K173" s="120">
        <v>6057.4615314006805</v>
      </c>
      <c r="L173" s="117">
        <v>2550.7035424187779</v>
      </c>
      <c r="M173" s="120">
        <v>8608.1650738194585</v>
      </c>
      <c r="N173" s="117">
        <v>0</v>
      </c>
      <c r="O173" s="120">
        <v>0</v>
      </c>
      <c r="P173" s="117">
        <v>0</v>
      </c>
      <c r="Q173" s="120">
        <v>0</v>
      </c>
      <c r="R173" s="117">
        <v>0</v>
      </c>
      <c r="S173" s="120">
        <v>0</v>
      </c>
      <c r="T173" s="117">
        <v>0</v>
      </c>
      <c r="U173" s="119">
        <v>0</v>
      </c>
      <c r="V173" t="str">
        <f>VLOOKUP(A173,Projetos_Ciclo!$H$2:$H$315,1,FALSE)</f>
        <v>TI01715</v>
      </c>
    </row>
    <row r="174" spans="1:22" x14ac:dyDescent="0.25">
      <c r="A174" s="111" t="s">
        <v>707</v>
      </c>
      <c r="B174" s="112" t="s">
        <v>1300</v>
      </c>
      <c r="C174" s="112" t="s">
        <v>1301</v>
      </c>
      <c r="D174" s="113">
        <v>0</v>
      </c>
      <c r="E174" s="114">
        <v>0</v>
      </c>
      <c r="F174" s="113">
        <v>0</v>
      </c>
      <c r="G174" s="114">
        <v>684</v>
      </c>
      <c r="H174" s="113">
        <v>0</v>
      </c>
      <c r="I174" s="114">
        <v>435.61255645751953</v>
      </c>
      <c r="J174" s="113">
        <v>0</v>
      </c>
      <c r="K174" s="114">
        <v>435.61255645751953</v>
      </c>
      <c r="L174" s="113">
        <v>0</v>
      </c>
      <c r="M174" s="114">
        <v>435.61255645751953</v>
      </c>
      <c r="N174" s="113">
        <v>0</v>
      </c>
      <c r="O174" s="114">
        <v>0</v>
      </c>
      <c r="P174" s="113">
        <v>0</v>
      </c>
      <c r="Q174" s="114">
        <v>0</v>
      </c>
      <c r="R174" s="113">
        <v>0</v>
      </c>
      <c r="S174" s="114">
        <v>0</v>
      </c>
      <c r="T174" s="113">
        <v>0</v>
      </c>
      <c r="U174" s="115">
        <v>0</v>
      </c>
      <c r="V174" t="str">
        <f>VLOOKUP(A174,Projetos_Ciclo!$H$2:$H$315,1,FALSE)</f>
        <v>TI01813</v>
      </c>
    </row>
    <row r="175" spans="1:22" x14ac:dyDescent="0.25">
      <c r="A175" s="14" t="s">
        <v>518</v>
      </c>
      <c r="B175" s="116" t="s">
        <v>1302</v>
      </c>
      <c r="C175" s="116" t="s">
        <v>1303</v>
      </c>
      <c r="D175" s="117">
        <v>0</v>
      </c>
      <c r="E175" s="120">
        <v>0</v>
      </c>
      <c r="F175" s="117">
        <v>0</v>
      </c>
      <c r="G175" s="120">
        <v>6163</v>
      </c>
      <c r="H175" s="117">
        <v>0</v>
      </c>
      <c r="I175" s="120">
        <v>1300.3866891860962</v>
      </c>
      <c r="J175" s="117">
        <v>0</v>
      </c>
      <c r="K175" s="120">
        <v>1300.3866891860962</v>
      </c>
      <c r="L175" s="117">
        <v>71.105120658874512</v>
      </c>
      <c r="M175" s="120">
        <v>1371.4918098449707</v>
      </c>
      <c r="N175" s="117">
        <v>0</v>
      </c>
      <c r="O175" s="120">
        <v>0</v>
      </c>
      <c r="P175" s="117">
        <v>0</v>
      </c>
      <c r="Q175" s="120">
        <v>0</v>
      </c>
      <c r="R175" s="117">
        <v>0</v>
      </c>
      <c r="S175" s="120">
        <v>0</v>
      </c>
      <c r="T175" s="117">
        <v>0</v>
      </c>
      <c r="U175" s="119">
        <v>0</v>
      </c>
      <c r="V175" t="str">
        <f>VLOOKUP(A175,Projetos_Ciclo!$H$2:$H$315,1,FALSE)</f>
        <v>TI02115</v>
      </c>
    </row>
    <row r="176" spans="1:22" x14ac:dyDescent="0.25">
      <c r="A176" s="111" t="s">
        <v>711</v>
      </c>
      <c r="B176" s="112" t="s">
        <v>712</v>
      </c>
      <c r="C176" s="112" t="s">
        <v>1304</v>
      </c>
      <c r="D176" s="113">
        <v>0</v>
      </c>
      <c r="E176" s="114">
        <v>0</v>
      </c>
      <c r="F176" s="113">
        <v>0</v>
      </c>
      <c r="G176" s="114">
        <v>120</v>
      </c>
      <c r="H176" s="113">
        <v>0</v>
      </c>
      <c r="I176" s="114">
        <v>67.199996948242187</v>
      </c>
      <c r="J176" s="113">
        <v>0</v>
      </c>
      <c r="K176" s="114">
        <v>67.199996948242187</v>
      </c>
      <c r="L176" s="113">
        <v>52.799999237060547</v>
      </c>
      <c r="M176" s="114">
        <v>119.99999618530273</v>
      </c>
      <c r="N176" s="113">
        <v>0</v>
      </c>
      <c r="O176" s="114">
        <v>0</v>
      </c>
      <c r="P176" s="113">
        <v>0</v>
      </c>
      <c r="Q176" s="114">
        <v>0</v>
      </c>
      <c r="R176" s="113">
        <v>0</v>
      </c>
      <c r="S176" s="114">
        <v>0</v>
      </c>
      <c r="T176" s="113">
        <v>0</v>
      </c>
      <c r="U176" s="115">
        <v>0</v>
      </c>
      <c r="V176" t="str">
        <f>VLOOKUP(A176,Projetos_Ciclo!$H$2:$H$315,1,FALSE)</f>
        <v>TI02217</v>
      </c>
    </row>
    <row r="177" spans="1:22" x14ac:dyDescent="0.25">
      <c r="A177" s="14" t="s">
        <v>1114</v>
      </c>
      <c r="B177" s="116" t="s">
        <v>1112</v>
      </c>
      <c r="C177" s="116" t="s">
        <v>1115</v>
      </c>
      <c r="D177" s="117">
        <v>0</v>
      </c>
      <c r="E177" s="120">
        <v>0</v>
      </c>
      <c r="F177" s="117">
        <v>0</v>
      </c>
      <c r="G177" s="120">
        <v>142</v>
      </c>
      <c r="H177" s="117">
        <v>0</v>
      </c>
      <c r="I177" s="120">
        <v>22.924160003662109</v>
      </c>
      <c r="J177" s="117">
        <v>0</v>
      </c>
      <c r="K177" s="120">
        <v>22.924160003662109</v>
      </c>
      <c r="L177" s="117">
        <v>118.77184295654297</v>
      </c>
      <c r="M177" s="120">
        <v>141.69600296020508</v>
      </c>
      <c r="N177" s="117">
        <v>0</v>
      </c>
      <c r="O177" s="120">
        <v>0</v>
      </c>
      <c r="P177" s="117">
        <v>0</v>
      </c>
      <c r="Q177" s="120">
        <v>0</v>
      </c>
      <c r="R177" s="117">
        <v>0</v>
      </c>
      <c r="S177" s="120">
        <v>0</v>
      </c>
      <c r="T177" s="117">
        <v>0</v>
      </c>
      <c r="U177" s="119">
        <v>0</v>
      </c>
      <c r="V177" t="str">
        <f>VLOOKUP(A177,Projetos_Ciclo!$H$2:$H$315,1,FALSE)</f>
        <v>TI02318</v>
      </c>
    </row>
    <row r="178" spans="1:22" x14ac:dyDescent="0.25">
      <c r="A178" s="111" t="s">
        <v>1307</v>
      </c>
      <c r="B178" s="112" t="s">
        <v>1308</v>
      </c>
      <c r="C178" s="112" t="s">
        <v>1309</v>
      </c>
      <c r="D178" s="113">
        <v>0</v>
      </c>
      <c r="E178" s="114">
        <v>0</v>
      </c>
      <c r="F178" s="113">
        <v>0</v>
      </c>
      <c r="G178" s="114">
        <v>373</v>
      </c>
      <c r="H178" s="113">
        <v>0</v>
      </c>
      <c r="I178" s="114">
        <v>73.648349761962891</v>
      </c>
      <c r="J178" s="113">
        <v>0</v>
      </c>
      <c r="K178" s="114">
        <v>73.648349761962891</v>
      </c>
      <c r="L178" s="113">
        <v>176.40750122070312</v>
      </c>
      <c r="M178" s="114">
        <v>250.05585098266602</v>
      </c>
      <c r="N178" s="113">
        <v>0</v>
      </c>
      <c r="O178" s="114">
        <v>0</v>
      </c>
      <c r="P178" s="113">
        <v>0</v>
      </c>
      <c r="Q178" s="114">
        <v>0</v>
      </c>
      <c r="R178" s="113">
        <v>0</v>
      </c>
      <c r="S178" s="114">
        <v>0</v>
      </c>
      <c r="T178" s="113">
        <v>0</v>
      </c>
      <c r="U178" s="115">
        <v>0</v>
      </c>
      <c r="V178" t="str">
        <f>VLOOKUP(A178,Projetos_Ciclo!$H$2:$H$315,1,FALSE)</f>
        <v>TI02416</v>
      </c>
    </row>
    <row r="179" spans="1:22" x14ac:dyDescent="0.25">
      <c r="A179" s="14" t="s">
        <v>1110</v>
      </c>
      <c r="B179" s="116" t="s">
        <v>708</v>
      </c>
      <c r="C179" s="116" t="s">
        <v>1111</v>
      </c>
      <c r="D179" s="117">
        <v>0</v>
      </c>
      <c r="E179" s="120">
        <v>0</v>
      </c>
      <c r="F179" s="117">
        <v>0</v>
      </c>
      <c r="G179" s="120">
        <v>693</v>
      </c>
      <c r="H179" s="117">
        <v>0</v>
      </c>
      <c r="I179" s="120">
        <v>693.4403076171875</v>
      </c>
      <c r="J179" s="117">
        <v>0</v>
      </c>
      <c r="K179" s="120">
        <v>693.4403076171875</v>
      </c>
      <c r="L179" s="117">
        <v>0</v>
      </c>
      <c r="M179" s="120">
        <v>693.4403076171875</v>
      </c>
      <c r="N179" s="117">
        <v>0</v>
      </c>
      <c r="O179" s="120">
        <v>0</v>
      </c>
      <c r="P179" s="117">
        <v>0</v>
      </c>
      <c r="Q179" s="120">
        <v>0</v>
      </c>
      <c r="R179" s="117">
        <v>0</v>
      </c>
      <c r="S179" s="120">
        <v>0</v>
      </c>
      <c r="T179" s="117">
        <v>0</v>
      </c>
      <c r="U179" s="119">
        <v>0</v>
      </c>
      <c r="V179" t="str">
        <f>VLOOKUP(A179,Projetos_Ciclo!$H$2:$H$315,1,FALSE)</f>
        <v>TI02418</v>
      </c>
    </row>
    <row r="180" spans="1:22" x14ac:dyDescent="0.25">
      <c r="A180" s="111" t="s">
        <v>697</v>
      </c>
      <c r="B180" s="112" t="s">
        <v>1310</v>
      </c>
      <c r="C180" s="112" t="s">
        <v>1311</v>
      </c>
      <c r="D180" s="113">
        <v>0</v>
      </c>
      <c r="E180" s="114">
        <v>0</v>
      </c>
      <c r="F180" s="113">
        <v>0</v>
      </c>
      <c r="G180" s="114">
        <v>350</v>
      </c>
      <c r="H180" s="113">
        <v>0</v>
      </c>
      <c r="I180" s="114">
        <v>69.175031423568726</v>
      </c>
      <c r="J180" s="113">
        <v>0</v>
      </c>
      <c r="K180" s="114">
        <v>69.175031423568726</v>
      </c>
      <c r="L180" s="113">
        <v>53.539989709854126</v>
      </c>
      <c r="M180" s="114">
        <v>122.71502113342285</v>
      </c>
      <c r="N180" s="113">
        <v>0</v>
      </c>
      <c r="O180" s="114">
        <v>0</v>
      </c>
      <c r="P180" s="113">
        <v>0</v>
      </c>
      <c r="Q180" s="114">
        <v>0</v>
      </c>
      <c r="R180" s="113">
        <v>0</v>
      </c>
      <c r="S180" s="114">
        <v>0</v>
      </c>
      <c r="T180" s="113">
        <v>0</v>
      </c>
      <c r="U180" s="115">
        <v>0</v>
      </c>
      <c r="V180" t="str">
        <f>VLOOKUP(A180,Projetos_Ciclo!$H$2:$H$315,1,FALSE)</f>
        <v>TI02515</v>
      </c>
    </row>
    <row r="181" spans="1:22" x14ac:dyDescent="0.25">
      <c r="A181" s="14" t="s">
        <v>521</v>
      </c>
      <c r="B181" s="116" t="s">
        <v>1312</v>
      </c>
      <c r="C181" s="116" t="s">
        <v>1313</v>
      </c>
      <c r="D181" s="117">
        <v>0</v>
      </c>
      <c r="E181" s="120">
        <v>0</v>
      </c>
      <c r="F181" s="117">
        <v>0</v>
      </c>
      <c r="G181" s="120">
        <v>149</v>
      </c>
      <c r="H181" s="117">
        <v>0</v>
      </c>
      <c r="I181" s="120">
        <v>0</v>
      </c>
      <c r="J181" s="117">
        <v>0</v>
      </c>
      <c r="K181" s="120">
        <v>0</v>
      </c>
      <c r="L181" s="117">
        <v>148.70700073242187</v>
      </c>
      <c r="M181" s="120">
        <v>148.70700073242187</v>
      </c>
      <c r="N181" s="117">
        <v>0</v>
      </c>
      <c r="O181" s="120">
        <v>0</v>
      </c>
      <c r="P181" s="117">
        <v>0</v>
      </c>
      <c r="Q181" s="120">
        <v>0</v>
      </c>
      <c r="R181" s="117">
        <v>0</v>
      </c>
      <c r="S181" s="120">
        <v>0</v>
      </c>
      <c r="T181" s="117">
        <v>0</v>
      </c>
      <c r="U181" s="119">
        <v>0</v>
      </c>
      <c r="V181" t="str">
        <f>VLOOKUP(A181,Projetos_Ciclo!$H$2:$H$315,1,FALSE)</f>
        <v>TI02516</v>
      </c>
    </row>
    <row r="182" spans="1:22" x14ac:dyDescent="0.25">
      <c r="A182" s="111" t="s">
        <v>523</v>
      </c>
      <c r="B182" s="112" t="s">
        <v>522</v>
      </c>
      <c r="C182" s="112" t="s">
        <v>1314</v>
      </c>
      <c r="D182" s="113">
        <v>0</v>
      </c>
      <c r="E182" s="114">
        <v>0</v>
      </c>
      <c r="F182" s="113">
        <v>0</v>
      </c>
      <c r="G182" s="114">
        <v>55</v>
      </c>
      <c r="H182" s="113">
        <v>0</v>
      </c>
      <c r="I182" s="114">
        <v>0</v>
      </c>
      <c r="J182" s="113">
        <v>0</v>
      </c>
      <c r="K182" s="114">
        <v>0</v>
      </c>
      <c r="L182" s="113">
        <v>34.817581176757813</v>
      </c>
      <c r="M182" s="114">
        <v>34.817581176757813</v>
      </c>
      <c r="N182" s="113">
        <v>0</v>
      </c>
      <c r="O182" s="114">
        <v>0</v>
      </c>
      <c r="P182" s="113">
        <v>0</v>
      </c>
      <c r="Q182" s="114">
        <v>0</v>
      </c>
      <c r="R182" s="113">
        <v>0</v>
      </c>
      <c r="S182" s="114">
        <v>0</v>
      </c>
      <c r="T182" s="113">
        <v>0</v>
      </c>
      <c r="U182" s="115">
        <v>0</v>
      </c>
      <c r="V182" t="str">
        <f>VLOOKUP(A182,Projetos_Ciclo!$H$2:$H$315,1,FALSE)</f>
        <v>TI02616</v>
      </c>
    </row>
    <row r="183" spans="1:22" x14ac:dyDescent="0.25">
      <c r="A183" s="14" t="s">
        <v>1103</v>
      </c>
      <c r="B183" s="116" t="s">
        <v>1315</v>
      </c>
      <c r="C183" s="116" t="s">
        <v>1104</v>
      </c>
      <c r="D183" s="117">
        <v>0</v>
      </c>
      <c r="E183" s="120">
        <v>0</v>
      </c>
      <c r="F183" s="117">
        <v>0</v>
      </c>
      <c r="G183" s="120">
        <v>1225</v>
      </c>
      <c r="H183" s="117">
        <v>0</v>
      </c>
      <c r="I183" s="120">
        <v>0</v>
      </c>
      <c r="J183" s="117">
        <v>0</v>
      </c>
      <c r="K183" s="120">
        <v>0</v>
      </c>
      <c r="L183" s="117">
        <v>969.04043579101562</v>
      </c>
      <c r="M183" s="120">
        <v>969.04043579101562</v>
      </c>
      <c r="N183" s="117">
        <v>0</v>
      </c>
      <c r="O183" s="120">
        <v>0</v>
      </c>
      <c r="P183" s="117">
        <v>0</v>
      </c>
      <c r="Q183" s="120">
        <v>0</v>
      </c>
      <c r="R183" s="117">
        <v>0</v>
      </c>
      <c r="S183" s="120">
        <v>0</v>
      </c>
      <c r="T183" s="117">
        <v>0</v>
      </c>
      <c r="U183" s="119">
        <v>0</v>
      </c>
      <c r="V183" t="str">
        <f>VLOOKUP(A183,Projetos_Ciclo!$H$2:$H$315,1,FALSE)</f>
        <v>TI02618</v>
      </c>
    </row>
    <row r="184" spans="1:22" x14ac:dyDescent="0.25">
      <c r="A184" s="111" t="s">
        <v>1316</v>
      </c>
      <c r="B184" s="112" t="s">
        <v>1317</v>
      </c>
      <c r="C184" s="112" t="s">
        <v>1318</v>
      </c>
      <c r="D184" s="113">
        <v>0</v>
      </c>
      <c r="E184" s="114">
        <v>0</v>
      </c>
      <c r="F184" s="113">
        <v>0</v>
      </c>
      <c r="G184" s="114">
        <v>3223</v>
      </c>
      <c r="H184" s="113">
        <v>0</v>
      </c>
      <c r="I184" s="114">
        <v>267.26645660400391</v>
      </c>
      <c r="J184" s="113">
        <v>0</v>
      </c>
      <c r="K184" s="114">
        <v>267.26645660400391</v>
      </c>
      <c r="L184" s="113">
        <v>2627.8525381088257</v>
      </c>
      <c r="M184" s="114">
        <v>2895.1189947128296</v>
      </c>
      <c r="N184" s="113">
        <v>0</v>
      </c>
      <c r="O184" s="114">
        <v>0</v>
      </c>
      <c r="P184" s="113">
        <v>0</v>
      </c>
      <c r="Q184" s="114">
        <v>0</v>
      </c>
      <c r="R184" s="113">
        <v>0</v>
      </c>
      <c r="S184" s="114">
        <v>0</v>
      </c>
      <c r="T184" s="113">
        <v>0</v>
      </c>
      <c r="U184" s="115">
        <v>0</v>
      </c>
      <c r="V184" t="str">
        <f>VLOOKUP(A184,Projetos_Ciclo!$H$2:$H$315,1,FALSE)</f>
        <v>TI02718</v>
      </c>
    </row>
    <row r="185" spans="1:22" x14ac:dyDescent="0.25">
      <c r="A185" s="14" t="s">
        <v>953</v>
      </c>
      <c r="B185" s="116" t="s">
        <v>954</v>
      </c>
      <c r="C185" s="116" t="s">
        <v>1319</v>
      </c>
      <c r="D185" s="117">
        <v>0</v>
      </c>
      <c r="E185" s="120">
        <v>0</v>
      </c>
      <c r="F185" s="117">
        <v>0</v>
      </c>
      <c r="G185" s="120">
        <v>600</v>
      </c>
      <c r="H185" s="117">
        <v>0</v>
      </c>
      <c r="I185" s="120">
        <v>599.97772216796875</v>
      </c>
      <c r="J185" s="117">
        <v>0</v>
      </c>
      <c r="K185" s="120">
        <v>599.97772216796875</v>
      </c>
      <c r="L185" s="117">
        <v>0</v>
      </c>
      <c r="M185" s="120">
        <v>599.97772216796875</v>
      </c>
      <c r="N185" s="117">
        <v>0</v>
      </c>
      <c r="O185" s="120">
        <v>0</v>
      </c>
      <c r="P185" s="117">
        <v>0</v>
      </c>
      <c r="Q185" s="120">
        <v>0</v>
      </c>
      <c r="R185" s="117">
        <v>0</v>
      </c>
      <c r="S185" s="120">
        <v>0</v>
      </c>
      <c r="T185" s="117">
        <v>0</v>
      </c>
      <c r="U185" s="119">
        <v>0</v>
      </c>
      <c r="V185" t="str">
        <f>VLOOKUP(A185,Projetos_Ciclo!$H$2:$H$315,1,FALSE)</f>
        <v>TI02817</v>
      </c>
    </row>
    <row r="186" spans="1:22" x14ac:dyDescent="0.25">
      <c r="A186" s="111" t="s">
        <v>1102</v>
      </c>
      <c r="B186" s="112" t="s">
        <v>310</v>
      </c>
      <c r="C186" s="112" t="s">
        <v>1320</v>
      </c>
      <c r="D186" s="113">
        <v>0</v>
      </c>
      <c r="E186" s="114">
        <v>0</v>
      </c>
      <c r="F186" s="113">
        <v>0</v>
      </c>
      <c r="G186" s="114">
        <v>504</v>
      </c>
      <c r="H186" s="113">
        <v>0</v>
      </c>
      <c r="I186" s="114">
        <v>175.63199806213379</v>
      </c>
      <c r="J186" s="113">
        <v>0</v>
      </c>
      <c r="K186" s="114">
        <v>175.63199806213379</v>
      </c>
      <c r="L186" s="113">
        <v>328.54609346389771</v>
      </c>
      <c r="M186" s="114">
        <v>504.17809152603149</v>
      </c>
      <c r="N186" s="113">
        <v>0</v>
      </c>
      <c r="O186" s="114">
        <v>0</v>
      </c>
      <c r="P186" s="113">
        <v>0</v>
      </c>
      <c r="Q186" s="114">
        <v>0</v>
      </c>
      <c r="R186" s="113">
        <v>0</v>
      </c>
      <c r="S186" s="114">
        <v>0</v>
      </c>
      <c r="T186" s="113">
        <v>0</v>
      </c>
      <c r="U186" s="115">
        <v>0</v>
      </c>
      <c r="V186" t="str">
        <f>VLOOKUP(A186,Projetos_Ciclo!$H$2:$H$315,1,FALSE)</f>
        <v>TI03015</v>
      </c>
    </row>
    <row r="187" spans="1:22" x14ac:dyDescent="0.25">
      <c r="A187" s="14" t="s">
        <v>1840</v>
      </c>
      <c r="B187" s="116" t="s">
        <v>1841</v>
      </c>
      <c r="C187" s="116" t="s">
        <v>1842</v>
      </c>
      <c r="D187" s="117">
        <v>0</v>
      </c>
      <c r="E187" s="120">
        <v>0</v>
      </c>
      <c r="F187" s="117">
        <v>0</v>
      </c>
      <c r="G187" s="120">
        <v>166</v>
      </c>
      <c r="H187" s="117">
        <v>0</v>
      </c>
      <c r="I187" s="120">
        <v>5.8700799942016602</v>
      </c>
      <c r="J187" s="117">
        <v>0</v>
      </c>
      <c r="K187" s="120">
        <v>5.8700799942016602</v>
      </c>
      <c r="L187" s="117">
        <v>160</v>
      </c>
      <c r="M187" s="120">
        <v>165.87007999420166</v>
      </c>
      <c r="N187" s="117">
        <v>0</v>
      </c>
      <c r="O187" s="120">
        <v>0</v>
      </c>
      <c r="P187" s="117">
        <v>0</v>
      </c>
      <c r="Q187" s="120">
        <v>0</v>
      </c>
      <c r="R187" s="117">
        <v>0</v>
      </c>
      <c r="S187" s="120">
        <v>0</v>
      </c>
      <c r="T187" s="117">
        <v>0</v>
      </c>
      <c r="U187" s="119">
        <v>0</v>
      </c>
      <c r="V187" t="str">
        <f>VLOOKUP(A187,Projetos_Ciclo!$H$2:$H$315,1,FALSE)</f>
        <v>TI03017</v>
      </c>
    </row>
    <row r="188" spans="1:22" x14ac:dyDescent="0.25">
      <c r="A188" s="111" t="s">
        <v>1084</v>
      </c>
      <c r="B188" s="112" t="s">
        <v>1321</v>
      </c>
      <c r="C188" s="112" t="s">
        <v>1322</v>
      </c>
      <c r="D188" s="113">
        <v>0</v>
      </c>
      <c r="E188" s="114">
        <v>0</v>
      </c>
      <c r="F188" s="113">
        <v>0</v>
      </c>
      <c r="G188" s="114">
        <v>216</v>
      </c>
      <c r="H188" s="113">
        <v>0</v>
      </c>
      <c r="I188" s="114">
        <v>60.324001312255859</v>
      </c>
      <c r="J188" s="113">
        <v>0</v>
      </c>
      <c r="K188" s="114">
        <v>60.324001312255859</v>
      </c>
      <c r="L188" s="113">
        <v>155.67599487304687</v>
      </c>
      <c r="M188" s="114">
        <v>215.99999618530273</v>
      </c>
      <c r="N188" s="113">
        <v>0</v>
      </c>
      <c r="O188" s="114">
        <v>0</v>
      </c>
      <c r="P188" s="113">
        <v>0</v>
      </c>
      <c r="Q188" s="114">
        <v>0</v>
      </c>
      <c r="R188" s="113">
        <v>0</v>
      </c>
      <c r="S188" s="114">
        <v>0</v>
      </c>
      <c r="T188" s="113">
        <v>0</v>
      </c>
      <c r="U188" s="115">
        <v>0</v>
      </c>
      <c r="V188" t="str">
        <f>VLOOKUP(A188,Projetos_Ciclo!$H$2:$H$315,1,FALSE)</f>
        <v>TI03117</v>
      </c>
    </row>
    <row r="189" spans="1:22" x14ac:dyDescent="0.25">
      <c r="A189" s="14" t="s">
        <v>990</v>
      </c>
      <c r="B189" s="116" t="s">
        <v>1277</v>
      </c>
      <c r="C189" s="116" t="s">
        <v>1323</v>
      </c>
      <c r="D189" s="117">
        <v>0</v>
      </c>
      <c r="E189" s="120">
        <v>0</v>
      </c>
      <c r="F189" s="117">
        <v>0</v>
      </c>
      <c r="G189" s="120">
        <v>2100</v>
      </c>
      <c r="H189" s="117">
        <v>0</v>
      </c>
      <c r="I189" s="120">
        <v>997.0753173828125</v>
      </c>
      <c r="J189" s="117">
        <v>0</v>
      </c>
      <c r="K189" s="120">
        <v>997.0753173828125</v>
      </c>
      <c r="L189" s="117">
        <v>531.990966796875</v>
      </c>
      <c r="M189" s="120">
        <v>1529.0662841796875</v>
      </c>
      <c r="N189" s="117">
        <v>0</v>
      </c>
      <c r="O189" s="120">
        <v>0</v>
      </c>
      <c r="P189" s="117">
        <v>0</v>
      </c>
      <c r="Q189" s="120">
        <v>0</v>
      </c>
      <c r="R189" s="117">
        <v>0</v>
      </c>
      <c r="S189" s="120">
        <v>0</v>
      </c>
      <c r="T189" s="117">
        <v>0</v>
      </c>
      <c r="U189" s="119">
        <v>0</v>
      </c>
      <c r="V189" t="str">
        <f>VLOOKUP(A189,Projetos_Ciclo!$H$2:$H$315,1,FALSE)</f>
        <v>TI03217</v>
      </c>
    </row>
    <row r="190" spans="1:22" x14ac:dyDescent="0.25">
      <c r="A190" s="111" t="s">
        <v>992</v>
      </c>
      <c r="B190" s="112" t="s">
        <v>967</v>
      </c>
      <c r="C190" s="112" t="s">
        <v>1324</v>
      </c>
      <c r="D190" s="113">
        <v>0</v>
      </c>
      <c r="E190" s="114">
        <v>0</v>
      </c>
      <c r="F190" s="113">
        <v>0</v>
      </c>
      <c r="G190" s="114">
        <v>278</v>
      </c>
      <c r="H190" s="113">
        <v>0</v>
      </c>
      <c r="I190" s="114">
        <v>108.51967239379883</v>
      </c>
      <c r="J190" s="113">
        <v>0</v>
      </c>
      <c r="K190" s="114">
        <v>108.51967239379883</v>
      </c>
      <c r="L190" s="113">
        <v>169.582275390625</v>
      </c>
      <c r="M190" s="114">
        <v>278.10194778442383</v>
      </c>
      <c r="N190" s="113">
        <v>0</v>
      </c>
      <c r="O190" s="114">
        <v>0</v>
      </c>
      <c r="P190" s="113">
        <v>0</v>
      </c>
      <c r="Q190" s="114">
        <v>0</v>
      </c>
      <c r="R190" s="113">
        <v>0</v>
      </c>
      <c r="S190" s="114">
        <v>0</v>
      </c>
      <c r="T190" s="113">
        <v>0</v>
      </c>
      <c r="U190" s="115">
        <v>0</v>
      </c>
      <c r="V190" t="str">
        <f>VLOOKUP(A190,Projetos_Ciclo!$H$2:$H$315,1,FALSE)</f>
        <v>TI03317</v>
      </c>
    </row>
    <row r="191" spans="1:22" x14ac:dyDescent="0.25">
      <c r="A191" s="14" t="s">
        <v>1404</v>
      </c>
      <c r="B191" s="116" t="s">
        <v>1405</v>
      </c>
      <c r="C191" s="116" t="s">
        <v>1406</v>
      </c>
      <c r="D191" s="117">
        <v>0</v>
      </c>
      <c r="E191" s="120">
        <v>0</v>
      </c>
      <c r="F191" s="117">
        <v>0</v>
      </c>
      <c r="G191" s="120">
        <v>245</v>
      </c>
      <c r="H191" s="117">
        <v>0</v>
      </c>
      <c r="I191" s="120">
        <v>232.37596130371094</v>
      </c>
      <c r="J191" s="117">
        <v>0</v>
      </c>
      <c r="K191" s="120">
        <v>232.37596130371094</v>
      </c>
      <c r="L191" s="117">
        <v>0</v>
      </c>
      <c r="M191" s="120">
        <v>232.37596130371094</v>
      </c>
      <c r="N191" s="117">
        <v>0</v>
      </c>
      <c r="O191" s="120">
        <v>0</v>
      </c>
      <c r="P191" s="117">
        <v>0</v>
      </c>
      <c r="Q191" s="120">
        <v>0</v>
      </c>
      <c r="R191" s="117">
        <v>0</v>
      </c>
      <c r="S191" s="120">
        <v>0</v>
      </c>
      <c r="T191" s="117">
        <v>0</v>
      </c>
      <c r="U191" s="119">
        <v>0</v>
      </c>
      <c r="V191" t="str">
        <f>VLOOKUP(A191,Projetos_Ciclo!$H$2:$H$315,1,FALSE)</f>
        <v>TI03318</v>
      </c>
    </row>
    <row r="192" spans="1:22" x14ac:dyDescent="0.25">
      <c r="A192" s="111" t="s">
        <v>1080</v>
      </c>
      <c r="B192" s="112" t="s">
        <v>1325</v>
      </c>
      <c r="C192" s="112" t="s">
        <v>1326</v>
      </c>
      <c r="D192" s="113">
        <v>0</v>
      </c>
      <c r="E192" s="114">
        <v>0</v>
      </c>
      <c r="F192" s="113">
        <v>0</v>
      </c>
      <c r="G192" s="114">
        <v>900</v>
      </c>
      <c r="H192" s="113">
        <v>0</v>
      </c>
      <c r="I192" s="114">
        <v>899.99990081787109</v>
      </c>
      <c r="J192" s="113">
        <v>0</v>
      </c>
      <c r="K192" s="114">
        <v>899.99990081787109</v>
      </c>
      <c r="L192" s="113">
        <v>0</v>
      </c>
      <c r="M192" s="114">
        <v>899.99990081787109</v>
      </c>
      <c r="N192" s="113">
        <v>0</v>
      </c>
      <c r="O192" s="114">
        <v>0</v>
      </c>
      <c r="P192" s="113">
        <v>0</v>
      </c>
      <c r="Q192" s="114">
        <v>0</v>
      </c>
      <c r="R192" s="113">
        <v>0</v>
      </c>
      <c r="S192" s="114">
        <v>0</v>
      </c>
      <c r="T192" s="113">
        <v>0</v>
      </c>
      <c r="U192" s="115">
        <v>0</v>
      </c>
      <c r="V192" t="str">
        <f>VLOOKUP(A192,Projetos_Ciclo!$H$2:$H$315,1,FALSE)</f>
        <v>TI03417</v>
      </c>
    </row>
    <row r="193" spans="1:22" x14ac:dyDescent="0.25">
      <c r="A193" s="14" t="s">
        <v>1087</v>
      </c>
      <c r="B193" s="116" t="s">
        <v>966</v>
      </c>
      <c r="C193" s="116" t="s">
        <v>1327</v>
      </c>
      <c r="D193" s="117">
        <v>0</v>
      </c>
      <c r="E193" s="120">
        <v>0</v>
      </c>
      <c r="F193" s="117">
        <v>0</v>
      </c>
      <c r="G193" s="120">
        <v>155</v>
      </c>
      <c r="H193" s="117">
        <v>0</v>
      </c>
      <c r="I193" s="120">
        <v>0</v>
      </c>
      <c r="J193" s="117">
        <v>0</v>
      </c>
      <c r="K193" s="120">
        <v>0</v>
      </c>
      <c r="L193" s="117">
        <v>154.5</v>
      </c>
      <c r="M193" s="120">
        <v>154.5</v>
      </c>
      <c r="N193" s="117">
        <v>0</v>
      </c>
      <c r="O193" s="120">
        <v>0</v>
      </c>
      <c r="P193" s="117">
        <v>0</v>
      </c>
      <c r="Q193" s="120">
        <v>0</v>
      </c>
      <c r="R193" s="117">
        <v>0</v>
      </c>
      <c r="S193" s="120">
        <v>0</v>
      </c>
      <c r="T193" s="117">
        <v>0</v>
      </c>
      <c r="U193" s="119">
        <v>0</v>
      </c>
      <c r="V193" t="str">
        <f>VLOOKUP(A193,Projetos_Ciclo!$H$2:$H$315,1,FALSE)</f>
        <v>TI03517</v>
      </c>
    </row>
    <row r="194" spans="1:22" x14ac:dyDescent="0.25">
      <c r="A194" s="111" t="s">
        <v>991</v>
      </c>
      <c r="B194" s="112" t="s">
        <v>965</v>
      </c>
      <c r="C194" s="112" t="s">
        <v>1328</v>
      </c>
      <c r="D194" s="113">
        <v>0</v>
      </c>
      <c r="E194" s="114">
        <v>0</v>
      </c>
      <c r="F194" s="113">
        <v>0</v>
      </c>
      <c r="G194" s="114">
        <v>247</v>
      </c>
      <c r="H194" s="113">
        <v>0</v>
      </c>
      <c r="I194" s="114">
        <v>154.43470001220703</v>
      </c>
      <c r="J194" s="113">
        <v>0</v>
      </c>
      <c r="K194" s="114">
        <v>154.43470001220703</v>
      </c>
      <c r="L194" s="113">
        <v>92.765296936035156</v>
      </c>
      <c r="M194" s="114">
        <v>247.19999694824219</v>
      </c>
      <c r="N194" s="113">
        <v>0</v>
      </c>
      <c r="O194" s="114">
        <v>0</v>
      </c>
      <c r="P194" s="113">
        <v>0</v>
      </c>
      <c r="Q194" s="114">
        <v>0</v>
      </c>
      <c r="R194" s="113">
        <v>0</v>
      </c>
      <c r="S194" s="114">
        <v>0</v>
      </c>
      <c r="T194" s="113">
        <v>0</v>
      </c>
      <c r="U194" s="115">
        <v>0</v>
      </c>
      <c r="V194" t="str">
        <f>VLOOKUP(A194,Projetos_Ciclo!$H$2:$H$315,1,FALSE)</f>
        <v>TI03617</v>
      </c>
    </row>
    <row r="195" spans="1:22" x14ac:dyDescent="0.25">
      <c r="A195" s="14" t="s">
        <v>1083</v>
      </c>
      <c r="B195" s="116" t="s">
        <v>1329</v>
      </c>
      <c r="C195" s="116" t="s">
        <v>1330</v>
      </c>
      <c r="D195" s="117">
        <v>0</v>
      </c>
      <c r="E195" s="120">
        <v>0</v>
      </c>
      <c r="F195" s="117">
        <v>0</v>
      </c>
      <c r="G195" s="120">
        <v>871</v>
      </c>
      <c r="H195" s="117">
        <v>0</v>
      </c>
      <c r="I195" s="120">
        <v>15.5</v>
      </c>
      <c r="J195" s="117">
        <v>0</v>
      </c>
      <c r="K195" s="120">
        <v>15.5</v>
      </c>
      <c r="L195" s="117">
        <v>384.39999389648437</v>
      </c>
      <c r="M195" s="120">
        <v>399.89999389648437</v>
      </c>
      <c r="N195" s="117">
        <v>0</v>
      </c>
      <c r="O195" s="120">
        <v>0</v>
      </c>
      <c r="P195" s="117">
        <v>0</v>
      </c>
      <c r="Q195" s="120">
        <v>0</v>
      </c>
      <c r="R195" s="117">
        <v>0</v>
      </c>
      <c r="S195" s="120">
        <v>0</v>
      </c>
      <c r="T195" s="117">
        <v>0</v>
      </c>
      <c r="U195" s="119">
        <v>0</v>
      </c>
      <c r="V195" t="str">
        <f>VLOOKUP(A195,Projetos_Ciclo!$H$2:$H$315,1,FALSE)</f>
        <v>TI04117</v>
      </c>
    </row>
    <row r="196" spans="1:22" x14ac:dyDescent="0.25">
      <c r="A196" s="111" t="s">
        <v>1487</v>
      </c>
      <c r="B196" s="112" t="s">
        <v>1488</v>
      </c>
      <c r="C196" s="112" t="s">
        <v>1489</v>
      </c>
      <c r="D196" s="113">
        <v>0</v>
      </c>
      <c r="E196" s="114">
        <v>0</v>
      </c>
      <c r="F196" s="113">
        <v>0</v>
      </c>
      <c r="G196" s="114">
        <v>150</v>
      </c>
      <c r="H196" s="113">
        <v>0</v>
      </c>
      <c r="I196" s="114">
        <v>0</v>
      </c>
      <c r="J196" s="113">
        <v>0</v>
      </c>
      <c r="K196" s="114">
        <v>0</v>
      </c>
      <c r="L196" s="113">
        <v>149</v>
      </c>
      <c r="M196" s="114">
        <v>149</v>
      </c>
      <c r="N196" s="113">
        <v>0</v>
      </c>
      <c r="O196" s="114">
        <v>0</v>
      </c>
      <c r="P196" s="113">
        <v>0</v>
      </c>
      <c r="Q196" s="114">
        <v>0</v>
      </c>
      <c r="R196" s="113">
        <v>0</v>
      </c>
      <c r="S196" s="114">
        <v>0</v>
      </c>
      <c r="T196" s="113">
        <v>0</v>
      </c>
      <c r="U196" s="115">
        <v>0</v>
      </c>
      <c r="V196" t="str">
        <f>VLOOKUP(A196,Projetos_Ciclo!$H$2:$H$315,1,FALSE)</f>
        <v>TI04618</v>
      </c>
    </row>
    <row r="197" spans="1:22" x14ac:dyDescent="0.25">
      <c r="A197" s="14" t="s">
        <v>1418</v>
      </c>
      <c r="B197" s="116" t="s">
        <v>1419</v>
      </c>
      <c r="C197" s="116" t="s">
        <v>1420</v>
      </c>
      <c r="D197" s="117">
        <v>0</v>
      </c>
      <c r="E197" s="120">
        <v>0</v>
      </c>
      <c r="F197" s="117">
        <v>0</v>
      </c>
      <c r="G197" s="120">
        <v>141</v>
      </c>
      <c r="H197" s="117">
        <v>0</v>
      </c>
      <c r="I197" s="120">
        <v>52.31791877746582</v>
      </c>
      <c r="J197" s="117">
        <v>0</v>
      </c>
      <c r="K197" s="120">
        <v>52.31791877746582</v>
      </c>
      <c r="L197" s="117">
        <v>88.90557861328125</v>
      </c>
      <c r="M197" s="120">
        <v>141.22349739074707</v>
      </c>
      <c r="N197" s="117">
        <v>0</v>
      </c>
      <c r="O197" s="120">
        <v>0</v>
      </c>
      <c r="P197" s="117">
        <v>0</v>
      </c>
      <c r="Q197" s="120">
        <v>0</v>
      </c>
      <c r="R197" s="117">
        <v>0</v>
      </c>
      <c r="S197" s="120">
        <v>0</v>
      </c>
      <c r="T197" s="117">
        <v>0</v>
      </c>
      <c r="U197" s="119">
        <v>0</v>
      </c>
      <c r="V197" t="str">
        <f>VLOOKUP(A197,Projetos_Ciclo!$H$2:$H$315,1,FALSE)</f>
        <v>TI04718</v>
      </c>
    </row>
    <row r="198" spans="1:22" x14ac:dyDescent="0.25">
      <c r="A198" s="111" t="s">
        <v>1524</v>
      </c>
      <c r="B198" s="112" t="s">
        <v>1525</v>
      </c>
      <c r="C198" s="112" t="s">
        <v>1526</v>
      </c>
      <c r="D198" s="113">
        <v>0</v>
      </c>
      <c r="E198" s="114">
        <v>0</v>
      </c>
      <c r="F198" s="113">
        <v>0</v>
      </c>
      <c r="G198" s="114">
        <v>420</v>
      </c>
      <c r="H198" s="113">
        <v>0</v>
      </c>
      <c r="I198" s="114">
        <v>420.44839477539062</v>
      </c>
      <c r="J198" s="113">
        <v>0</v>
      </c>
      <c r="K198" s="114">
        <v>420.44839477539062</v>
      </c>
      <c r="L198" s="113">
        <v>0</v>
      </c>
      <c r="M198" s="114">
        <v>420.44839477539062</v>
      </c>
      <c r="N198" s="113">
        <v>0</v>
      </c>
      <c r="O198" s="114">
        <v>0</v>
      </c>
      <c r="P198" s="113">
        <v>0</v>
      </c>
      <c r="Q198" s="114">
        <v>0</v>
      </c>
      <c r="R198" s="113">
        <v>0</v>
      </c>
      <c r="S198" s="114">
        <v>0</v>
      </c>
      <c r="T198" s="113">
        <v>0</v>
      </c>
      <c r="U198" s="115">
        <v>0</v>
      </c>
      <c r="V198" t="str">
        <f>VLOOKUP(A198,Projetos_Ciclo!$H$2:$H$315,1,FALSE)</f>
        <v>TI05218</v>
      </c>
    </row>
    <row r="199" spans="1:22" x14ac:dyDescent="0.25">
      <c r="A199" s="14" t="s">
        <v>1547</v>
      </c>
      <c r="B199" s="116" t="s">
        <v>1548</v>
      </c>
      <c r="C199" s="116" t="s">
        <v>1549</v>
      </c>
      <c r="D199" s="117">
        <v>0</v>
      </c>
      <c r="E199" s="120">
        <v>0</v>
      </c>
      <c r="F199" s="117">
        <v>0</v>
      </c>
      <c r="G199" s="120">
        <v>800</v>
      </c>
      <c r="H199" s="117">
        <v>0</v>
      </c>
      <c r="I199" s="120">
        <v>800</v>
      </c>
      <c r="J199" s="117">
        <v>0</v>
      </c>
      <c r="K199" s="120">
        <v>800</v>
      </c>
      <c r="L199" s="117">
        <v>0</v>
      </c>
      <c r="M199" s="120">
        <v>800</v>
      </c>
      <c r="N199" s="117">
        <v>0</v>
      </c>
      <c r="O199" s="120">
        <v>0</v>
      </c>
      <c r="P199" s="117">
        <v>0</v>
      </c>
      <c r="Q199" s="120">
        <v>0</v>
      </c>
      <c r="R199" s="117">
        <v>0</v>
      </c>
      <c r="S199" s="120">
        <v>0</v>
      </c>
      <c r="T199" s="117">
        <v>0</v>
      </c>
      <c r="U199" s="119">
        <v>0</v>
      </c>
      <c r="V199" t="str">
        <f>VLOOKUP(A199,Projetos_Ciclo!$H$2:$H$315,1,FALSE)</f>
        <v>TI05318</v>
      </c>
    </row>
    <row r="200" spans="1:22" x14ac:dyDescent="0.25">
      <c r="A200" s="111" t="s">
        <v>1571</v>
      </c>
      <c r="B200" s="112" t="s">
        <v>1537</v>
      </c>
      <c r="C200" s="112" t="s">
        <v>1572</v>
      </c>
      <c r="D200" s="113">
        <v>0</v>
      </c>
      <c r="E200" s="114">
        <v>0</v>
      </c>
      <c r="F200" s="113">
        <v>0</v>
      </c>
      <c r="G200" s="114">
        <v>500</v>
      </c>
      <c r="H200" s="113">
        <v>0</v>
      </c>
      <c r="I200" s="114">
        <v>0</v>
      </c>
      <c r="J200" s="113">
        <v>0</v>
      </c>
      <c r="K200" s="114">
        <v>0</v>
      </c>
      <c r="L200" s="113">
        <v>439.99998474121094</v>
      </c>
      <c r="M200" s="114">
        <v>439.99998474121094</v>
      </c>
      <c r="N200" s="113">
        <v>0</v>
      </c>
      <c r="O200" s="114">
        <v>0</v>
      </c>
      <c r="P200" s="113">
        <v>0</v>
      </c>
      <c r="Q200" s="114">
        <v>0</v>
      </c>
      <c r="R200" s="113">
        <v>0</v>
      </c>
      <c r="S200" s="114">
        <v>0</v>
      </c>
      <c r="T200" s="113">
        <v>0</v>
      </c>
      <c r="U200" s="115">
        <v>0</v>
      </c>
      <c r="V200" t="str">
        <f>VLOOKUP(A200,Projetos_Ciclo!$H$2:$H$315,1,FALSE)</f>
        <v>TI05418</v>
      </c>
    </row>
    <row r="201" spans="1:22" x14ac:dyDescent="0.25">
      <c r="A201" s="14" t="s">
        <v>1573</v>
      </c>
      <c r="B201" s="116" t="s">
        <v>1511</v>
      </c>
      <c r="C201" s="116" t="s">
        <v>1574</v>
      </c>
      <c r="D201" s="117">
        <v>0</v>
      </c>
      <c r="E201" s="120">
        <v>0</v>
      </c>
      <c r="F201" s="117">
        <v>0</v>
      </c>
      <c r="G201" s="120">
        <v>760</v>
      </c>
      <c r="H201" s="117">
        <v>0</v>
      </c>
      <c r="I201" s="120">
        <v>0</v>
      </c>
      <c r="J201" s="117">
        <v>0</v>
      </c>
      <c r="K201" s="120">
        <v>0</v>
      </c>
      <c r="L201" s="117">
        <v>580.49600219726562</v>
      </c>
      <c r="M201" s="120">
        <v>580.49600219726562</v>
      </c>
      <c r="N201" s="117">
        <v>0</v>
      </c>
      <c r="O201" s="120">
        <v>0</v>
      </c>
      <c r="P201" s="117">
        <v>0</v>
      </c>
      <c r="Q201" s="120">
        <v>0</v>
      </c>
      <c r="R201" s="117">
        <v>0</v>
      </c>
      <c r="S201" s="120">
        <v>0</v>
      </c>
      <c r="T201" s="117">
        <v>0</v>
      </c>
      <c r="U201" s="119">
        <v>0</v>
      </c>
      <c r="V201" t="str">
        <f>VLOOKUP(A201,Projetos_Ciclo!$H$2:$H$315,1,FALSE)</f>
        <v>TI05518</v>
      </c>
    </row>
    <row r="202" spans="1:22" x14ac:dyDescent="0.25">
      <c r="A202" s="111" t="s">
        <v>1575</v>
      </c>
      <c r="B202" s="112" t="s">
        <v>787</v>
      </c>
      <c r="C202" s="112" t="s">
        <v>1576</v>
      </c>
      <c r="D202" s="113">
        <v>0</v>
      </c>
      <c r="E202" s="114">
        <v>0</v>
      </c>
      <c r="F202" s="113">
        <v>0</v>
      </c>
      <c r="G202" s="114">
        <v>1865</v>
      </c>
      <c r="H202" s="113">
        <v>0</v>
      </c>
      <c r="I202" s="114">
        <v>0</v>
      </c>
      <c r="J202" s="113">
        <v>0</v>
      </c>
      <c r="K202" s="114">
        <v>0</v>
      </c>
      <c r="L202" s="113">
        <v>1678.5040016174316</v>
      </c>
      <c r="M202" s="114">
        <v>1678.5040016174316</v>
      </c>
      <c r="N202" s="113">
        <v>0</v>
      </c>
      <c r="O202" s="114">
        <v>0</v>
      </c>
      <c r="P202" s="113">
        <v>0</v>
      </c>
      <c r="Q202" s="114">
        <v>0</v>
      </c>
      <c r="R202" s="113">
        <v>0</v>
      </c>
      <c r="S202" s="114">
        <v>0</v>
      </c>
      <c r="T202" s="113">
        <v>0</v>
      </c>
      <c r="U202" s="115">
        <v>0</v>
      </c>
      <c r="V202" t="str">
        <f>VLOOKUP(A202,Projetos_Ciclo!$H$2:$H$315,1,FALSE)</f>
        <v>TI05618</v>
      </c>
    </row>
    <row r="203" spans="1:22" x14ac:dyDescent="0.25">
      <c r="A203" s="14" t="s">
        <v>1577</v>
      </c>
      <c r="B203" s="116" t="s">
        <v>1578</v>
      </c>
      <c r="C203" s="116" t="s">
        <v>1579</v>
      </c>
      <c r="D203" s="117">
        <v>0</v>
      </c>
      <c r="E203" s="120">
        <v>0</v>
      </c>
      <c r="F203" s="117">
        <v>0</v>
      </c>
      <c r="G203" s="120">
        <v>120</v>
      </c>
      <c r="H203" s="117">
        <v>0</v>
      </c>
      <c r="I203" s="120">
        <v>0</v>
      </c>
      <c r="J203" s="117">
        <v>0</v>
      </c>
      <c r="K203" s="120">
        <v>0</v>
      </c>
      <c r="L203" s="117">
        <v>120.05999755859375</v>
      </c>
      <c r="M203" s="120">
        <v>120.05999755859375</v>
      </c>
      <c r="N203" s="117">
        <v>0</v>
      </c>
      <c r="O203" s="120">
        <v>0</v>
      </c>
      <c r="P203" s="117">
        <v>0</v>
      </c>
      <c r="Q203" s="120">
        <v>0</v>
      </c>
      <c r="R203" s="117">
        <v>0</v>
      </c>
      <c r="S203" s="120">
        <v>0</v>
      </c>
      <c r="T203" s="117">
        <v>0</v>
      </c>
      <c r="U203" s="119">
        <v>0</v>
      </c>
      <c r="V203" t="str">
        <f>VLOOKUP(A203,Projetos_Ciclo!$H$2:$H$315,1,FALSE)</f>
        <v>TI05718</v>
      </c>
    </row>
    <row r="204" spans="1:22" x14ac:dyDescent="0.25">
      <c r="A204" s="111" t="s">
        <v>1663</v>
      </c>
      <c r="B204" s="112" t="s">
        <v>1606</v>
      </c>
      <c r="C204" s="112" t="s">
        <v>1664</v>
      </c>
      <c r="D204" s="113">
        <v>0</v>
      </c>
      <c r="E204" s="114">
        <v>0</v>
      </c>
      <c r="F204" s="113">
        <v>0</v>
      </c>
      <c r="G204" s="114">
        <v>0</v>
      </c>
      <c r="H204" s="113">
        <v>0</v>
      </c>
      <c r="I204" s="114">
        <v>0</v>
      </c>
      <c r="J204" s="113">
        <v>0</v>
      </c>
      <c r="K204" s="114">
        <v>0</v>
      </c>
      <c r="L204" s="113">
        <v>0</v>
      </c>
      <c r="M204" s="114">
        <v>0</v>
      </c>
      <c r="N204" s="113">
        <v>0</v>
      </c>
      <c r="O204" s="114">
        <v>0</v>
      </c>
      <c r="P204" s="113">
        <v>0</v>
      </c>
      <c r="Q204" s="114">
        <v>0</v>
      </c>
      <c r="R204" s="113">
        <v>0</v>
      </c>
      <c r="S204" s="114">
        <v>0</v>
      </c>
      <c r="T204" s="113">
        <v>0</v>
      </c>
      <c r="U204" s="115">
        <v>0</v>
      </c>
      <c r="V204" t="str">
        <f>VLOOKUP(A204,Projetos_Ciclo!$H$2:$H$315,1,FALSE)</f>
        <v>TI06218</v>
      </c>
    </row>
    <row r="205" spans="1:22" x14ac:dyDescent="0.25">
      <c r="A205" s="14" t="s">
        <v>1665</v>
      </c>
      <c r="B205" s="116" t="s">
        <v>1600</v>
      </c>
      <c r="C205" s="116" t="s">
        <v>1666</v>
      </c>
      <c r="D205" s="117">
        <v>0</v>
      </c>
      <c r="E205" s="120">
        <v>0</v>
      </c>
      <c r="F205" s="117">
        <v>0</v>
      </c>
      <c r="G205" s="120">
        <v>26</v>
      </c>
      <c r="H205" s="117">
        <v>0</v>
      </c>
      <c r="I205" s="120">
        <v>0</v>
      </c>
      <c r="J205" s="117">
        <v>0</v>
      </c>
      <c r="K205" s="120">
        <v>0</v>
      </c>
      <c r="L205" s="117">
        <v>25.677000045776367</v>
      </c>
      <c r="M205" s="120">
        <v>25.677000045776367</v>
      </c>
      <c r="N205" s="117">
        <v>0</v>
      </c>
      <c r="O205" s="120">
        <v>0</v>
      </c>
      <c r="P205" s="117">
        <v>0</v>
      </c>
      <c r="Q205" s="120">
        <v>0</v>
      </c>
      <c r="R205" s="117">
        <v>0</v>
      </c>
      <c r="S205" s="120">
        <v>0</v>
      </c>
      <c r="T205" s="117">
        <v>0</v>
      </c>
      <c r="U205" s="119">
        <v>0</v>
      </c>
      <c r="V205" t="str">
        <f>VLOOKUP(A205,Projetos_Ciclo!$H$2:$H$315,1,FALSE)</f>
        <v>TI06318</v>
      </c>
    </row>
    <row r="206" spans="1:22" x14ac:dyDescent="0.25">
      <c r="A206" s="111" t="s">
        <v>1667</v>
      </c>
      <c r="B206" s="112" t="s">
        <v>968</v>
      </c>
      <c r="C206" s="112" t="s">
        <v>1668</v>
      </c>
      <c r="D206" s="113">
        <v>0</v>
      </c>
      <c r="E206" s="114">
        <v>0</v>
      </c>
      <c r="F206" s="113">
        <v>0</v>
      </c>
      <c r="G206" s="114">
        <v>68</v>
      </c>
      <c r="H206" s="113">
        <v>0</v>
      </c>
      <c r="I206" s="114">
        <v>0</v>
      </c>
      <c r="J206" s="113">
        <v>0</v>
      </c>
      <c r="K206" s="114">
        <v>0</v>
      </c>
      <c r="L206" s="113">
        <v>68.472000122070313</v>
      </c>
      <c r="M206" s="114">
        <v>68.472000122070313</v>
      </c>
      <c r="N206" s="113">
        <v>0</v>
      </c>
      <c r="O206" s="114">
        <v>0</v>
      </c>
      <c r="P206" s="113">
        <v>0</v>
      </c>
      <c r="Q206" s="114">
        <v>0</v>
      </c>
      <c r="R206" s="113">
        <v>0</v>
      </c>
      <c r="S206" s="114">
        <v>0</v>
      </c>
      <c r="T206" s="113">
        <v>0</v>
      </c>
      <c r="U206" s="115">
        <v>0</v>
      </c>
      <c r="V206" t="str">
        <f>VLOOKUP(A206,Projetos_Ciclo!$H$2:$H$315,1,FALSE)</f>
        <v>TI06418</v>
      </c>
    </row>
    <row r="207" spans="1:22" x14ac:dyDescent="0.25">
      <c r="A207" s="14" t="s">
        <v>1669</v>
      </c>
      <c r="B207" s="116" t="s">
        <v>778</v>
      </c>
      <c r="C207" s="116" t="s">
        <v>1670</v>
      </c>
      <c r="D207" s="117">
        <v>0</v>
      </c>
      <c r="E207" s="120">
        <v>0</v>
      </c>
      <c r="F207" s="117">
        <v>0</v>
      </c>
      <c r="G207" s="120">
        <v>1123</v>
      </c>
      <c r="H207" s="117">
        <v>0</v>
      </c>
      <c r="I207" s="120">
        <v>0</v>
      </c>
      <c r="J207" s="117">
        <v>0</v>
      </c>
      <c r="K207" s="120">
        <v>0</v>
      </c>
      <c r="L207" s="117">
        <v>992.60840749740601</v>
      </c>
      <c r="M207" s="120">
        <v>992.60840749740601</v>
      </c>
      <c r="N207" s="117">
        <v>0</v>
      </c>
      <c r="O207" s="120">
        <v>0</v>
      </c>
      <c r="P207" s="117">
        <v>0</v>
      </c>
      <c r="Q207" s="120">
        <v>0</v>
      </c>
      <c r="R207" s="117">
        <v>0</v>
      </c>
      <c r="S207" s="120">
        <v>0</v>
      </c>
      <c r="T207" s="117">
        <v>0</v>
      </c>
      <c r="U207" s="119">
        <v>0</v>
      </c>
      <c r="V207" t="str">
        <f>VLOOKUP(A207,Projetos_Ciclo!$H$2:$H$315,1,FALSE)</f>
        <v>TI06518</v>
      </c>
    </row>
    <row r="208" spans="1:22" x14ac:dyDescent="0.25">
      <c r="A208" s="111" t="s">
        <v>1708</v>
      </c>
      <c r="B208" s="112" t="s">
        <v>798</v>
      </c>
      <c r="C208" s="112" t="s">
        <v>1709</v>
      </c>
      <c r="D208" s="113">
        <v>0</v>
      </c>
      <c r="E208" s="114">
        <v>0</v>
      </c>
      <c r="F208" s="113">
        <v>0</v>
      </c>
      <c r="G208" s="114">
        <v>12</v>
      </c>
      <c r="H208" s="113">
        <v>0</v>
      </c>
      <c r="I208" s="114">
        <v>0</v>
      </c>
      <c r="J208" s="113">
        <v>0</v>
      </c>
      <c r="K208" s="114">
        <v>0</v>
      </c>
      <c r="L208" s="113">
        <v>11</v>
      </c>
      <c r="M208" s="114">
        <v>11</v>
      </c>
      <c r="N208" s="113">
        <v>0</v>
      </c>
      <c r="O208" s="114">
        <v>0</v>
      </c>
      <c r="P208" s="113">
        <v>0</v>
      </c>
      <c r="Q208" s="114">
        <v>0</v>
      </c>
      <c r="R208" s="113">
        <v>0</v>
      </c>
      <c r="S208" s="114">
        <v>0</v>
      </c>
      <c r="T208" s="113">
        <v>0</v>
      </c>
      <c r="U208" s="115">
        <v>0</v>
      </c>
      <c r="V208" t="str">
        <f>VLOOKUP(A208,Projetos_Ciclo!$H$2:$H$315,1,FALSE)</f>
        <v>TI06718</v>
      </c>
    </row>
    <row r="209" spans="1:22" x14ac:dyDescent="0.25">
      <c r="A209" s="14" t="s">
        <v>1710</v>
      </c>
      <c r="B209" s="116" t="s">
        <v>1706</v>
      </c>
      <c r="C209" s="116" t="s">
        <v>1711</v>
      </c>
      <c r="D209" s="117">
        <v>0</v>
      </c>
      <c r="E209" s="120">
        <v>0</v>
      </c>
      <c r="F209" s="117">
        <v>0</v>
      </c>
      <c r="G209" s="120">
        <v>99</v>
      </c>
      <c r="H209" s="117">
        <v>0</v>
      </c>
      <c r="I209" s="120">
        <v>0</v>
      </c>
      <c r="J209" s="117">
        <v>0</v>
      </c>
      <c r="K209" s="120">
        <v>0</v>
      </c>
      <c r="L209" s="117">
        <v>99.022499084472656</v>
      </c>
      <c r="M209" s="120">
        <v>99.022499084472656</v>
      </c>
      <c r="N209" s="117">
        <v>0</v>
      </c>
      <c r="O209" s="120">
        <v>0</v>
      </c>
      <c r="P209" s="117">
        <v>0</v>
      </c>
      <c r="Q209" s="120">
        <v>0</v>
      </c>
      <c r="R209" s="117">
        <v>0</v>
      </c>
      <c r="S209" s="120">
        <v>0</v>
      </c>
      <c r="T209" s="117">
        <v>0</v>
      </c>
      <c r="U209" s="119">
        <v>0</v>
      </c>
      <c r="V209" t="str">
        <f>VLOOKUP(A209,Projetos_Ciclo!$H$2:$H$315,1,FALSE)</f>
        <v>TI07018</v>
      </c>
    </row>
    <row r="210" spans="1:22" x14ac:dyDescent="0.25">
      <c r="A210" s="111" t="s">
        <v>1818</v>
      </c>
      <c r="B210" s="112" t="s">
        <v>1819</v>
      </c>
      <c r="C210" s="112" t="s">
        <v>1820</v>
      </c>
      <c r="D210" s="113">
        <v>0</v>
      </c>
      <c r="E210" s="114">
        <v>0</v>
      </c>
      <c r="F210" s="113">
        <v>0</v>
      </c>
      <c r="G210" s="114">
        <v>69</v>
      </c>
      <c r="H210" s="113">
        <v>0</v>
      </c>
      <c r="I210" s="114">
        <v>0</v>
      </c>
      <c r="J210" s="113">
        <v>0</v>
      </c>
      <c r="K210" s="114">
        <v>0</v>
      </c>
      <c r="L210" s="113">
        <v>0</v>
      </c>
      <c r="M210" s="114">
        <v>0</v>
      </c>
      <c r="N210" s="113">
        <v>0</v>
      </c>
      <c r="O210" s="114">
        <v>0</v>
      </c>
      <c r="P210" s="113">
        <v>0</v>
      </c>
      <c r="Q210" s="114">
        <v>0</v>
      </c>
      <c r="R210" s="113">
        <v>0</v>
      </c>
      <c r="S210" s="114">
        <v>0</v>
      </c>
      <c r="T210" s="113">
        <v>0</v>
      </c>
      <c r="U210" s="115">
        <v>0</v>
      </c>
      <c r="V210" t="str">
        <f>VLOOKUP(A210,Projetos_Ciclo!$H$2:$H$315,1,FALSE)</f>
        <v>TI07418</v>
      </c>
    </row>
    <row r="211" spans="1:22" x14ac:dyDescent="0.25">
      <c r="A211" s="14" t="s">
        <v>1821</v>
      </c>
      <c r="B211" s="116" t="s">
        <v>1822</v>
      </c>
      <c r="C211" s="116" t="s">
        <v>1823</v>
      </c>
      <c r="D211" s="117">
        <v>0</v>
      </c>
      <c r="E211" s="120">
        <v>0</v>
      </c>
      <c r="F211" s="117">
        <v>0</v>
      </c>
      <c r="G211" s="120">
        <v>485</v>
      </c>
      <c r="H211" s="117">
        <v>0</v>
      </c>
      <c r="I211" s="120">
        <v>0</v>
      </c>
      <c r="J211" s="117">
        <v>0</v>
      </c>
      <c r="K211" s="120">
        <v>0</v>
      </c>
      <c r="L211" s="117">
        <v>485</v>
      </c>
      <c r="M211" s="120">
        <v>485</v>
      </c>
      <c r="N211" s="117">
        <v>0</v>
      </c>
      <c r="O211" s="120">
        <v>0</v>
      </c>
      <c r="P211" s="117">
        <v>0</v>
      </c>
      <c r="Q211" s="120">
        <v>0</v>
      </c>
      <c r="R211" s="117">
        <v>0</v>
      </c>
      <c r="S211" s="120">
        <v>0</v>
      </c>
      <c r="T211" s="117">
        <v>0</v>
      </c>
      <c r="U211" s="119">
        <v>0</v>
      </c>
      <c r="V211" t="str">
        <f>VLOOKUP(A211,Projetos_Ciclo!$H$2:$H$315,1,FALSE)</f>
        <v>TI07518</v>
      </c>
    </row>
    <row r="212" spans="1:22" x14ac:dyDescent="0.25">
      <c r="A212" s="111" t="s">
        <v>1849</v>
      </c>
      <c r="B212" s="112" t="s">
        <v>1850</v>
      </c>
      <c r="C212" s="112" t="s">
        <v>1851</v>
      </c>
      <c r="D212" s="113">
        <v>0</v>
      </c>
      <c r="E212" s="114">
        <v>0</v>
      </c>
      <c r="F212" s="113">
        <v>0</v>
      </c>
      <c r="G212" s="114">
        <v>115</v>
      </c>
      <c r="H212" s="113">
        <v>0</v>
      </c>
      <c r="I212" s="114">
        <v>0</v>
      </c>
      <c r="J212" s="113">
        <v>0</v>
      </c>
      <c r="K212" s="114">
        <v>0</v>
      </c>
      <c r="L212" s="113">
        <v>114.364501953125</v>
      </c>
      <c r="M212" s="114">
        <v>114.364501953125</v>
      </c>
      <c r="N212" s="113">
        <v>0</v>
      </c>
      <c r="O212" s="114">
        <v>0</v>
      </c>
      <c r="P212" s="113">
        <v>0</v>
      </c>
      <c r="Q212" s="114">
        <v>0</v>
      </c>
      <c r="R212" s="113">
        <v>0</v>
      </c>
      <c r="S212" s="114">
        <v>0</v>
      </c>
      <c r="T212" s="113">
        <v>0</v>
      </c>
      <c r="U212" s="115">
        <v>0</v>
      </c>
      <c r="V212" t="str">
        <f>VLOOKUP(A212,Projetos_Ciclo!$H$2:$H$315,1,FALSE)</f>
        <v>TI08218</v>
      </c>
    </row>
    <row r="213" spans="1:22" x14ac:dyDescent="0.25">
      <c r="A213" s="14" t="s">
        <v>1879</v>
      </c>
      <c r="B213" s="116" t="s">
        <v>1899</v>
      </c>
      <c r="C213" s="116" t="s">
        <v>1900</v>
      </c>
      <c r="D213" s="117">
        <v>0</v>
      </c>
      <c r="E213" s="120">
        <v>0</v>
      </c>
      <c r="F213" s="117">
        <v>0</v>
      </c>
      <c r="G213" s="120">
        <v>50</v>
      </c>
      <c r="H213" s="117">
        <v>0</v>
      </c>
      <c r="I213" s="120">
        <v>0</v>
      </c>
      <c r="J213" s="117">
        <v>0</v>
      </c>
      <c r="K213" s="120">
        <v>0</v>
      </c>
      <c r="L213" s="117">
        <v>49.91400146484375</v>
      </c>
      <c r="M213" s="120">
        <v>49.91400146484375</v>
      </c>
      <c r="N213" s="117">
        <v>0</v>
      </c>
      <c r="O213" s="120">
        <v>0</v>
      </c>
      <c r="P213" s="117">
        <v>0</v>
      </c>
      <c r="Q213" s="120">
        <v>0</v>
      </c>
      <c r="R213" s="117">
        <v>0</v>
      </c>
      <c r="S213" s="120">
        <v>0</v>
      </c>
      <c r="T213" s="117">
        <v>0</v>
      </c>
      <c r="U213" s="119">
        <v>0</v>
      </c>
      <c r="V213" t="str">
        <f>VLOOKUP(A213,Projetos_Ciclo!$H$2:$H$315,1,FALSE)</f>
        <v>TI08318</v>
      </c>
    </row>
    <row r="214" spans="1:22" x14ac:dyDescent="0.25">
      <c r="A214" s="111" t="s">
        <v>1901</v>
      </c>
      <c r="B214" s="112" t="s">
        <v>1902</v>
      </c>
      <c r="C214" s="112" t="s">
        <v>1903</v>
      </c>
      <c r="D214" s="113">
        <v>0</v>
      </c>
      <c r="E214" s="114">
        <v>0</v>
      </c>
      <c r="F214" s="113">
        <v>0</v>
      </c>
      <c r="G214" s="114">
        <v>80</v>
      </c>
      <c r="H214" s="113">
        <v>0</v>
      </c>
      <c r="I214" s="114">
        <v>18.450000762939453</v>
      </c>
      <c r="J214" s="113">
        <v>0</v>
      </c>
      <c r="K214" s="114">
        <v>18.450000762939453</v>
      </c>
      <c r="L214" s="113">
        <v>61.549949645996094</v>
      </c>
      <c r="M214" s="114">
        <v>79.999950408935547</v>
      </c>
      <c r="N214" s="113">
        <v>0</v>
      </c>
      <c r="O214" s="114">
        <v>0</v>
      </c>
      <c r="P214" s="113">
        <v>0</v>
      </c>
      <c r="Q214" s="114">
        <v>0</v>
      </c>
      <c r="R214" s="113">
        <v>0</v>
      </c>
      <c r="S214" s="114">
        <v>0</v>
      </c>
      <c r="T214" s="113">
        <v>0</v>
      </c>
      <c r="U214" s="115">
        <v>0</v>
      </c>
      <c r="V214" t="str">
        <f>VLOOKUP(A214,Projetos_Ciclo!$H$2:$H$315,1,FALSE)</f>
        <v>TI08418</v>
      </c>
    </row>
    <row r="215" spans="1:22" x14ac:dyDescent="0.25">
      <c r="A215" s="14" t="s">
        <v>1917</v>
      </c>
      <c r="B215" s="116" t="s">
        <v>1918</v>
      </c>
      <c r="C215" s="116" t="s">
        <v>1919</v>
      </c>
      <c r="D215" s="117">
        <v>0</v>
      </c>
      <c r="E215" s="120">
        <v>0</v>
      </c>
      <c r="F215" s="117">
        <v>0</v>
      </c>
      <c r="G215" s="120">
        <v>200</v>
      </c>
      <c r="H215" s="117">
        <v>0</v>
      </c>
      <c r="I215" s="120">
        <v>0</v>
      </c>
      <c r="J215" s="117">
        <v>0</v>
      </c>
      <c r="K215" s="120">
        <v>0</v>
      </c>
      <c r="L215" s="117">
        <v>200.10000610351562</v>
      </c>
      <c r="M215" s="120">
        <v>200.10000610351562</v>
      </c>
      <c r="N215" s="117">
        <v>0</v>
      </c>
      <c r="O215" s="120">
        <v>0</v>
      </c>
      <c r="P215" s="117">
        <v>0</v>
      </c>
      <c r="Q215" s="120">
        <v>0</v>
      </c>
      <c r="R215" s="117">
        <v>0</v>
      </c>
      <c r="S215" s="120">
        <v>0</v>
      </c>
      <c r="T215" s="117">
        <v>0</v>
      </c>
      <c r="U215" s="119">
        <v>0</v>
      </c>
      <c r="V215" t="str">
        <f>VLOOKUP(A215,Projetos_Ciclo!$H$2:$H$315,1,FALSE)</f>
        <v>TI08518</v>
      </c>
    </row>
    <row r="216" spans="1:22" x14ac:dyDescent="0.25">
      <c r="A216" s="111" t="s">
        <v>1957</v>
      </c>
      <c r="B216" s="112" t="s">
        <v>1701</v>
      </c>
      <c r="C216" s="112" t="s">
        <v>1958</v>
      </c>
      <c r="D216" s="113">
        <v>0</v>
      </c>
      <c r="E216" s="114">
        <v>0</v>
      </c>
      <c r="F216" s="113">
        <v>0</v>
      </c>
      <c r="G216" s="114">
        <v>2510</v>
      </c>
      <c r="H216" s="113">
        <v>0</v>
      </c>
      <c r="I216" s="114">
        <v>0</v>
      </c>
      <c r="J216" s="113">
        <v>0</v>
      </c>
      <c r="K216" s="114">
        <v>0</v>
      </c>
      <c r="L216" s="113">
        <v>0</v>
      </c>
      <c r="M216" s="114">
        <v>0</v>
      </c>
      <c r="N216" s="113">
        <v>0</v>
      </c>
      <c r="O216" s="114">
        <v>0</v>
      </c>
      <c r="P216" s="113">
        <v>0</v>
      </c>
      <c r="Q216" s="114">
        <v>0</v>
      </c>
      <c r="R216" s="113">
        <v>0</v>
      </c>
      <c r="S216" s="114">
        <v>0</v>
      </c>
      <c r="T216" s="113">
        <v>0</v>
      </c>
      <c r="U216" s="115">
        <v>0</v>
      </c>
      <c r="V216" t="e">
        <f>VLOOKUP(A216,Projetos_Ciclo!$H$2:$H$315,1,FALSE)</f>
        <v>#N/A</v>
      </c>
    </row>
    <row r="217" spans="1:22" x14ac:dyDescent="0.25">
      <c r="A217" s="14" t="s">
        <v>1959</v>
      </c>
      <c r="B217" s="116" t="s">
        <v>1967</v>
      </c>
      <c r="C217" s="116" t="s">
        <v>1968</v>
      </c>
      <c r="D217" s="117">
        <v>0</v>
      </c>
      <c r="E217" s="120">
        <v>0</v>
      </c>
      <c r="F217" s="117">
        <v>0</v>
      </c>
      <c r="G217" s="120">
        <v>24</v>
      </c>
      <c r="H217" s="117">
        <v>0</v>
      </c>
      <c r="I217" s="120">
        <v>0</v>
      </c>
      <c r="J217" s="117">
        <v>0</v>
      </c>
      <c r="K217" s="120">
        <v>0</v>
      </c>
      <c r="L217" s="117">
        <v>23.985000610351563</v>
      </c>
      <c r="M217" s="120">
        <v>23.985000610351563</v>
      </c>
      <c r="N217" s="117">
        <v>0</v>
      </c>
      <c r="O217" s="120">
        <v>0</v>
      </c>
      <c r="P217" s="117">
        <v>0</v>
      </c>
      <c r="Q217" s="120">
        <v>0</v>
      </c>
      <c r="R217" s="117">
        <v>0</v>
      </c>
      <c r="S217" s="120">
        <v>0</v>
      </c>
      <c r="T217" s="117">
        <v>0</v>
      </c>
      <c r="U217" s="119">
        <v>0</v>
      </c>
      <c r="V217" t="str">
        <f>VLOOKUP(A217,Projetos_Ciclo!$H$2:$H$315,1,FALSE)</f>
        <v>TI08818</v>
      </c>
    </row>
    <row r="218" spans="1:22" x14ac:dyDescent="0.25">
      <c r="A218" s="111" t="s">
        <v>1972</v>
      </c>
      <c r="B218" s="112" t="s">
        <v>963</v>
      </c>
      <c r="C218" s="112" t="s">
        <v>1973</v>
      </c>
      <c r="D218" s="113">
        <v>0</v>
      </c>
      <c r="E218" s="114">
        <v>0</v>
      </c>
      <c r="F218" s="113">
        <v>0</v>
      </c>
      <c r="G218" s="114">
        <v>0</v>
      </c>
      <c r="H218" s="113">
        <v>0</v>
      </c>
      <c r="I218" s="114">
        <v>0</v>
      </c>
      <c r="J218" s="113">
        <v>0</v>
      </c>
      <c r="K218" s="114">
        <v>0</v>
      </c>
      <c r="L218" s="113">
        <v>0</v>
      </c>
      <c r="M218" s="114">
        <v>0</v>
      </c>
      <c r="N218" s="113">
        <v>0</v>
      </c>
      <c r="O218" s="114">
        <v>0</v>
      </c>
      <c r="P218" s="113">
        <v>0</v>
      </c>
      <c r="Q218" s="114">
        <v>0</v>
      </c>
      <c r="R218" s="113">
        <v>0</v>
      </c>
      <c r="S218" s="114">
        <v>0</v>
      </c>
      <c r="T218" s="113">
        <v>0</v>
      </c>
      <c r="U218" s="115">
        <v>0</v>
      </c>
      <c r="V218" t="e">
        <f>VLOOKUP(A218,Projetos_Ciclo!$H$2:$H$315,1,FALSE)</f>
        <v>#N/A</v>
      </c>
    </row>
    <row r="219" spans="1:22" x14ac:dyDescent="0.25">
      <c r="A219" s="14" t="s">
        <v>1133</v>
      </c>
      <c r="B219" s="116" t="s">
        <v>1331</v>
      </c>
      <c r="C219" s="116" t="s">
        <v>57</v>
      </c>
      <c r="D219" s="117">
        <v>0</v>
      </c>
      <c r="E219" s="120">
        <v>0</v>
      </c>
      <c r="F219" s="117">
        <v>0</v>
      </c>
      <c r="G219" s="120">
        <v>0</v>
      </c>
      <c r="H219" s="117">
        <v>0</v>
      </c>
      <c r="I219" s="120">
        <v>0</v>
      </c>
      <c r="J219" s="117">
        <v>0</v>
      </c>
      <c r="K219" s="120">
        <v>0</v>
      </c>
      <c r="L219" s="117">
        <v>0</v>
      </c>
      <c r="M219" s="120">
        <v>0</v>
      </c>
      <c r="N219" s="117">
        <v>0</v>
      </c>
      <c r="O219" s="120">
        <v>0</v>
      </c>
      <c r="P219" s="117">
        <v>0</v>
      </c>
      <c r="Q219" s="120">
        <v>0</v>
      </c>
      <c r="R219" s="117">
        <v>0</v>
      </c>
      <c r="S219" s="120">
        <v>0</v>
      </c>
      <c r="T219" s="117">
        <v>0</v>
      </c>
      <c r="U219" s="119">
        <v>0</v>
      </c>
      <c r="V219" t="e">
        <f>VLOOKUP(A219,Projetos_Ciclo!$H$2:$H$315,1,FALSE)</f>
        <v>#N/A</v>
      </c>
    </row>
    <row r="220" spans="1:22" x14ac:dyDescent="0.25">
      <c r="A220" s="111" t="s">
        <v>1135</v>
      </c>
      <c r="B220" s="112" t="s">
        <v>1136</v>
      </c>
      <c r="C220" s="112" t="s">
        <v>57</v>
      </c>
      <c r="D220" s="113">
        <v>0</v>
      </c>
      <c r="E220" s="114">
        <v>0</v>
      </c>
      <c r="F220" s="113">
        <v>0</v>
      </c>
      <c r="G220" s="114">
        <v>0</v>
      </c>
      <c r="H220" s="113">
        <v>0</v>
      </c>
      <c r="I220" s="114">
        <v>0</v>
      </c>
      <c r="J220" s="113">
        <v>0</v>
      </c>
      <c r="K220" s="114">
        <v>0</v>
      </c>
      <c r="L220" s="113">
        <v>0</v>
      </c>
      <c r="M220" s="114">
        <v>0</v>
      </c>
      <c r="N220" s="113">
        <v>0</v>
      </c>
      <c r="O220" s="114">
        <v>0</v>
      </c>
      <c r="P220" s="113">
        <v>0</v>
      </c>
      <c r="Q220" s="114">
        <v>0</v>
      </c>
      <c r="R220" s="113">
        <v>0</v>
      </c>
      <c r="S220" s="114">
        <v>0</v>
      </c>
      <c r="T220" s="113">
        <v>0</v>
      </c>
      <c r="U220" s="115">
        <v>0</v>
      </c>
      <c r="V220" t="e">
        <f>VLOOKUP(A220,Projetos_Ciclo!$H$2:$H$315,1,FALSE)</f>
        <v>#N/A</v>
      </c>
    </row>
    <row r="221" spans="1:22" x14ac:dyDescent="0.25">
      <c r="A221" s="14" t="s">
        <v>1332</v>
      </c>
      <c r="B221" s="116" t="s">
        <v>1333</v>
      </c>
      <c r="C221" s="116" t="s">
        <v>1449</v>
      </c>
      <c r="D221" s="117">
        <v>1746</v>
      </c>
      <c r="E221" s="120">
        <v>0</v>
      </c>
      <c r="F221" s="117">
        <v>90</v>
      </c>
      <c r="G221" s="120">
        <v>0</v>
      </c>
      <c r="H221" s="117">
        <v>0</v>
      </c>
      <c r="I221" s="120">
        <v>0</v>
      </c>
      <c r="J221" s="117">
        <v>0</v>
      </c>
      <c r="K221" s="120">
        <v>0</v>
      </c>
      <c r="L221" s="117">
        <v>0</v>
      </c>
      <c r="M221" s="120">
        <v>0</v>
      </c>
      <c r="N221" s="117">
        <v>1656</v>
      </c>
      <c r="O221" s="120">
        <v>0</v>
      </c>
      <c r="P221" s="117">
        <v>0</v>
      </c>
      <c r="Q221" s="120">
        <v>0</v>
      </c>
      <c r="R221" s="117">
        <v>0</v>
      </c>
      <c r="S221" s="120">
        <v>0</v>
      </c>
      <c r="T221" s="117">
        <v>0</v>
      </c>
      <c r="U221" s="119">
        <v>0</v>
      </c>
      <c r="V221" t="e">
        <f>VLOOKUP(A221,Projetos_Ciclo!$H$2:$H$315,1,FALSE)</f>
        <v>#N/A</v>
      </c>
    </row>
    <row r="222" spans="1:22" x14ac:dyDescent="0.25">
      <c r="A222" s="111" t="s">
        <v>1365</v>
      </c>
      <c r="B222" s="112" t="s">
        <v>1450</v>
      </c>
      <c r="C222" s="112" t="s">
        <v>1451</v>
      </c>
      <c r="D222" s="113">
        <v>0</v>
      </c>
      <c r="E222" s="114">
        <v>0</v>
      </c>
      <c r="F222" s="113">
        <v>0</v>
      </c>
      <c r="G222" s="114">
        <v>0</v>
      </c>
      <c r="H222" s="113">
        <v>0</v>
      </c>
      <c r="I222" s="114">
        <v>0</v>
      </c>
      <c r="J222" s="113">
        <v>0</v>
      </c>
      <c r="K222" s="114">
        <v>0</v>
      </c>
      <c r="L222" s="113">
        <v>0</v>
      </c>
      <c r="M222" s="114">
        <v>0</v>
      </c>
      <c r="N222" s="113">
        <v>0</v>
      </c>
      <c r="O222" s="114">
        <v>0</v>
      </c>
      <c r="P222" s="113">
        <v>0</v>
      </c>
      <c r="Q222" s="114">
        <v>0</v>
      </c>
      <c r="R222" s="113">
        <v>0</v>
      </c>
      <c r="S222" s="114">
        <v>0</v>
      </c>
      <c r="T222" s="113">
        <v>0</v>
      </c>
      <c r="U222" s="115">
        <v>0</v>
      </c>
      <c r="V222" t="str">
        <f>VLOOKUP(A222,Projetos_Ciclo!$H$2:$H$315,1,FALSE)</f>
        <v>MD00218</v>
      </c>
    </row>
    <row r="223" spans="1:22" x14ac:dyDescent="0.25">
      <c r="A223" s="14" t="s">
        <v>1936</v>
      </c>
      <c r="B223" s="116" t="s">
        <v>1937</v>
      </c>
      <c r="C223" s="116" t="s">
        <v>1938</v>
      </c>
      <c r="D223" s="117">
        <v>0</v>
      </c>
      <c r="E223" s="120">
        <v>0</v>
      </c>
      <c r="F223" s="117">
        <v>0</v>
      </c>
      <c r="G223" s="120">
        <v>90</v>
      </c>
      <c r="H223" s="117">
        <v>0</v>
      </c>
      <c r="I223" s="120">
        <v>0</v>
      </c>
      <c r="J223" s="117">
        <v>0</v>
      </c>
      <c r="K223" s="120">
        <v>0</v>
      </c>
      <c r="L223" s="117">
        <v>89.843727111816406</v>
      </c>
      <c r="M223" s="120">
        <v>89.843727111816406</v>
      </c>
      <c r="N223" s="117">
        <v>0</v>
      </c>
      <c r="O223" s="120">
        <v>0</v>
      </c>
      <c r="P223" s="117">
        <v>0</v>
      </c>
      <c r="Q223" s="120">
        <v>0</v>
      </c>
      <c r="R223" s="117">
        <v>0</v>
      </c>
      <c r="S223" s="120">
        <v>0</v>
      </c>
      <c r="T223" s="117">
        <v>0</v>
      </c>
      <c r="U223" s="119">
        <v>0</v>
      </c>
      <c r="V223" t="str">
        <f>VLOOKUP(A223,Projetos_Ciclo!$H$2:$H$315,1,FALSE)</f>
        <v>MD00418</v>
      </c>
    </row>
    <row r="224" spans="1:22" x14ac:dyDescent="0.25">
      <c r="A224" s="111" t="s">
        <v>520</v>
      </c>
      <c r="B224" s="112" t="s">
        <v>1137</v>
      </c>
      <c r="C224" s="112" t="s">
        <v>57</v>
      </c>
      <c r="D224" s="113">
        <v>3710</v>
      </c>
      <c r="E224" s="114">
        <v>0</v>
      </c>
      <c r="F224" s="113">
        <v>0</v>
      </c>
      <c r="G224" s="114">
        <v>0</v>
      </c>
      <c r="H224" s="113">
        <v>0</v>
      </c>
      <c r="I224" s="114">
        <v>0</v>
      </c>
      <c r="J224" s="113">
        <v>0</v>
      </c>
      <c r="K224" s="114">
        <v>0</v>
      </c>
      <c r="L224" s="113">
        <v>0</v>
      </c>
      <c r="M224" s="114">
        <v>0</v>
      </c>
      <c r="N224" s="113">
        <v>208</v>
      </c>
      <c r="O224" s="114">
        <v>2982</v>
      </c>
      <c r="P224" s="113">
        <v>350</v>
      </c>
      <c r="Q224" s="114">
        <v>170</v>
      </c>
      <c r="R224" s="113">
        <v>0</v>
      </c>
      <c r="S224" s="114">
        <v>0</v>
      </c>
      <c r="T224" s="113">
        <v>0</v>
      </c>
      <c r="U224" s="115">
        <v>0</v>
      </c>
      <c r="V224" t="str">
        <f>VLOOKUP(A224,Projetos_Ciclo!$H$2:$H$315,1,FALSE)</f>
        <v>NA</v>
      </c>
    </row>
    <row r="225" spans="1:21" x14ac:dyDescent="0.25">
      <c r="A225" s="14" t="s">
        <v>1138</v>
      </c>
      <c r="B225" s="116" t="s">
        <v>1139</v>
      </c>
      <c r="C225" s="116" t="s">
        <v>57</v>
      </c>
      <c r="D225" s="117">
        <v>3092</v>
      </c>
      <c r="E225" s="120">
        <v>0</v>
      </c>
      <c r="F225" s="117">
        <v>0</v>
      </c>
      <c r="G225" s="120">
        <v>0</v>
      </c>
      <c r="H225" s="117">
        <v>0</v>
      </c>
      <c r="I225" s="120">
        <v>0</v>
      </c>
      <c r="J225" s="117">
        <v>0</v>
      </c>
      <c r="K225" s="120">
        <v>0</v>
      </c>
      <c r="L225" s="117">
        <v>0</v>
      </c>
      <c r="M225" s="120">
        <v>0</v>
      </c>
      <c r="N225" s="117">
        <v>0</v>
      </c>
      <c r="O225" s="120">
        <v>0</v>
      </c>
      <c r="P225" s="117">
        <v>0</v>
      </c>
      <c r="Q225" s="120">
        <v>0</v>
      </c>
      <c r="R225" s="117">
        <v>0</v>
      </c>
      <c r="S225" s="120">
        <v>0</v>
      </c>
      <c r="T225" s="117">
        <v>0</v>
      </c>
      <c r="U225" s="119">
        <v>0</v>
      </c>
    </row>
    <row r="226" spans="1:21" x14ac:dyDescent="0.25">
      <c r="A226" s="111" t="s">
        <v>1133</v>
      </c>
      <c r="B226" s="112" t="s">
        <v>1254</v>
      </c>
      <c r="C226" s="112" t="s">
        <v>57</v>
      </c>
      <c r="D226" s="113">
        <v>0</v>
      </c>
      <c r="E226" s="114">
        <v>0</v>
      </c>
      <c r="F226" s="113">
        <v>0</v>
      </c>
      <c r="G226" s="114">
        <v>0</v>
      </c>
      <c r="H226" s="113">
        <v>0</v>
      </c>
      <c r="I226" s="114">
        <v>0</v>
      </c>
      <c r="J226" s="113">
        <v>0</v>
      </c>
      <c r="K226" s="114">
        <v>0</v>
      </c>
      <c r="L226" s="113">
        <v>0</v>
      </c>
      <c r="M226" s="114">
        <v>0</v>
      </c>
      <c r="N226" s="113">
        <v>0</v>
      </c>
      <c r="O226" s="114">
        <v>0</v>
      </c>
      <c r="P226" s="113">
        <v>0</v>
      </c>
      <c r="Q226" s="114">
        <v>0</v>
      </c>
      <c r="R226" s="113">
        <v>0</v>
      </c>
      <c r="S226" s="114">
        <v>0</v>
      </c>
      <c r="T226" s="113">
        <v>0</v>
      </c>
      <c r="U226" s="115">
        <v>0</v>
      </c>
    </row>
    <row r="227" spans="1:21" x14ac:dyDescent="0.25">
      <c r="A227" s="14" t="s">
        <v>1135</v>
      </c>
      <c r="B227" s="116" t="s">
        <v>1136</v>
      </c>
      <c r="C227" s="116" t="s">
        <v>57</v>
      </c>
      <c r="D227" s="117">
        <v>0</v>
      </c>
      <c r="E227" s="120">
        <v>0</v>
      </c>
      <c r="F227" s="117">
        <v>0</v>
      </c>
      <c r="G227" s="120">
        <v>0</v>
      </c>
      <c r="H227" s="117">
        <v>0</v>
      </c>
      <c r="I227" s="120">
        <v>0</v>
      </c>
      <c r="J227" s="117">
        <v>0</v>
      </c>
      <c r="K227" s="120">
        <v>0</v>
      </c>
      <c r="L227" s="117">
        <v>0</v>
      </c>
      <c r="M227" s="120">
        <v>0</v>
      </c>
      <c r="N227" s="117">
        <v>0</v>
      </c>
      <c r="O227" s="120">
        <v>0</v>
      </c>
      <c r="P227" s="117">
        <v>0</v>
      </c>
      <c r="Q227" s="120">
        <v>0</v>
      </c>
      <c r="R227" s="117">
        <v>0</v>
      </c>
      <c r="S227" s="120">
        <v>0</v>
      </c>
      <c r="T227" s="117">
        <v>0</v>
      </c>
      <c r="U227" s="119">
        <v>0</v>
      </c>
    </row>
    <row r="228" spans="1:21" x14ac:dyDescent="0.25">
      <c r="A228" s="111" t="s">
        <v>520</v>
      </c>
      <c r="B228" s="112" t="s">
        <v>1335</v>
      </c>
      <c r="C228" s="112" t="s">
        <v>57</v>
      </c>
      <c r="D228" s="113">
        <v>625</v>
      </c>
      <c r="E228" s="114">
        <v>0</v>
      </c>
      <c r="F228" s="113">
        <v>0</v>
      </c>
      <c r="G228" s="114">
        <v>0</v>
      </c>
      <c r="H228" s="113">
        <v>0</v>
      </c>
      <c r="I228" s="114">
        <v>0</v>
      </c>
      <c r="J228" s="113">
        <v>0</v>
      </c>
      <c r="K228" s="114">
        <v>0</v>
      </c>
      <c r="L228" s="113">
        <v>0</v>
      </c>
      <c r="M228" s="114">
        <v>0</v>
      </c>
      <c r="N228" s="113">
        <v>75</v>
      </c>
      <c r="O228" s="114">
        <v>150</v>
      </c>
      <c r="P228" s="113">
        <v>150</v>
      </c>
      <c r="Q228" s="114">
        <v>250</v>
      </c>
      <c r="R228" s="113">
        <v>0</v>
      </c>
      <c r="S228" s="114">
        <v>0</v>
      </c>
      <c r="T228" s="113">
        <v>0</v>
      </c>
      <c r="U228" s="115">
        <v>0</v>
      </c>
    </row>
    <row r="229" spans="1:21" ht="13.5" customHeight="1" x14ac:dyDescent="0.25">
      <c r="A229" s="14" t="s">
        <v>1138</v>
      </c>
      <c r="B229" s="116" t="s">
        <v>1139</v>
      </c>
      <c r="C229" s="116" t="s">
        <v>57</v>
      </c>
      <c r="D229" s="117">
        <v>0</v>
      </c>
      <c r="E229" s="120">
        <v>0</v>
      </c>
      <c r="F229" s="117">
        <v>0</v>
      </c>
      <c r="G229" s="120">
        <v>0</v>
      </c>
      <c r="H229" s="117">
        <v>0</v>
      </c>
      <c r="I229" s="120">
        <v>0</v>
      </c>
      <c r="J229" s="117">
        <v>0</v>
      </c>
      <c r="K229" s="120">
        <v>0</v>
      </c>
      <c r="L229" s="117">
        <v>0</v>
      </c>
      <c r="M229" s="120">
        <v>0</v>
      </c>
      <c r="N229" s="117">
        <v>0</v>
      </c>
      <c r="O229" s="120">
        <v>0</v>
      </c>
      <c r="P229" s="117">
        <v>0</v>
      </c>
      <c r="Q229" s="120">
        <v>0</v>
      </c>
      <c r="R229" s="117">
        <v>0</v>
      </c>
      <c r="S229" s="120">
        <v>0</v>
      </c>
      <c r="T229" s="117">
        <v>0</v>
      </c>
      <c r="U229" s="119">
        <v>0</v>
      </c>
    </row>
    <row r="230" spans="1:21" x14ac:dyDescent="0.25">
      <c r="A230" s="111" t="s">
        <v>1336</v>
      </c>
      <c r="B230" s="112" t="s">
        <v>1337</v>
      </c>
      <c r="C230" s="112" t="s">
        <v>1338</v>
      </c>
      <c r="D230" s="113">
        <v>75</v>
      </c>
      <c r="E230" s="114">
        <v>0</v>
      </c>
      <c r="F230" s="113">
        <v>75</v>
      </c>
      <c r="G230" s="114">
        <v>0</v>
      </c>
      <c r="H230" s="113">
        <v>0</v>
      </c>
      <c r="I230" s="114">
        <v>0</v>
      </c>
      <c r="J230" s="113">
        <v>0</v>
      </c>
      <c r="K230" s="114">
        <v>0</v>
      </c>
      <c r="L230" s="113">
        <v>0</v>
      </c>
      <c r="M230" s="114">
        <v>0</v>
      </c>
      <c r="N230" s="113">
        <v>0</v>
      </c>
      <c r="O230" s="114">
        <v>0</v>
      </c>
      <c r="P230" s="113">
        <v>0</v>
      </c>
      <c r="Q230" s="114">
        <v>0</v>
      </c>
      <c r="R230" s="113">
        <v>0</v>
      </c>
      <c r="S230" s="114">
        <v>0</v>
      </c>
      <c r="T230" s="113">
        <v>0</v>
      </c>
      <c r="U230" s="115">
        <v>0</v>
      </c>
    </row>
    <row r="231" spans="1:21" x14ac:dyDescent="0.25">
      <c r="A231" s="14" t="s">
        <v>1421</v>
      </c>
      <c r="B231" s="116" t="s">
        <v>1402</v>
      </c>
      <c r="C231" s="116" t="s">
        <v>1422</v>
      </c>
      <c r="D231" s="117">
        <v>0</v>
      </c>
      <c r="E231" s="120">
        <v>0</v>
      </c>
      <c r="F231" s="117">
        <v>0</v>
      </c>
      <c r="G231" s="120">
        <v>75</v>
      </c>
      <c r="H231" s="117">
        <v>0</v>
      </c>
      <c r="I231" s="120">
        <v>0</v>
      </c>
      <c r="J231" s="117">
        <v>0</v>
      </c>
      <c r="K231" s="120">
        <v>0</v>
      </c>
      <c r="L231" s="117">
        <v>47.248001098632812</v>
      </c>
      <c r="M231" s="120">
        <v>47.248001098632812</v>
      </c>
      <c r="N231" s="117">
        <v>0</v>
      </c>
      <c r="O231" s="120">
        <v>0</v>
      </c>
      <c r="P231" s="117">
        <v>0</v>
      </c>
      <c r="Q231" s="120">
        <v>0</v>
      </c>
      <c r="R231" s="117">
        <v>0</v>
      </c>
      <c r="S231" s="120">
        <v>0</v>
      </c>
      <c r="T231" s="117">
        <v>0</v>
      </c>
      <c r="U231" s="119">
        <v>0</v>
      </c>
    </row>
    <row r="232" spans="1:21" x14ac:dyDescent="0.25">
      <c r="A232" s="111" t="s">
        <v>1133</v>
      </c>
      <c r="B232" s="112" t="s">
        <v>1339</v>
      </c>
      <c r="C232" s="112" t="s">
        <v>57</v>
      </c>
      <c r="D232" s="113">
        <v>0</v>
      </c>
      <c r="E232" s="114">
        <v>0</v>
      </c>
      <c r="F232" s="113">
        <v>0</v>
      </c>
      <c r="G232" s="114">
        <v>0</v>
      </c>
      <c r="H232" s="113">
        <v>0</v>
      </c>
      <c r="I232" s="114">
        <v>0</v>
      </c>
      <c r="J232" s="113">
        <v>0</v>
      </c>
      <c r="K232" s="114">
        <v>0</v>
      </c>
      <c r="L232" s="113">
        <v>0</v>
      </c>
      <c r="M232" s="114">
        <v>0</v>
      </c>
      <c r="N232" s="113">
        <v>0</v>
      </c>
      <c r="O232" s="114">
        <v>0</v>
      </c>
      <c r="P232" s="113">
        <v>0</v>
      </c>
      <c r="Q232" s="114">
        <v>0</v>
      </c>
      <c r="R232" s="113">
        <v>0</v>
      </c>
      <c r="S232" s="114">
        <v>0</v>
      </c>
      <c r="T232" s="113">
        <v>0</v>
      </c>
      <c r="U232" s="115">
        <v>0</v>
      </c>
    </row>
    <row r="233" spans="1:21" x14ac:dyDescent="0.25">
      <c r="A233" s="14" t="s">
        <v>1135</v>
      </c>
      <c r="B233" s="116" t="s">
        <v>1136</v>
      </c>
      <c r="C233" s="116" t="s">
        <v>57</v>
      </c>
      <c r="D233" s="117">
        <v>0</v>
      </c>
      <c r="E233" s="120">
        <v>0</v>
      </c>
      <c r="F233" s="117">
        <v>0</v>
      </c>
      <c r="G233" s="120">
        <v>0</v>
      </c>
      <c r="H233" s="117">
        <v>0</v>
      </c>
      <c r="I233" s="120">
        <v>0</v>
      </c>
      <c r="J233" s="117">
        <v>0</v>
      </c>
      <c r="K233" s="120">
        <v>0</v>
      </c>
      <c r="L233" s="117">
        <v>0</v>
      </c>
      <c r="M233" s="120">
        <v>0</v>
      </c>
      <c r="N233" s="117">
        <v>0</v>
      </c>
      <c r="O233" s="120">
        <v>0</v>
      </c>
      <c r="P233" s="117">
        <v>0</v>
      </c>
      <c r="Q233" s="120">
        <v>0</v>
      </c>
      <c r="R233" s="117">
        <v>0</v>
      </c>
      <c r="S233" s="120">
        <v>0</v>
      </c>
      <c r="T233" s="117">
        <v>0</v>
      </c>
      <c r="U233" s="119">
        <v>0</v>
      </c>
    </row>
    <row r="234" spans="1:21" x14ac:dyDescent="0.25">
      <c r="A234" s="111" t="s">
        <v>520</v>
      </c>
      <c r="B234" s="112" t="s">
        <v>1340</v>
      </c>
      <c r="C234" s="112" t="s">
        <v>57</v>
      </c>
      <c r="D234" s="113">
        <v>571</v>
      </c>
      <c r="E234" s="114">
        <v>0</v>
      </c>
      <c r="F234" s="113">
        <v>0</v>
      </c>
      <c r="G234" s="114">
        <v>0</v>
      </c>
      <c r="H234" s="113">
        <v>0</v>
      </c>
      <c r="I234" s="114">
        <v>0</v>
      </c>
      <c r="J234" s="113">
        <v>0</v>
      </c>
      <c r="K234" s="114">
        <v>0</v>
      </c>
      <c r="L234" s="113">
        <v>0</v>
      </c>
      <c r="M234" s="114">
        <v>0</v>
      </c>
      <c r="N234" s="113">
        <v>135</v>
      </c>
      <c r="O234" s="114">
        <v>136</v>
      </c>
      <c r="P234" s="113">
        <v>150</v>
      </c>
      <c r="Q234" s="114">
        <v>150</v>
      </c>
      <c r="R234" s="113">
        <v>0</v>
      </c>
      <c r="S234" s="114">
        <v>0</v>
      </c>
      <c r="T234" s="113">
        <v>0</v>
      </c>
      <c r="U234" s="115">
        <v>0</v>
      </c>
    </row>
    <row r="235" spans="1:21" x14ac:dyDescent="0.25">
      <c r="A235" s="14" t="s">
        <v>1138</v>
      </c>
      <c r="B235" s="116" t="s">
        <v>1139</v>
      </c>
      <c r="C235" s="116" t="s">
        <v>57</v>
      </c>
      <c r="D235" s="117">
        <v>0</v>
      </c>
      <c r="E235" s="120">
        <v>0</v>
      </c>
      <c r="F235" s="117">
        <v>0</v>
      </c>
      <c r="G235" s="120">
        <v>0</v>
      </c>
      <c r="H235" s="117">
        <v>0</v>
      </c>
      <c r="I235" s="120">
        <v>0</v>
      </c>
      <c r="J235" s="117">
        <v>0</v>
      </c>
      <c r="K235" s="120">
        <v>0</v>
      </c>
      <c r="L235" s="117">
        <v>0</v>
      </c>
      <c r="M235" s="120">
        <v>0</v>
      </c>
      <c r="N235" s="117">
        <v>0</v>
      </c>
      <c r="O235" s="120">
        <v>0</v>
      </c>
      <c r="P235" s="117">
        <v>0</v>
      </c>
      <c r="Q235" s="120">
        <v>0</v>
      </c>
      <c r="R235" s="117">
        <v>0</v>
      </c>
      <c r="S235" s="120">
        <v>0</v>
      </c>
      <c r="T235" s="117">
        <v>0</v>
      </c>
      <c r="U235" s="119">
        <v>0</v>
      </c>
    </row>
    <row r="236" spans="1:21" x14ac:dyDescent="0.25">
      <c r="A236" s="111" t="s">
        <v>745</v>
      </c>
      <c r="B236" s="112" t="s">
        <v>1344</v>
      </c>
      <c r="C236" s="112" t="s">
        <v>1345</v>
      </c>
      <c r="D236" s="113">
        <v>0</v>
      </c>
      <c r="E236" s="114">
        <v>0</v>
      </c>
      <c r="F236" s="113">
        <v>0</v>
      </c>
      <c r="G236" s="114">
        <v>178</v>
      </c>
      <c r="H236" s="113">
        <v>0</v>
      </c>
      <c r="I236" s="114">
        <v>175.00810670852661</v>
      </c>
      <c r="J236" s="113">
        <v>0</v>
      </c>
      <c r="K236" s="114">
        <v>175.00810670852661</v>
      </c>
      <c r="L236" s="113">
        <v>0</v>
      </c>
      <c r="M236" s="114">
        <v>175.00810670852661</v>
      </c>
      <c r="N236" s="113">
        <v>0</v>
      </c>
      <c r="O236" s="114">
        <v>0</v>
      </c>
      <c r="P236" s="113">
        <v>0</v>
      </c>
      <c r="Q236" s="114">
        <v>0</v>
      </c>
      <c r="R236" s="113">
        <v>0</v>
      </c>
      <c r="S236" s="114">
        <v>0</v>
      </c>
      <c r="T236" s="113">
        <v>0</v>
      </c>
      <c r="U236" s="115">
        <v>0</v>
      </c>
    </row>
    <row r="237" spans="1:21" x14ac:dyDescent="0.25">
      <c r="A237" s="14" t="s">
        <v>1336</v>
      </c>
      <c r="B237" s="116" t="s">
        <v>1346</v>
      </c>
      <c r="C237" s="116" t="s">
        <v>1347</v>
      </c>
      <c r="D237" s="117">
        <v>1318</v>
      </c>
      <c r="E237" s="120">
        <v>0</v>
      </c>
      <c r="F237" s="117">
        <v>1289</v>
      </c>
      <c r="G237" s="120">
        <v>0</v>
      </c>
      <c r="H237" s="117">
        <v>235</v>
      </c>
      <c r="I237" s="120">
        <v>0</v>
      </c>
      <c r="J237" s="117">
        <v>0</v>
      </c>
      <c r="K237" s="120">
        <v>0</v>
      </c>
      <c r="L237" s="117">
        <v>0</v>
      </c>
      <c r="M237" s="120">
        <v>0</v>
      </c>
      <c r="N237" s="117">
        <v>15</v>
      </c>
      <c r="O237" s="120">
        <v>14</v>
      </c>
      <c r="P237" s="117">
        <v>0</v>
      </c>
      <c r="Q237" s="120">
        <v>0</v>
      </c>
      <c r="R237" s="117">
        <v>0</v>
      </c>
      <c r="S237" s="120">
        <v>0</v>
      </c>
      <c r="T237" s="117">
        <v>0</v>
      </c>
      <c r="U237" s="119">
        <v>0</v>
      </c>
    </row>
    <row r="238" spans="1:21" x14ac:dyDescent="0.25">
      <c r="A238" s="111" t="s">
        <v>1712</v>
      </c>
      <c r="B238" s="112" t="s">
        <v>1706</v>
      </c>
      <c r="C238" s="112" t="s">
        <v>1713</v>
      </c>
      <c r="D238" s="113">
        <v>0</v>
      </c>
      <c r="E238" s="114">
        <v>0</v>
      </c>
      <c r="F238" s="113">
        <v>0</v>
      </c>
      <c r="G238" s="114">
        <v>15</v>
      </c>
      <c r="H238" s="113">
        <v>0</v>
      </c>
      <c r="I238" s="114">
        <v>0</v>
      </c>
      <c r="J238" s="113">
        <v>0</v>
      </c>
      <c r="K238" s="114">
        <v>0</v>
      </c>
      <c r="L238" s="113">
        <v>14.723099708557129</v>
      </c>
      <c r="M238" s="114">
        <v>14.723099708557129</v>
      </c>
      <c r="N238" s="113">
        <v>0</v>
      </c>
      <c r="O238" s="114">
        <v>0</v>
      </c>
      <c r="P238" s="113">
        <v>0</v>
      </c>
      <c r="Q238" s="114">
        <v>0</v>
      </c>
      <c r="R238" s="113">
        <v>0</v>
      </c>
      <c r="S238" s="114">
        <v>0</v>
      </c>
      <c r="T238" s="113">
        <v>0</v>
      </c>
      <c r="U238" s="115">
        <v>0</v>
      </c>
    </row>
    <row r="239" spans="1:21" x14ac:dyDescent="0.25">
      <c r="A239" s="14" t="s">
        <v>1824</v>
      </c>
      <c r="B239" s="116" t="s">
        <v>1796</v>
      </c>
      <c r="C239" s="116" t="s">
        <v>1825</v>
      </c>
      <c r="D239" s="117">
        <v>0</v>
      </c>
      <c r="E239" s="120">
        <v>0</v>
      </c>
      <c r="F239" s="117">
        <v>0</v>
      </c>
      <c r="G239" s="120">
        <v>55</v>
      </c>
      <c r="H239" s="117">
        <v>0</v>
      </c>
      <c r="I239" s="120">
        <v>0</v>
      </c>
      <c r="J239" s="117">
        <v>0</v>
      </c>
      <c r="K239" s="120">
        <v>0</v>
      </c>
      <c r="L239" s="117">
        <v>0</v>
      </c>
      <c r="M239" s="120">
        <v>0</v>
      </c>
      <c r="N239" s="117">
        <v>0</v>
      </c>
      <c r="O239" s="120">
        <v>0</v>
      </c>
      <c r="P239" s="117">
        <v>0</v>
      </c>
      <c r="Q239" s="120">
        <v>0</v>
      </c>
      <c r="R239" s="117">
        <v>0</v>
      </c>
      <c r="S239" s="120">
        <v>0</v>
      </c>
      <c r="T239" s="117">
        <v>0</v>
      </c>
      <c r="U239" s="119">
        <v>0</v>
      </c>
    </row>
    <row r="261" spans="4:21" s="341" customFormat="1" x14ac:dyDescent="0.25">
      <c r="D261" s="340">
        <f>SUBTOTAL(9,D4:D260)</f>
        <v>356727.6</v>
      </c>
      <c r="E261" s="340">
        <f t="shared" ref="E261:U261" si="0">SUBTOTAL(9,E4:E260)</f>
        <v>0</v>
      </c>
      <c r="F261" s="340">
        <f t="shared" si="0"/>
        <v>75387</v>
      </c>
      <c r="G261" s="340">
        <f t="shared" si="0"/>
        <v>62660</v>
      </c>
      <c r="H261" s="340">
        <f t="shared" si="0"/>
        <v>18919</v>
      </c>
      <c r="I261" s="340">
        <f t="shared" si="0"/>
        <v>17875.075205996633</v>
      </c>
      <c r="J261" s="340">
        <f t="shared" si="0"/>
        <v>0</v>
      </c>
      <c r="K261" s="340">
        <f t="shared" si="0"/>
        <v>17875.075205996633</v>
      </c>
      <c r="L261" s="340">
        <f t="shared" si="0"/>
        <v>28339.658150185136</v>
      </c>
      <c r="M261" s="340">
        <f t="shared" si="0"/>
        <v>46214.733356181765</v>
      </c>
      <c r="N261" s="340">
        <f t="shared" si="0"/>
        <v>89792.5</v>
      </c>
      <c r="O261" s="340">
        <f t="shared" si="0"/>
        <v>81660</v>
      </c>
      <c r="P261" s="340">
        <f t="shared" si="0"/>
        <v>54136</v>
      </c>
      <c r="Q261" s="340">
        <f t="shared" si="0"/>
        <v>47400</v>
      </c>
      <c r="R261" s="340">
        <f t="shared" si="0"/>
        <v>0</v>
      </c>
      <c r="S261" s="340">
        <f t="shared" si="0"/>
        <v>0</v>
      </c>
      <c r="T261" s="340">
        <f t="shared" si="0"/>
        <v>0</v>
      </c>
      <c r="U261" s="340">
        <f t="shared" si="0"/>
        <v>0</v>
      </c>
    </row>
  </sheetData>
  <autoFilter ref="A2:V225"/>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2"/>
  <sheetViews>
    <sheetView showGridLines="0" workbookViewId="0">
      <selection activeCell="D32" sqref="D32"/>
    </sheetView>
  </sheetViews>
  <sheetFormatPr defaultRowHeight="15" x14ac:dyDescent="0.25"/>
  <cols>
    <col min="1" max="1" width="3.28515625" customWidth="1"/>
    <col min="2" max="2" width="78.85546875" customWidth="1"/>
    <col min="3" max="3" width="10.140625" bestFit="1" customWidth="1"/>
    <col min="4" max="4" width="9.28515625" bestFit="1" customWidth="1"/>
    <col min="5" max="7" width="10.140625" bestFit="1" customWidth="1"/>
    <col min="8" max="8" width="10.85546875" bestFit="1" customWidth="1"/>
    <col min="9" max="9" width="4.140625" customWidth="1"/>
  </cols>
  <sheetData>
    <row r="2" spans="2:9" x14ac:dyDescent="0.25">
      <c r="B2" s="377"/>
      <c r="C2" s="379">
        <v>2018</v>
      </c>
      <c r="D2" s="379">
        <v>2019</v>
      </c>
      <c r="E2" s="379">
        <v>2020</v>
      </c>
      <c r="F2" s="379">
        <v>2021</v>
      </c>
      <c r="G2" s="379">
        <v>2022</v>
      </c>
      <c r="H2" s="379" t="s">
        <v>14</v>
      </c>
      <c r="I2" s="375"/>
    </row>
    <row r="3" spans="2:9" x14ac:dyDescent="0.25">
      <c r="B3" s="378" t="s">
        <v>2000</v>
      </c>
      <c r="C3" s="380">
        <v>1816</v>
      </c>
      <c r="D3" s="380">
        <v>949</v>
      </c>
      <c r="E3" s="380">
        <v>1879</v>
      </c>
      <c r="F3" s="380">
        <v>3320</v>
      </c>
      <c r="G3" s="380">
        <v>3832</v>
      </c>
      <c r="H3" s="380">
        <v>11796</v>
      </c>
      <c r="I3" s="386" t="s">
        <v>2002</v>
      </c>
    </row>
    <row r="4" spans="2:9" x14ac:dyDescent="0.25">
      <c r="B4" s="374" t="s">
        <v>1798</v>
      </c>
      <c r="C4" s="381">
        <v>-125</v>
      </c>
      <c r="D4" s="382"/>
      <c r="E4" s="382"/>
      <c r="F4" s="382"/>
      <c r="G4" s="382"/>
      <c r="H4" s="382">
        <f t="shared" ref="H4:H8" si="0">SUM(C4:G4)</f>
        <v>-125</v>
      </c>
      <c r="I4" s="384" t="s">
        <v>2002</v>
      </c>
    </row>
    <row r="5" spans="2:9" x14ac:dyDescent="0.25">
      <c r="B5" s="374" t="s">
        <v>1997</v>
      </c>
      <c r="C5" s="381"/>
      <c r="D5" s="382">
        <v>-500</v>
      </c>
      <c r="E5" s="382"/>
      <c r="F5" s="382"/>
      <c r="G5" s="382"/>
      <c r="H5" s="382">
        <f t="shared" si="0"/>
        <v>-500</v>
      </c>
      <c r="I5" s="384" t="s">
        <v>2002</v>
      </c>
    </row>
    <row r="6" spans="2:9" x14ac:dyDescent="0.25">
      <c r="B6" s="374" t="s">
        <v>1998</v>
      </c>
      <c r="C6" s="381">
        <v>-9156</v>
      </c>
      <c r="D6" s="382"/>
      <c r="E6" s="382"/>
      <c r="F6" s="382"/>
      <c r="G6" s="382"/>
      <c r="H6" s="382">
        <f t="shared" si="0"/>
        <v>-9156</v>
      </c>
      <c r="I6" s="384" t="s">
        <v>2002</v>
      </c>
    </row>
    <row r="7" spans="2:9" x14ac:dyDescent="0.25">
      <c r="B7" s="374" t="s">
        <v>2001</v>
      </c>
      <c r="C7" s="382">
        <v>-45</v>
      </c>
      <c r="D7" s="382"/>
      <c r="E7" s="382"/>
      <c r="F7" s="382"/>
      <c r="G7" s="382"/>
      <c r="H7" s="382">
        <f t="shared" si="0"/>
        <v>-45</v>
      </c>
      <c r="I7" s="384" t="s">
        <v>2002</v>
      </c>
    </row>
    <row r="8" spans="2:9" x14ac:dyDescent="0.25">
      <c r="B8" s="374" t="s">
        <v>939</v>
      </c>
      <c r="C8" s="382"/>
      <c r="D8" s="382">
        <v>-320</v>
      </c>
      <c r="E8" s="382"/>
      <c r="F8" s="382"/>
      <c r="G8" s="382"/>
      <c r="H8" s="382">
        <f t="shared" si="0"/>
        <v>-320</v>
      </c>
      <c r="I8" s="384" t="s">
        <v>2002</v>
      </c>
    </row>
    <row r="9" spans="2:9" x14ac:dyDescent="0.25">
      <c r="B9" s="376" t="s">
        <v>1999</v>
      </c>
      <c r="C9" s="383">
        <f>SUM(C3:C8)</f>
        <v>-7510</v>
      </c>
      <c r="D9" s="383">
        <f t="shared" ref="D9:H9" si="1">SUM(D3:D8)</f>
        <v>129</v>
      </c>
      <c r="E9" s="383">
        <f t="shared" si="1"/>
        <v>1879</v>
      </c>
      <c r="F9" s="383">
        <f t="shared" si="1"/>
        <v>3320</v>
      </c>
      <c r="G9" s="383">
        <f t="shared" si="1"/>
        <v>3832</v>
      </c>
      <c r="H9" s="383">
        <f t="shared" si="1"/>
        <v>1650</v>
      </c>
      <c r="I9" s="385" t="s">
        <v>2002</v>
      </c>
    </row>
    <row r="12" spans="2:9" x14ac:dyDescent="0.25">
      <c r="C12" s="93"/>
    </row>
  </sheetData>
  <pageMargins left="0.511811024" right="0.511811024" top="0.78740157499999996" bottom="0.78740157499999996" header="0.31496062000000002" footer="0.31496062000000002"/>
  <pageSetup orientation="portrait" r:id="rId1"/>
  <ignoredErrors>
    <ignoredError sqref="C9:H9" formulaRange="1"/>
  </ignoredError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GL69"/>
  <sheetViews>
    <sheetView showGridLines="0" workbookViewId="0">
      <pane xSplit="1" ySplit="3" topLeftCell="B37" activePane="bottomRight" state="frozen"/>
      <selection pane="topRight" activeCell="B1" sqref="B1"/>
      <selection pane="bottomLeft" activeCell="A4" sqref="A4"/>
      <selection pane="bottomRight" activeCell="H75" sqref="H75"/>
    </sheetView>
  </sheetViews>
  <sheetFormatPr defaultRowHeight="15" outlineLevelCol="1" x14ac:dyDescent="0.25"/>
  <cols>
    <col min="1" max="1" width="9.140625" style="165"/>
    <col min="2" max="2" width="11" customWidth="1"/>
    <col min="3" max="3" width="10.7109375" bestFit="1" customWidth="1"/>
    <col min="8" max="8" width="22.140625" customWidth="1"/>
    <col min="9" max="9" width="40.85546875" customWidth="1"/>
    <col min="10" max="15" width="9.140625" hidden="1" customWidth="1"/>
    <col min="16" max="27" width="9.140625" customWidth="1" outlineLevel="1"/>
    <col min="29" max="39" width="9.140625" customWidth="1" outlineLevel="1"/>
    <col min="40" max="40" width="10.7109375" customWidth="1" outlineLevel="1"/>
    <col min="42" max="53" width="0" hidden="1" customWidth="1" outlineLevel="1"/>
    <col min="54" max="54" width="9.140625" collapsed="1"/>
    <col min="55" max="66" width="0" hidden="1" customWidth="1" outlineLevel="1"/>
    <col min="67" max="67" width="9.140625" collapsed="1"/>
    <col min="68" max="79" width="9.140625" hidden="1" customWidth="1" outlineLevel="1"/>
    <col min="80" max="80" width="9.140625" collapsed="1"/>
    <col min="81" max="81" width="11.85546875" customWidth="1"/>
  </cols>
  <sheetData>
    <row r="3" spans="1:194" s="1" customFormat="1" ht="44.25" customHeight="1" x14ac:dyDescent="0.25">
      <c r="A3" s="164"/>
      <c r="B3" s="15" t="s">
        <v>0</v>
      </c>
      <c r="C3" s="15" t="s">
        <v>1</v>
      </c>
      <c r="D3" s="18" t="s">
        <v>16</v>
      </c>
      <c r="E3" s="18" t="s">
        <v>17</v>
      </c>
      <c r="F3" s="18" t="s">
        <v>51</v>
      </c>
      <c r="G3" s="18" t="s">
        <v>517</v>
      </c>
      <c r="H3" s="18" t="s">
        <v>1095</v>
      </c>
      <c r="I3" s="15" t="s">
        <v>20</v>
      </c>
      <c r="J3" s="15" t="s">
        <v>2</v>
      </c>
      <c r="K3" s="18" t="s">
        <v>19</v>
      </c>
      <c r="L3" s="19" t="s">
        <v>23</v>
      </c>
      <c r="M3" s="19" t="s">
        <v>24</v>
      </c>
      <c r="N3" s="20" t="s">
        <v>18</v>
      </c>
      <c r="O3" s="21" t="s">
        <v>513</v>
      </c>
      <c r="P3" s="16">
        <v>43101</v>
      </c>
      <c r="Q3" s="16">
        <v>43132</v>
      </c>
      <c r="R3" s="16">
        <v>43160</v>
      </c>
      <c r="S3" s="16">
        <v>43191</v>
      </c>
      <c r="T3" s="16">
        <v>43221</v>
      </c>
      <c r="U3" s="16">
        <v>43252</v>
      </c>
      <c r="V3" s="16">
        <v>43282</v>
      </c>
      <c r="W3" s="16">
        <v>43313</v>
      </c>
      <c r="X3" s="16">
        <v>43344</v>
      </c>
      <c r="Y3" s="16">
        <v>43374</v>
      </c>
      <c r="Z3" s="16">
        <v>43405</v>
      </c>
      <c r="AA3" s="16">
        <v>43435</v>
      </c>
      <c r="AB3" s="110" t="s">
        <v>423</v>
      </c>
      <c r="AC3" s="17">
        <v>43466</v>
      </c>
      <c r="AD3" s="17">
        <v>43497</v>
      </c>
      <c r="AE3" s="17">
        <v>43525</v>
      </c>
      <c r="AF3" s="17">
        <v>43556</v>
      </c>
      <c r="AG3" s="17">
        <v>43586</v>
      </c>
      <c r="AH3" s="17">
        <v>43617</v>
      </c>
      <c r="AI3" s="17">
        <v>43647</v>
      </c>
      <c r="AJ3" s="17">
        <v>43678</v>
      </c>
      <c r="AK3" s="17">
        <v>43709</v>
      </c>
      <c r="AL3" s="17">
        <v>43739</v>
      </c>
      <c r="AM3" s="17">
        <v>43770</v>
      </c>
      <c r="AN3" s="17">
        <v>43800</v>
      </c>
      <c r="AO3" s="108" t="s">
        <v>424</v>
      </c>
      <c r="AP3" s="17">
        <v>43831</v>
      </c>
      <c r="AQ3" s="17">
        <v>43862</v>
      </c>
      <c r="AR3" s="17">
        <v>43891</v>
      </c>
      <c r="AS3" s="17">
        <v>43922</v>
      </c>
      <c r="AT3" s="17">
        <v>43952</v>
      </c>
      <c r="AU3" s="17">
        <v>43983</v>
      </c>
      <c r="AV3" s="17">
        <v>44013</v>
      </c>
      <c r="AW3" s="17">
        <v>44044</v>
      </c>
      <c r="AX3" s="17">
        <v>44075</v>
      </c>
      <c r="AY3" s="17">
        <v>44105</v>
      </c>
      <c r="AZ3" s="17">
        <v>44136</v>
      </c>
      <c r="BA3" s="17">
        <v>44166</v>
      </c>
      <c r="BB3" s="108" t="s">
        <v>425</v>
      </c>
      <c r="BC3" s="17">
        <v>44197</v>
      </c>
      <c r="BD3" s="17">
        <v>44228</v>
      </c>
      <c r="BE3" s="17">
        <v>44256</v>
      </c>
      <c r="BF3" s="17">
        <v>44287</v>
      </c>
      <c r="BG3" s="17">
        <v>44317</v>
      </c>
      <c r="BH3" s="17">
        <v>44348</v>
      </c>
      <c r="BI3" s="17">
        <v>44378</v>
      </c>
      <c r="BJ3" s="17">
        <v>44409</v>
      </c>
      <c r="BK3" s="17">
        <v>44440</v>
      </c>
      <c r="BL3" s="17">
        <v>44470</v>
      </c>
      <c r="BM3" s="17">
        <v>44501</v>
      </c>
      <c r="BN3" s="17">
        <v>44531</v>
      </c>
      <c r="BO3" s="108" t="s">
        <v>426</v>
      </c>
      <c r="BP3" s="17">
        <v>44562</v>
      </c>
      <c r="BQ3" s="17">
        <v>44593</v>
      </c>
      <c r="BR3" s="17">
        <v>44621</v>
      </c>
      <c r="BS3" s="17">
        <v>44652</v>
      </c>
      <c r="BT3" s="17">
        <v>44682</v>
      </c>
      <c r="BU3" s="17">
        <v>44713</v>
      </c>
      <c r="BV3" s="17">
        <v>44743</v>
      </c>
      <c r="BW3" s="17">
        <v>44774</v>
      </c>
      <c r="BX3" s="17">
        <v>44805</v>
      </c>
      <c r="BY3" s="17">
        <v>44835</v>
      </c>
      <c r="BZ3" s="17">
        <v>44866</v>
      </c>
      <c r="CA3" s="17">
        <v>44896</v>
      </c>
      <c r="CB3" s="109" t="s">
        <v>427</v>
      </c>
      <c r="CC3" s="89" t="s">
        <v>15</v>
      </c>
      <c r="CD3" s="23" t="s">
        <v>974</v>
      </c>
      <c r="CF3" s="62" t="s">
        <v>22</v>
      </c>
      <c r="CG3" s="5" t="s">
        <v>3</v>
      </c>
      <c r="CH3" s="5" t="s">
        <v>4</v>
      </c>
      <c r="CI3" s="5" t="s">
        <v>5</v>
      </c>
      <c r="CJ3" s="5" t="s">
        <v>6</v>
      </c>
      <c r="CK3" s="5" t="s">
        <v>7</v>
      </c>
      <c r="CL3" s="5" t="s">
        <v>8</v>
      </c>
      <c r="CM3" s="5" t="s">
        <v>9</v>
      </c>
      <c r="CN3" s="5" t="s">
        <v>10</v>
      </c>
      <c r="CO3" s="5" t="s">
        <v>11</v>
      </c>
      <c r="CP3" s="5" t="s">
        <v>12</v>
      </c>
      <c r="CQ3" s="5" t="s">
        <v>13</v>
      </c>
      <c r="CR3" s="5" t="s">
        <v>21</v>
      </c>
      <c r="CS3" s="5" t="s">
        <v>423</v>
      </c>
      <c r="CT3" s="5" t="s">
        <v>3</v>
      </c>
      <c r="CU3" s="5" t="s">
        <v>4</v>
      </c>
      <c r="CV3" s="5" t="s">
        <v>5</v>
      </c>
      <c r="CW3" s="5" t="s">
        <v>6</v>
      </c>
      <c r="CX3" s="5" t="s">
        <v>7</v>
      </c>
      <c r="CY3" s="5" t="s">
        <v>8</v>
      </c>
      <c r="CZ3" s="5" t="s">
        <v>9</v>
      </c>
      <c r="DA3" s="5" t="s">
        <v>10</v>
      </c>
      <c r="DB3" s="5" t="s">
        <v>11</v>
      </c>
      <c r="DC3" s="5" t="s">
        <v>12</v>
      </c>
      <c r="DD3" s="5" t="s">
        <v>13</v>
      </c>
      <c r="DE3" s="5" t="s">
        <v>21</v>
      </c>
      <c r="DF3" s="5" t="s">
        <v>424</v>
      </c>
      <c r="DG3" s="5" t="s">
        <v>3</v>
      </c>
      <c r="DH3" s="5" t="s">
        <v>4</v>
      </c>
      <c r="DI3" s="5" t="s">
        <v>5</v>
      </c>
      <c r="DJ3" s="5" t="s">
        <v>6</v>
      </c>
      <c r="DK3" s="5" t="s">
        <v>7</v>
      </c>
      <c r="DL3" s="5" t="s">
        <v>8</v>
      </c>
      <c r="DM3" s="5" t="s">
        <v>9</v>
      </c>
      <c r="DN3" s="5" t="s">
        <v>10</v>
      </c>
      <c r="DO3" s="5" t="s">
        <v>11</v>
      </c>
      <c r="DP3" s="5" t="s">
        <v>12</v>
      </c>
      <c r="DQ3" s="5" t="s">
        <v>13</v>
      </c>
      <c r="DR3" s="5" t="s">
        <v>21</v>
      </c>
      <c r="DS3" s="5" t="s">
        <v>425</v>
      </c>
      <c r="DT3" s="5" t="s">
        <v>3</v>
      </c>
      <c r="DU3" s="5" t="s">
        <v>4</v>
      </c>
      <c r="DV3" s="5" t="s">
        <v>5</v>
      </c>
      <c r="DW3" s="5" t="s">
        <v>6</v>
      </c>
      <c r="DX3" s="5" t="s">
        <v>7</v>
      </c>
      <c r="DY3" s="5" t="s">
        <v>8</v>
      </c>
      <c r="DZ3" s="5" t="s">
        <v>9</v>
      </c>
      <c r="EA3" s="5" t="s">
        <v>10</v>
      </c>
      <c r="EB3" s="5" t="s">
        <v>11</v>
      </c>
      <c r="EC3" s="5" t="s">
        <v>12</v>
      </c>
      <c r="ED3" s="5" t="s">
        <v>13</v>
      </c>
      <c r="EE3" s="5" t="s">
        <v>21</v>
      </c>
      <c r="EF3" s="5" t="s">
        <v>426</v>
      </c>
      <c r="EG3" s="5" t="s">
        <v>3</v>
      </c>
      <c r="EH3" s="5" t="s">
        <v>4</v>
      </c>
      <c r="EI3" s="5" t="s">
        <v>5</v>
      </c>
      <c r="EJ3" s="5" t="s">
        <v>6</v>
      </c>
      <c r="EK3" s="5" t="s">
        <v>7</v>
      </c>
      <c r="EL3" s="5" t="s">
        <v>8</v>
      </c>
      <c r="EM3" s="5" t="s">
        <v>9</v>
      </c>
      <c r="EN3" s="5" t="s">
        <v>10</v>
      </c>
      <c r="EO3" s="5" t="s">
        <v>11</v>
      </c>
      <c r="EP3" s="5" t="s">
        <v>12</v>
      </c>
      <c r="EQ3" s="5" t="s">
        <v>13</v>
      </c>
      <c r="ER3" s="5" t="s">
        <v>21</v>
      </c>
      <c r="ES3" s="5" t="s">
        <v>427</v>
      </c>
      <c r="ET3" s="63" t="s">
        <v>15</v>
      </c>
      <c r="EV3" s="8" t="s">
        <v>47</v>
      </c>
      <c r="EW3" s="6">
        <v>2018</v>
      </c>
      <c r="EX3" s="6">
        <v>2019</v>
      </c>
      <c r="EY3" s="6">
        <v>2020</v>
      </c>
      <c r="EZ3" s="6">
        <v>2021</v>
      </c>
      <c r="FA3" s="6">
        <v>2022</v>
      </c>
      <c r="FB3" s="7" t="s">
        <v>15</v>
      </c>
      <c r="FC3" s="8" t="s">
        <v>48</v>
      </c>
      <c r="FD3" s="22" t="s">
        <v>25</v>
      </c>
      <c r="FE3" s="2">
        <v>2018</v>
      </c>
      <c r="FF3" s="2">
        <v>2019</v>
      </c>
      <c r="FG3" s="2">
        <v>2020</v>
      </c>
      <c r="FH3" s="2">
        <v>2021</v>
      </c>
      <c r="FI3" s="2">
        <v>2022</v>
      </c>
      <c r="FJ3" s="4" t="s">
        <v>15</v>
      </c>
      <c r="FK3" s="95"/>
      <c r="FL3" s="9" t="s">
        <v>49</v>
      </c>
      <c r="FM3" s="12" t="s">
        <v>46</v>
      </c>
      <c r="FN3" s="13">
        <v>2018</v>
      </c>
      <c r="FO3" s="13">
        <v>2019</v>
      </c>
      <c r="FP3" s="13">
        <v>2020</v>
      </c>
      <c r="FQ3" s="13">
        <v>2021</v>
      </c>
      <c r="FR3" s="13">
        <v>2022</v>
      </c>
      <c r="FS3" s="10" t="s">
        <v>15</v>
      </c>
      <c r="FT3" s="11" t="s">
        <v>25</v>
      </c>
      <c r="FU3" s="10" t="s">
        <v>922</v>
      </c>
      <c r="FV3" s="10" t="s">
        <v>923</v>
      </c>
      <c r="FW3" s="10" t="s">
        <v>1423</v>
      </c>
      <c r="FX3" s="10" t="s">
        <v>1465</v>
      </c>
      <c r="FY3" s="10" t="s">
        <v>924</v>
      </c>
      <c r="FZ3" s="10" t="s">
        <v>925</v>
      </c>
      <c r="GA3" s="10" t="s">
        <v>926</v>
      </c>
      <c r="GB3" s="10" t="s">
        <v>927</v>
      </c>
      <c r="GC3" s="10" t="s">
        <v>928</v>
      </c>
      <c r="GD3" s="10" t="s">
        <v>929</v>
      </c>
      <c r="GE3" s="10" t="s">
        <v>930</v>
      </c>
      <c r="GF3" s="10" t="s">
        <v>931</v>
      </c>
      <c r="GG3" s="10" t="s">
        <v>932</v>
      </c>
      <c r="GH3" s="10" t="s">
        <v>933</v>
      </c>
      <c r="GI3" s="10" t="s">
        <v>934</v>
      </c>
      <c r="GJ3" s="10" t="s">
        <v>935</v>
      </c>
      <c r="GK3" s="10" t="s">
        <v>936</v>
      </c>
      <c r="GL3" s="10" t="s">
        <v>937</v>
      </c>
    </row>
    <row r="4" spans="1:194" s="229" customFormat="1" ht="12.95" customHeight="1" x14ac:dyDescent="0.2">
      <c r="A4" s="491" t="s">
        <v>1469</v>
      </c>
      <c r="B4" s="211" t="s">
        <v>52</v>
      </c>
      <c r="C4" s="212" t="s">
        <v>27</v>
      </c>
      <c r="D4" s="211" t="s">
        <v>56</v>
      </c>
      <c r="E4" s="211" t="s">
        <v>54</v>
      </c>
      <c r="F4" s="212" t="s">
        <v>271</v>
      </c>
      <c r="G4" s="213" t="s">
        <v>57</v>
      </c>
      <c r="H4" s="213"/>
      <c r="I4" s="211" t="s">
        <v>1014</v>
      </c>
      <c r="J4" s="211" t="s">
        <v>276</v>
      </c>
      <c r="K4" s="211" t="s">
        <v>277</v>
      </c>
      <c r="L4" s="211" t="s">
        <v>278</v>
      </c>
      <c r="M4" s="211"/>
      <c r="N4" s="211" t="s">
        <v>275</v>
      </c>
      <c r="O4" s="214"/>
      <c r="P4" s="215"/>
      <c r="Q4" s="216"/>
      <c r="R4" s="216"/>
      <c r="S4" s="216"/>
      <c r="T4" s="216"/>
      <c r="U4" s="216"/>
      <c r="V4" s="216"/>
      <c r="W4" s="216">
        <v>127.5</v>
      </c>
      <c r="X4" s="216"/>
      <c r="Y4" s="216"/>
      <c r="Z4" s="216"/>
      <c r="AA4" s="216"/>
      <c r="AB4" s="217">
        <f t="shared" ref="AB4:AB5" si="0">SUM(P4:AA4)</f>
        <v>127.5</v>
      </c>
      <c r="AC4" s="216"/>
      <c r="AD4" s="216"/>
      <c r="AE4" s="216"/>
      <c r="AF4" s="216"/>
      <c r="AG4" s="216"/>
      <c r="AH4" s="216"/>
      <c r="AI4" s="216"/>
      <c r="AJ4" s="216"/>
      <c r="AK4" s="216"/>
      <c r="AL4" s="216"/>
      <c r="AM4" s="216"/>
      <c r="AN4" s="216"/>
      <c r="AO4" s="216">
        <f t="shared" ref="AO4:AO5" si="1">SUM(AC4:AN4)</f>
        <v>0</v>
      </c>
      <c r="AP4" s="216"/>
      <c r="AQ4" s="216"/>
      <c r="AR4" s="216"/>
      <c r="AS4" s="216"/>
      <c r="AT4" s="216"/>
      <c r="AU4" s="216"/>
      <c r="AV4" s="216"/>
      <c r="AW4" s="216"/>
      <c r="AX4" s="216">
        <v>82</v>
      </c>
      <c r="AY4" s="216"/>
      <c r="AZ4" s="216"/>
      <c r="BA4" s="216"/>
      <c r="BB4" s="216">
        <f t="shared" ref="BB4:BB5" si="2">SUM(AP4:BA4)</f>
        <v>82</v>
      </c>
      <c r="BC4" s="216"/>
      <c r="BD4" s="216"/>
      <c r="BE4" s="216"/>
      <c r="BF4" s="216"/>
      <c r="BG4" s="216"/>
      <c r="BH4" s="216"/>
      <c r="BI4" s="216"/>
      <c r="BJ4" s="216"/>
      <c r="BK4" s="216">
        <v>6.5000000000000002E-2</v>
      </c>
      <c r="BL4" s="216"/>
      <c r="BM4" s="216"/>
      <c r="BN4" s="216"/>
      <c r="BO4" s="216">
        <f t="shared" ref="BO4:BO5" si="3">SUM(BC4:BN4)</f>
        <v>6.5000000000000002E-2</v>
      </c>
      <c r="BP4" s="216"/>
      <c r="BQ4" s="216"/>
      <c r="BR4" s="216"/>
      <c r="BS4" s="216"/>
      <c r="BT4" s="216"/>
      <c r="BU4" s="216"/>
      <c r="BV4" s="216"/>
      <c r="BW4" s="216"/>
      <c r="BX4" s="216">
        <v>127.8</v>
      </c>
      <c r="BY4" s="216"/>
      <c r="BZ4" s="216"/>
      <c r="CA4" s="216"/>
      <c r="CB4" s="216">
        <f t="shared" ref="CB4:CB5" si="4">SUM(BP4:CA4)</f>
        <v>127.8</v>
      </c>
      <c r="CC4" s="275">
        <f t="shared" ref="CC4:CC67" si="5">SUM(CB4,BO4,BB4,AO4,AB4)</f>
        <v>337.36500000000001</v>
      </c>
      <c r="CD4" s="218"/>
      <c r="CE4" s="219"/>
      <c r="CF4" s="220" t="s">
        <v>71</v>
      </c>
      <c r="CG4" s="221"/>
      <c r="CH4" s="221"/>
      <c r="CI4" s="221"/>
      <c r="CJ4" s="221"/>
      <c r="CK4" s="221"/>
      <c r="CL4" s="221"/>
      <c r="CM4" s="221"/>
      <c r="CN4" s="221">
        <v>26</v>
      </c>
      <c r="CO4" s="221"/>
      <c r="CP4" s="221"/>
      <c r="CQ4" s="221"/>
      <c r="CR4" s="221"/>
      <c r="CS4" s="221">
        <f t="shared" ref="CS4:CS23" si="6">SUM(CG4:CR4)</f>
        <v>26</v>
      </c>
      <c r="CT4" s="221"/>
      <c r="CU4" s="221"/>
      <c r="CV4" s="221"/>
      <c r="CW4" s="221"/>
      <c r="CX4" s="221"/>
      <c r="CY4" s="221"/>
      <c r="CZ4" s="221"/>
      <c r="DA4" s="221"/>
      <c r="DB4" s="221"/>
      <c r="DC4" s="221"/>
      <c r="DD4" s="221"/>
      <c r="DE4" s="221"/>
      <c r="DF4" s="221">
        <f t="shared" ref="DF4:DF23" si="7">SUM(CT4:DE4)</f>
        <v>0</v>
      </c>
      <c r="DG4" s="221"/>
      <c r="DH4" s="221"/>
      <c r="DI4" s="221"/>
      <c r="DJ4" s="221"/>
      <c r="DK4" s="221"/>
      <c r="DL4" s="221"/>
      <c r="DM4" s="221"/>
      <c r="DN4" s="221"/>
      <c r="DO4" s="221"/>
      <c r="DP4" s="221"/>
      <c r="DQ4" s="221">
        <v>16</v>
      </c>
      <c r="DR4" s="221"/>
      <c r="DS4" s="221">
        <f t="shared" ref="DS4:DS23" si="8">SUM(DG4:DR4)</f>
        <v>16</v>
      </c>
      <c r="DT4" s="221"/>
      <c r="DU4" s="221"/>
      <c r="DV4" s="221"/>
      <c r="DW4" s="221"/>
      <c r="DX4" s="221"/>
      <c r="DY4" s="221"/>
      <c r="DZ4" s="221"/>
      <c r="EA4" s="221"/>
      <c r="EB4" s="221"/>
      <c r="EC4" s="221"/>
      <c r="ED4" s="221"/>
      <c r="EE4" s="221"/>
      <c r="EF4" s="221">
        <f t="shared" ref="EF4:EF23" si="9">SUM(DT4:EE4)</f>
        <v>0</v>
      </c>
      <c r="EG4" s="221"/>
      <c r="EH4" s="221"/>
      <c r="EI4" s="221"/>
      <c r="EJ4" s="221"/>
      <c r="EK4" s="221"/>
      <c r="EL4" s="221"/>
      <c r="EM4" s="221"/>
      <c r="EN4" s="221"/>
      <c r="EO4" s="221"/>
      <c r="EP4" s="221"/>
      <c r="EQ4" s="221">
        <v>26</v>
      </c>
      <c r="ER4" s="221"/>
      <c r="ES4" s="221">
        <f t="shared" ref="ES4:ES23" si="10">SUM(EG4:ER4)</f>
        <v>26</v>
      </c>
      <c r="ET4" s="222">
        <f t="shared" ref="ET4:ET23" si="11">SUM(ES4,EF4,DS4,DF4,CS4)</f>
        <v>68</v>
      </c>
      <c r="EU4" s="219"/>
      <c r="EV4" s="223"/>
      <c r="EW4" s="216"/>
      <c r="EX4" s="216"/>
      <c r="EY4" s="216"/>
      <c r="EZ4" s="216"/>
      <c r="FA4" s="216"/>
      <c r="FB4" s="216">
        <f t="shared" ref="FB4:FB5" si="12">SUM(EW4:FA4)</f>
        <v>0</v>
      </c>
      <c r="FC4" s="223"/>
      <c r="FD4" s="224"/>
      <c r="FE4" s="216"/>
      <c r="FF4" s="216"/>
      <c r="FG4" s="216"/>
      <c r="FH4" s="216"/>
      <c r="FI4" s="216"/>
      <c r="FJ4" s="216">
        <f t="shared" ref="FJ4:FJ8" si="13">SUM(FE4:FI4)</f>
        <v>0</v>
      </c>
      <c r="FK4" s="225"/>
      <c r="FL4" s="223"/>
      <c r="FM4" s="226"/>
      <c r="FN4" s="216"/>
      <c r="FO4" s="216"/>
      <c r="FP4" s="216"/>
      <c r="FQ4" s="216"/>
      <c r="FR4" s="216"/>
      <c r="FS4" s="216">
        <f t="shared" ref="FS4:FS8" si="14">SUM(FN4:FR4)</f>
        <v>0</v>
      </c>
      <c r="FT4" s="227"/>
      <c r="FU4" s="228">
        <v>0</v>
      </c>
      <c r="FV4" s="228">
        <v>0</v>
      </c>
      <c r="FW4" s="228">
        <f>IFERROR(VLOOKUP(G4,[3]CEI_032018!$A$1:$U$509,9,FALSE),0)</f>
        <v>0</v>
      </c>
      <c r="FX4" s="228">
        <f>IFERROR(VLOOKUP(G4,[3]CEI_042018!$A$1:$U$493,9,FALSE),0)</f>
        <v>0</v>
      </c>
      <c r="FY4" s="228"/>
      <c r="FZ4" s="228"/>
      <c r="GA4" s="228"/>
      <c r="GB4" s="228"/>
      <c r="GC4" s="228"/>
      <c r="GD4" s="228"/>
      <c r="GE4" s="228"/>
      <c r="GF4" s="228"/>
      <c r="GG4" s="228">
        <f t="shared" ref="GG4:GG23" si="15">SUM(FU4:GF4)</f>
        <v>0</v>
      </c>
      <c r="GH4" s="228">
        <f>IFERROR(VLOOKUP(G4,[3]CEI_042018!$A$1:$U$493,12,FALSE),0)</f>
        <v>0</v>
      </c>
      <c r="GI4" s="228">
        <f t="shared" ref="GI4:GI23" si="16">SUM(GG4:GH4)</f>
        <v>0</v>
      </c>
      <c r="GJ4" s="228">
        <f t="shared" ref="GJ4:GJ23" si="17">SUM(AB4-GI4)</f>
        <v>127.5</v>
      </c>
      <c r="GK4" s="228">
        <f>IFERROR(IF('[3]TESTE TESTE'!$Z$3=1,SUM(FU4),IF('[3]TESTE TESTE'!$Z$3=2,SUM(FU4:FV4),IF('[3]TESTE TESTE'!$Z$3=3,SUM(FU4:FW4),IF('[3]TESTE TESTE'!$Z$3=4,SUM(FU4:FX4),IF('[3]TESTE TESTE'!$Z$3=5,SUM(FU4:FY4),IF('[3]TESTE TESTE'!$Z$3=6,SUM(FU4:FZ4),IF('[3]TESTE TESTE'!$Z$3=7,SUM(FU4:GA4),IF('[3]TESTE TESTE'!$Z$3=8,SUM(FU4:GB4),IF('[3]TESTE TESTE'!$Z$3=9,SUM(FU4:GC4),IF('[3]TESTE TESTE'!$Z$3=10,SUM(FU4:GD4),IF('[3]TESTE TESTE'!$Z$3=11,SUM(FU4:GE4),IF('[3]TESTE TESTE'!$Z$3=12,SUM(FU4:GF4,))))))))))))),"")</f>
        <v>0</v>
      </c>
      <c r="GL4" s="228">
        <f>IFERROR(IF('[3]TESTE TESTE'!$Z$3=1,SUM(P4),IF('[3]TESTE TESTE'!$Z$3=2,SUM(P4:Q4),IF('[3]TESTE TESTE'!$Z$3=3,SUM(P4:R4),IF('[3]TESTE TESTE'!$Z$3=4,SUM(P4:S4),IF('[3]TESTE TESTE'!$Z$3=5,SUM(P4:T4),IF('[3]TESTE TESTE'!$Z$3=6,SUM(P4:U4),IF('[3]TESTE TESTE'!$Z$3=7,SUM(P4:V4),IF('[3]TESTE TESTE'!$Z$3=8,SUM(P4:W4),IF('[3]TESTE TESTE'!$Z$3=9,SUM(P4:X4),IF('[3]TESTE TESTE'!$Z$3=10,SUM(P4:Y4),IF('[3]TESTE TESTE'!$Z$3=11,SUM(P4:Z4),IF('[3]TESTE TESTE'!$Z$3=12,SUM(P4:AA4,))))))))))))),"")</f>
        <v>127.5</v>
      </c>
    </row>
    <row r="5" spans="1:194" s="229" customFormat="1" ht="12.95" customHeight="1" x14ac:dyDescent="0.2">
      <c r="A5" s="491"/>
      <c r="B5" s="211" t="s">
        <v>52</v>
      </c>
      <c r="C5" s="212" t="s">
        <v>27</v>
      </c>
      <c r="D5" s="211" t="s">
        <v>56</v>
      </c>
      <c r="E5" s="211" t="s">
        <v>54</v>
      </c>
      <c r="F5" s="212" t="s">
        <v>271</v>
      </c>
      <c r="G5" s="213" t="s">
        <v>57</v>
      </c>
      <c r="H5" s="213"/>
      <c r="I5" s="211" t="s">
        <v>1018</v>
      </c>
      <c r="J5" s="211" t="s">
        <v>272</v>
      </c>
      <c r="K5" s="211" t="s">
        <v>273</v>
      </c>
      <c r="L5" s="211" t="s">
        <v>274</v>
      </c>
      <c r="M5" s="211"/>
      <c r="N5" s="211" t="s">
        <v>275</v>
      </c>
      <c r="O5" s="214"/>
      <c r="P5" s="215"/>
      <c r="Q5" s="216"/>
      <c r="R5" s="216"/>
      <c r="S5" s="216"/>
      <c r="T5" s="216"/>
      <c r="U5" s="216"/>
      <c r="V5" s="216"/>
      <c r="W5" s="216">
        <v>5</v>
      </c>
      <c r="X5" s="216"/>
      <c r="Y5" s="216"/>
      <c r="Z5" s="216"/>
      <c r="AA5" s="216"/>
      <c r="AB5" s="217">
        <f t="shared" si="0"/>
        <v>5</v>
      </c>
      <c r="AC5" s="216"/>
      <c r="AD5" s="216"/>
      <c r="AE5" s="216"/>
      <c r="AF5" s="216"/>
      <c r="AG5" s="216"/>
      <c r="AH5" s="216"/>
      <c r="AI5" s="216"/>
      <c r="AJ5" s="216"/>
      <c r="AK5" s="216"/>
      <c r="AL5" s="216"/>
      <c r="AM5" s="216"/>
      <c r="AN5" s="216"/>
      <c r="AO5" s="216">
        <f t="shared" si="1"/>
        <v>0</v>
      </c>
      <c r="AP5" s="216"/>
      <c r="AQ5" s="216"/>
      <c r="AR5" s="216"/>
      <c r="AS5" s="216"/>
      <c r="AT5" s="216"/>
      <c r="AU5" s="216"/>
      <c r="AV5" s="216"/>
      <c r="AW5" s="216"/>
      <c r="AX5" s="216">
        <v>5</v>
      </c>
      <c r="AY5" s="216"/>
      <c r="AZ5" s="216"/>
      <c r="BA5" s="216"/>
      <c r="BB5" s="216">
        <f t="shared" si="2"/>
        <v>5</v>
      </c>
      <c r="BC5" s="216"/>
      <c r="BD5" s="216"/>
      <c r="BE5" s="216"/>
      <c r="BF5" s="216"/>
      <c r="BG5" s="216"/>
      <c r="BH5" s="216"/>
      <c r="BI5" s="216"/>
      <c r="BJ5" s="216"/>
      <c r="BK5" s="216">
        <v>5</v>
      </c>
      <c r="BL5" s="216"/>
      <c r="BM5" s="216"/>
      <c r="BN5" s="216"/>
      <c r="BO5" s="216">
        <f t="shared" si="3"/>
        <v>5</v>
      </c>
      <c r="BP5" s="216"/>
      <c r="BQ5" s="216"/>
      <c r="BR5" s="216"/>
      <c r="BS5" s="216"/>
      <c r="BT5" s="216"/>
      <c r="BU5" s="216"/>
      <c r="BV5" s="216"/>
      <c r="BW5" s="216"/>
      <c r="BX5" s="216">
        <v>5</v>
      </c>
      <c r="BY5" s="216"/>
      <c r="BZ5" s="216"/>
      <c r="CA5" s="216"/>
      <c r="CB5" s="216">
        <f t="shared" si="4"/>
        <v>5</v>
      </c>
      <c r="CC5" s="275">
        <f t="shared" si="5"/>
        <v>20</v>
      </c>
      <c r="CD5" s="218"/>
      <c r="CE5" s="219"/>
      <c r="CF5" s="220" t="s">
        <v>71</v>
      </c>
      <c r="CG5" s="221"/>
      <c r="CH5" s="221"/>
      <c r="CI5" s="221"/>
      <c r="CJ5" s="221"/>
      <c r="CK5" s="221"/>
      <c r="CL5" s="221"/>
      <c r="CM5" s="221"/>
      <c r="CN5" s="221">
        <v>2</v>
      </c>
      <c r="CO5" s="221"/>
      <c r="CP5" s="221"/>
      <c r="CQ5" s="221"/>
      <c r="CR5" s="221"/>
      <c r="CS5" s="221">
        <f t="shared" si="6"/>
        <v>2</v>
      </c>
      <c r="CT5" s="221"/>
      <c r="CU5" s="221"/>
      <c r="CV5" s="221"/>
      <c r="CW5" s="221"/>
      <c r="CX5" s="221"/>
      <c r="CY5" s="221"/>
      <c r="CZ5" s="221"/>
      <c r="DA5" s="221"/>
      <c r="DB5" s="221"/>
      <c r="DC5" s="221"/>
      <c r="DD5" s="221"/>
      <c r="DE5" s="221"/>
      <c r="DF5" s="221">
        <f t="shared" si="7"/>
        <v>0</v>
      </c>
      <c r="DG5" s="221"/>
      <c r="DH5" s="221"/>
      <c r="DI5" s="221"/>
      <c r="DJ5" s="221"/>
      <c r="DK5" s="221"/>
      <c r="DL5" s="221"/>
      <c r="DM5" s="221"/>
      <c r="DN5" s="221">
        <v>2</v>
      </c>
      <c r="DO5" s="221"/>
      <c r="DP5" s="221"/>
      <c r="DQ5" s="221"/>
      <c r="DR5" s="221"/>
      <c r="DS5" s="221">
        <f t="shared" si="8"/>
        <v>2</v>
      </c>
      <c r="DT5" s="221"/>
      <c r="DU5" s="221"/>
      <c r="DV5" s="221"/>
      <c r="DW5" s="221"/>
      <c r="DX5" s="221"/>
      <c r="DY5" s="221"/>
      <c r="DZ5" s="221"/>
      <c r="EA5" s="221">
        <v>2</v>
      </c>
      <c r="EB5" s="221"/>
      <c r="EC5" s="221"/>
      <c r="ED5" s="221"/>
      <c r="EE5" s="221"/>
      <c r="EF5" s="221">
        <f t="shared" si="9"/>
        <v>2</v>
      </c>
      <c r="EG5" s="221"/>
      <c r="EH5" s="221"/>
      <c r="EI5" s="221"/>
      <c r="EJ5" s="221"/>
      <c r="EK5" s="221"/>
      <c r="EL5" s="221"/>
      <c r="EM5" s="221"/>
      <c r="EN5" s="221">
        <v>2</v>
      </c>
      <c r="EO5" s="221"/>
      <c r="EP5" s="221"/>
      <c r="EQ5" s="221"/>
      <c r="ER5" s="221"/>
      <c r="ES5" s="221">
        <f t="shared" si="10"/>
        <v>2</v>
      </c>
      <c r="ET5" s="222">
        <f t="shared" si="11"/>
        <v>8</v>
      </c>
      <c r="EU5" s="219"/>
      <c r="EV5" s="223"/>
      <c r="EW5" s="216"/>
      <c r="EX5" s="216"/>
      <c r="EY5" s="216"/>
      <c r="EZ5" s="216"/>
      <c r="FA5" s="216"/>
      <c r="FB5" s="216">
        <f t="shared" si="12"/>
        <v>0</v>
      </c>
      <c r="FC5" s="223"/>
      <c r="FD5" s="224"/>
      <c r="FE5" s="216"/>
      <c r="FF5" s="216"/>
      <c r="FG5" s="216"/>
      <c r="FH5" s="216"/>
      <c r="FI5" s="216"/>
      <c r="FJ5" s="216">
        <f t="shared" si="13"/>
        <v>0</v>
      </c>
      <c r="FK5" s="225"/>
      <c r="FL5" s="223"/>
      <c r="FM5" s="226"/>
      <c r="FN5" s="216"/>
      <c r="FO5" s="216"/>
      <c r="FP5" s="216"/>
      <c r="FQ5" s="216"/>
      <c r="FR5" s="216"/>
      <c r="FS5" s="216">
        <f t="shared" si="14"/>
        <v>0</v>
      </c>
      <c r="FT5" s="227"/>
      <c r="FU5" s="228">
        <v>0</v>
      </c>
      <c r="FV5" s="228">
        <v>0</v>
      </c>
      <c r="FW5" s="228">
        <f>IFERROR(VLOOKUP(G5,[3]CEI_032018!$A$1:$U$509,9,FALSE),0)</f>
        <v>0</v>
      </c>
      <c r="FX5" s="228">
        <f>IFERROR(VLOOKUP(G5,[3]CEI_042018!$A$1:$U$493,9,FALSE),0)</f>
        <v>0</v>
      </c>
      <c r="FY5" s="228"/>
      <c r="FZ5" s="228"/>
      <c r="GA5" s="228"/>
      <c r="GB5" s="228"/>
      <c r="GC5" s="228"/>
      <c r="GD5" s="228"/>
      <c r="GE5" s="228"/>
      <c r="GF5" s="228"/>
      <c r="GG5" s="228">
        <f t="shared" si="15"/>
        <v>0</v>
      </c>
      <c r="GH5" s="228">
        <f>IFERROR(VLOOKUP(G5,[3]CEI_042018!$A$1:$U$493,12,FALSE),0)</f>
        <v>0</v>
      </c>
      <c r="GI5" s="228">
        <f t="shared" si="16"/>
        <v>0</v>
      </c>
      <c r="GJ5" s="228">
        <f t="shared" si="17"/>
        <v>5</v>
      </c>
      <c r="GK5" s="228">
        <f>IFERROR(IF('[3]TESTE TESTE'!$Z$3=1,SUM(FU5),IF('[3]TESTE TESTE'!$Z$3=2,SUM(FU5:FV5),IF('[3]TESTE TESTE'!$Z$3=3,SUM(FU5:FW5),IF('[3]TESTE TESTE'!$Z$3=4,SUM(FU5:FX5),IF('[3]TESTE TESTE'!$Z$3=5,SUM(FU5:FY5),IF('[3]TESTE TESTE'!$Z$3=6,SUM(FU5:FZ5),IF('[3]TESTE TESTE'!$Z$3=7,SUM(FU5:GA5),IF('[3]TESTE TESTE'!$Z$3=8,SUM(FU5:GB5),IF('[3]TESTE TESTE'!$Z$3=9,SUM(FU5:GC5),IF('[3]TESTE TESTE'!$Z$3=10,SUM(FU5:GD5),IF('[3]TESTE TESTE'!$Z$3=11,SUM(FU5:GE5),IF('[3]TESTE TESTE'!$Z$3=12,SUM(FU5:GF5,))))))))))))),"")</f>
        <v>0</v>
      </c>
      <c r="GL5" s="228">
        <f>IFERROR(IF('[3]TESTE TESTE'!$Z$3=1,SUM(P5),IF('[3]TESTE TESTE'!$Z$3=2,SUM(P5:Q5),IF('[3]TESTE TESTE'!$Z$3=3,SUM(P5:R5),IF('[3]TESTE TESTE'!$Z$3=4,SUM(P5:S5),IF('[3]TESTE TESTE'!$Z$3=5,SUM(P5:T5),IF('[3]TESTE TESTE'!$Z$3=6,SUM(P5:U5),IF('[3]TESTE TESTE'!$Z$3=7,SUM(P5:V5),IF('[3]TESTE TESTE'!$Z$3=8,SUM(P5:W5),IF('[3]TESTE TESTE'!$Z$3=9,SUM(P5:X5),IF('[3]TESTE TESTE'!$Z$3=10,SUM(P5:Y5),IF('[3]TESTE TESTE'!$Z$3=11,SUM(P5:Z5),IF('[3]TESTE TESTE'!$Z$3=12,SUM(P5:AA5,))))))))))))),"")</f>
        <v>5</v>
      </c>
    </row>
    <row r="6" spans="1:194" s="169" customFormat="1" ht="12.95" customHeight="1" x14ac:dyDescent="0.2">
      <c r="A6" s="492" t="s">
        <v>1472</v>
      </c>
      <c r="B6" s="194" t="s">
        <v>55</v>
      </c>
      <c r="C6" s="195" t="s">
        <v>39</v>
      </c>
      <c r="D6" s="194" t="s">
        <v>56</v>
      </c>
      <c r="E6" s="194" t="s">
        <v>54</v>
      </c>
      <c r="F6" s="195" t="s">
        <v>271</v>
      </c>
      <c r="G6" s="196" t="s">
        <v>57</v>
      </c>
      <c r="H6" s="196"/>
      <c r="I6" s="194" t="s">
        <v>1015</v>
      </c>
      <c r="J6" s="194" t="s">
        <v>276</v>
      </c>
      <c r="K6" s="194" t="s">
        <v>825</v>
      </c>
      <c r="L6" s="194" t="s">
        <v>278</v>
      </c>
      <c r="M6" s="194"/>
      <c r="N6" s="194" t="s">
        <v>275</v>
      </c>
      <c r="O6" s="197"/>
      <c r="P6" s="198"/>
      <c r="Q6" s="199"/>
      <c r="R6" s="199"/>
      <c r="S6" s="199"/>
      <c r="T6" s="199"/>
      <c r="U6" s="199"/>
      <c r="V6" s="199"/>
      <c r="W6" s="199">
        <v>50.620159999999998</v>
      </c>
      <c r="X6" s="199"/>
      <c r="Y6" s="199"/>
      <c r="Z6" s="199"/>
      <c r="AA6" s="199"/>
      <c r="AB6" s="200">
        <f t="shared" ref="AB6:AB53" si="18">SUM(P6:AA6)</f>
        <v>50.620159999999998</v>
      </c>
      <c r="AC6" s="199"/>
      <c r="AD6" s="199"/>
      <c r="AE6" s="199"/>
      <c r="AF6" s="199"/>
      <c r="AG6" s="199"/>
      <c r="AH6" s="199"/>
      <c r="AI6" s="199"/>
      <c r="AJ6" s="199"/>
      <c r="AK6" s="199"/>
      <c r="AL6" s="199"/>
      <c r="AM6" s="199"/>
      <c r="AN6" s="199">
        <v>248</v>
      </c>
      <c r="AO6" s="199">
        <f t="shared" ref="AO6:AO23" si="19">SUM(AC6:AN6)</f>
        <v>248</v>
      </c>
      <c r="AP6" s="199"/>
      <c r="AQ6" s="199"/>
      <c r="AR6" s="199"/>
      <c r="AS6" s="199"/>
      <c r="AT6" s="199"/>
      <c r="AU6" s="199"/>
      <c r="AV6" s="199"/>
      <c r="AW6" s="199"/>
      <c r="AX6" s="199"/>
      <c r="AY6" s="199"/>
      <c r="AZ6" s="199"/>
      <c r="BA6" s="199">
        <v>173</v>
      </c>
      <c r="BB6" s="199">
        <f t="shared" ref="BB6:BB45" si="20">SUM(AP6:BA6)</f>
        <v>173</v>
      </c>
      <c r="BC6" s="199"/>
      <c r="BD6" s="199"/>
      <c r="BE6" s="199"/>
      <c r="BF6" s="199"/>
      <c r="BG6" s="199"/>
      <c r="BH6" s="199"/>
      <c r="BI6" s="199"/>
      <c r="BJ6" s="199"/>
      <c r="BK6" s="199"/>
      <c r="BL6" s="199"/>
      <c r="BM6" s="199"/>
      <c r="BN6" s="199">
        <v>223</v>
      </c>
      <c r="BO6" s="199">
        <f t="shared" ref="BO6:BO45" si="21">SUM(BC6:BN6)</f>
        <v>223</v>
      </c>
      <c r="BP6" s="199"/>
      <c r="BQ6" s="199"/>
      <c r="BR6" s="199"/>
      <c r="BS6" s="199"/>
      <c r="BT6" s="199"/>
      <c r="BU6" s="199"/>
      <c r="BV6" s="199"/>
      <c r="BW6" s="199"/>
      <c r="BX6" s="199"/>
      <c r="BY6" s="199"/>
      <c r="BZ6" s="199"/>
      <c r="CA6" s="199">
        <v>223</v>
      </c>
      <c r="CB6" s="199">
        <f t="shared" ref="CB6:CB23" si="22">SUM(BP6:CA6)</f>
        <v>223</v>
      </c>
      <c r="CC6" s="276">
        <f t="shared" si="5"/>
        <v>917.62015999999994</v>
      </c>
      <c r="CD6" s="201"/>
      <c r="CE6" s="202"/>
      <c r="CF6" s="203" t="s">
        <v>71</v>
      </c>
      <c r="CG6" s="204"/>
      <c r="CH6" s="204"/>
      <c r="CI6" s="204"/>
      <c r="CJ6" s="204"/>
      <c r="CK6" s="204"/>
      <c r="CL6" s="204"/>
      <c r="CM6" s="204"/>
      <c r="CN6" s="204">
        <v>35</v>
      </c>
      <c r="CO6" s="204"/>
      <c r="CP6" s="204"/>
      <c r="CQ6" s="204"/>
      <c r="CR6" s="204"/>
      <c r="CS6" s="204">
        <f t="shared" si="6"/>
        <v>35</v>
      </c>
      <c r="CT6" s="204"/>
      <c r="CU6" s="204"/>
      <c r="CV6" s="204"/>
      <c r="CW6" s="204"/>
      <c r="CX6" s="204"/>
      <c r="CY6" s="204"/>
      <c r="CZ6" s="204"/>
      <c r="DA6" s="204">
        <v>70</v>
      </c>
      <c r="DB6" s="204"/>
      <c r="DC6" s="204"/>
      <c r="DD6" s="204"/>
      <c r="DE6" s="204"/>
      <c r="DF6" s="204">
        <f t="shared" si="7"/>
        <v>70</v>
      </c>
      <c r="DG6" s="204"/>
      <c r="DH6" s="204"/>
      <c r="DI6" s="204"/>
      <c r="DJ6" s="204"/>
      <c r="DK6" s="204"/>
      <c r="DL6" s="204"/>
      <c r="DM6" s="204"/>
      <c r="DN6" s="204">
        <v>67.5</v>
      </c>
      <c r="DO6" s="204"/>
      <c r="DP6" s="204"/>
      <c r="DQ6" s="204"/>
      <c r="DR6" s="204"/>
      <c r="DS6" s="204">
        <f t="shared" si="8"/>
        <v>67.5</v>
      </c>
      <c r="DT6" s="204"/>
      <c r="DU6" s="204"/>
      <c r="DV6" s="204"/>
      <c r="DW6" s="204"/>
      <c r="DX6" s="204"/>
      <c r="DY6" s="204"/>
      <c r="DZ6" s="204"/>
      <c r="EA6" s="204">
        <v>60</v>
      </c>
      <c r="EB6" s="204"/>
      <c r="EC6" s="204"/>
      <c r="ED6" s="204"/>
      <c r="EE6" s="204"/>
      <c r="EF6" s="204">
        <f t="shared" si="9"/>
        <v>60</v>
      </c>
      <c r="EG6" s="204"/>
      <c r="EH6" s="204"/>
      <c r="EI6" s="204"/>
      <c r="EJ6" s="204"/>
      <c r="EK6" s="204"/>
      <c r="EL6" s="204"/>
      <c r="EM6" s="204"/>
      <c r="EN6" s="204">
        <v>45</v>
      </c>
      <c r="EO6" s="204"/>
      <c r="EP6" s="204"/>
      <c r="EQ6" s="204"/>
      <c r="ER6" s="204"/>
      <c r="ES6" s="204">
        <f t="shared" si="10"/>
        <v>45</v>
      </c>
      <c r="ET6" s="205">
        <f t="shared" si="11"/>
        <v>277.5</v>
      </c>
      <c r="EU6" s="202"/>
      <c r="EV6" s="206"/>
      <c r="EW6" s="199"/>
      <c r="EX6" s="199"/>
      <c r="EY6" s="199"/>
      <c r="EZ6" s="199"/>
      <c r="FA6" s="199"/>
      <c r="FB6" s="199">
        <f t="shared" ref="FB6:FB8" si="23">SUM(EW6:FA6)</f>
        <v>0</v>
      </c>
      <c r="FC6" s="206"/>
      <c r="FD6" s="207"/>
      <c r="FE6" s="199"/>
      <c r="FF6" s="199"/>
      <c r="FG6" s="199"/>
      <c r="FH6" s="199"/>
      <c r="FI6" s="199"/>
      <c r="FJ6" s="199">
        <f t="shared" si="13"/>
        <v>0</v>
      </c>
      <c r="FK6" s="208"/>
      <c r="FL6" s="206"/>
      <c r="FM6" s="209"/>
      <c r="FN6" s="199"/>
      <c r="FO6" s="199"/>
      <c r="FP6" s="199"/>
      <c r="FQ6" s="199"/>
      <c r="FR6" s="199"/>
      <c r="FS6" s="199">
        <f t="shared" si="14"/>
        <v>0</v>
      </c>
      <c r="FT6" s="210"/>
      <c r="FU6" s="170">
        <v>0</v>
      </c>
      <c r="FV6" s="170">
        <v>0</v>
      </c>
      <c r="FW6" s="170">
        <f>IFERROR(VLOOKUP(G6,[3]CEI_032018!$A$1:$U$509,9,FALSE),0)</f>
        <v>0</v>
      </c>
      <c r="FX6" s="170">
        <f>IFERROR(VLOOKUP(G6,[3]CEI_042018!$A$1:$U$493,9,FALSE),0)</f>
        <v>0</v>
      </c>
      <c r="FY6" s="170"/>
      <c r="FZ6" s="170"/>
      <c r="GA6" s="170"/>
      <c r="GB6" s="170"/>
      <c r="GC6" s="170"/>
      <c r="GD6" s="170"/>
      <c r="GE6" s="170"/>
      <c r="GF6" s="170"/>
      <c r="GG6" s="170">
        <f t="shared" si="15"/>
        <v>0</v>
      </c>
      <c r="GH6" s="170">
        <f>IFERROR(VLOOKUP(G6,[3]CEI_042018!$A$1:$U$493,12,FALSE),0)</f>
        <v>0</v>
      </c>
      <c r="GI6" s="170">
        <f t="shared" si="16"/>
        <v>0</v>
      </c>
      <c r="GJ6" s="170">
        <f t="shared" si="17"/>
        <v>50.620159999999998</v>
      </c>
      <c r="GK6" s="170">
        <f>IFERROR(IF('[3]TESTE TESTE'!$Z$3=1,SUM(FU6),IF('[3]TESTE TESTE'!$Z$3=2,SUM(FU6:FV6),IF('[3]TESTE TESTE'!$Z$3=3,SUM(FU6:FW6),IF('[3]TESTE TESTE'!$Z$3=4,SUM(FU6:FX6),IF('[3]TESTE TESTE'!$Z$3=5,SUM(FU6:FY6),IF('[3]TESTE TESTE'!$Z$3=6,SUM(FU6:FZ6),IF('[3]TESTE TESTE'!$Z$3=7,SUM(FU6:GA6),IF('[3]TESTE TESTE'!$Z$3=8,SUM(FU6:GB6),IF('[3]TESTE TESTE'!$Z$3=9,SUM(FU6:GC6),IF('[3]TESTE TESTE'!$Z$3=10,SUM(FU6:GD6),IF('[3]TESTE TESTE'!$Z$3=11,SUM(FU6:GE6),IF('[3]TESTE TESTE'!$Z$3=12,SUM(FU6:GF6,))))))))))))),"")</f>
        <v>0</v>
      </c>
      <c r="GL6" s="170">
        <f>IFERROR(IF('[3]TESTE TESTE'!$Z$3=1,SUM(P6),IF('[3]TESTE TESTE'!$Z$3=2,SUM(P6:Q6),IF('[3]TESTE TESTE'!$Z$3=3,SUM(P6:R6),IF('[3]TESTE TESTE'!$Z$3=4,SUM(P6:S6),IF('[3]TESTE TESTE'!$Z$3=5,SUM(P6:T6),IF('[3]TESTE TESTE'!$Z$3=6,SUM(P6:U6),IF('[3]TESTE TESTE'!$Z$3=7,SUM(P6:V6),IF('[3]TESTE TESTE'!$Z$3=8,SUM(P6:W6),IF('[3]TESTE TESTE'!$Z$3=9,SUM(P6:X6),IF('[3]TESTE TESTE'!$Z$3=10,SUM(P6:Y6),IF('[3]TESTE TESTE'!$Z$3=11,SUM(P6:Z6),IF('[3]TESTE TESTE'!$Z$3=12,SUM(P6:AA6,))))))))))))),"")</f>
        <v>50.620159999999998</v>
      </c>
    </row>
    <row r="7" spans="1:194" s="169" customFormat="1" ht="12.95" customHeight="1" x14ac:dyDescent="0.2">
      <c r="A7" s="492"/>
      <c r="B7" s="194" t="s">
        <v>55</v>
      </c>
      <c r="C7" s="195" t="s">
        <v>39</v>
      </c>
      <c r="D7" s="194" t="s">
        <v>56</v>
      </c>
      <c r="E7" s="194" t="s">
        <v>54</v>
      </c>
      <c r="F7" s="195" t="s">
        <v>405</v>
      </c>
      <c r="G7" s="196" t="s">
        <v>57</v>
      </c>
      <c r="H7" s="196"/>
      <c r="I7" s="194" t="s">
        <v>1012</v>
      </c>
      <c r="J7" s="194" t="s">
        <v>410</v>
      </c>
      <c r="K7" s="194" t="s">
        <v>411</v>
      </c>
      <c r="L7" s="194" t="s">
        <v>412</v>
      </c>
      <c r="M7" s="194"/>
      <c r="N7" s="194" t="s">
        <v>407</v>
      </c>
      <c r="O7" s="197"/>
      <c r="P7" s="198"/>
      <c r="Q7" s="199"/>
      <c r="R7" s="199"/>
      <c r="S7" s="199"/>
      <c r="T7" s="199"/>
      <c r="U7" s="199"/>
      <c r="V7" s="199"/>
      <c r="W7" s="199">
        <v>50</v>
      </c>
      <c r="X7" s="199"/>
      <c r="Y7" s="199"/>
      <c r="Z7" s="199"/>
      <c r="AA7" s="199"/>
      <c r="AB7" s="200">
        <f t="shared" si="18"/>
        <v>50</v>
      </c>
      <c r="AC7" s="199"/>
      <c r="AD7" s="199"/>
      <c r="AE7" s="199"/>
      <c r="AF7" s="199"/>
      <c r="AG7" s="199"/>
      <c r="AH7" s="199"/>
      <c r="AI7" s="199"/>
      <c r="AJ7" s="199"/>
      <c r="AK7" s="199"/>
      <c r="AL7" s="199"/>
      <c r="AM7" s="199"/>
      <c r="AN7" s="199">
        <v>40</v>
      </c>
      <c r="AO7" s="199">
        <f t="shared" si="19"/>
        <v>40</v>
      </c>
      <c r="AP7" s="199"/>
      <c r="AQ7" s="199"/>
      <c r="AR7" s="199"/>
      <c r="AS7" s="199"/>
      <c r="AT7" s="199"/>
      <c r="AU7" s="199"/>
      <c r="AV7" s="199"/>
      <c r="AW7" s="199"/>
      <c r="AX7" s="199"/>
      <c r="AY7" s="199"/>
      <c r="AZ7" s="199"/>
      <c r="BA7" s="199">
        <v>30</v>
      </c>
      <c r="BB7" s="199">
        <f t="shared" si="20"/>
        <v>30</v>
      </c>
      <c r="BC7" s="199"/>
      <c r="BD7" s="199"/>
      <c r="BE7" s="199"/>
      <c r="BF7" s="199"/>
      <c r="BG7" s="199"/>
      <c r="BH7" s="199"/>
      <c r="BI7" s="199"/>
      <c r="BJ7" s="199"/>
      <c r="BK7" s="199"/>
      <c r="BL7" s="199"/>
      <c r="BM7" s="199"/>
      <c r="BN7" s="199">
        <v>20</v>
      </c>
      <c r="BO7" s="199">
        <f t="shared" si="21"/>
        <v>20</v>
      </c>
      <c r="BP7" s="199"/>
      <c r="BQ7" s="199"/>
      <c r="BR7" s="199"/>
      <c r="BS7" s="199"/>
      <c r="BT7" s="199"/>
      <c r="BU7" s="199"/>
      <c r="BV7" s="199"/>
      <c r="BW7" s="199"/>
      <c r="BX7" s="199"/>
      <c r="BY7" s="199"/>
      <c r="BZ7" s="199"/>
      <c r="CA7" s="199">
        <v>15</v>
      </c>
      <c r="CB7" s="199">
        <f t="shared" si="22"/>
        <v>15</v>
      </c>
      <c r="CC7" s="276">
        <f t="shared" si="5"/>
        <v>155</v>
      </c>
      <c r="CD7" s="201"/>
      <c r="CE7" s="202"/>
      <c r="CF7" s="203" t="s">
        <v>71</v>
      </c>
      <c r="CG7" s="204"/>
      <c r="CH7" s="204"/>
      <c r="CI7" s="204"/>
      <c r="CJ7" s="204"/>
      <c r="CK7" s="204"/>
      <c r="CL7" s="204"/>
      <c r="CM7" s="204"/>
      <c r="CN7" s="204">
        <v>8</v>
      </c>
      <c r="CO7" s="204"/>
      <c r="CP7" s="204"/>
      <c r="CQ7" s="204"/>
      <c r="CR7" s="204"/>
      <c r="CS7" s="204">
        <f t="shared" si="6"/>
        <v>8</v>
      </c>
      <c r="CT7" s="204"/>
      <c r="CU7" s="204"/>
      <c r="CV7" s="204"/>
      <c r="CW7" s="204"/>
      <c r="CX7" s="204"/>
      <c r="CY7" s="204"/>
      <c r="CZ7" s="204"/>
      <c r="DA7" s="204"/>
      <c r="DB7" s="204"/>
      <c r="DC7" s="204"/>
      <c r="DD7" s="204"/>
      <c r="DE7" s="204">
        <v>6</v>
      </c>
      <c r="DF7" s="204">
        <f t="shared" si="7"/>
        <v>6</v>
      </c>
      <c r="DG7" s="204"/>
      <c r="DH7" s="204"/>
      <c r="DI7" s="204"/>
      <c r="DJ7" s="204"/>
      <c r="DK7" s="204"/>
      <c r="DL7" s="204"/>
      <c r="DM7" s="204"/>
      <c r="DN7" s="204"/>
      <c r="DO7" s="204"/>
      <c r="DP7" s="204"/>
      <c r="DQ7" s="204"/>
      <c r="DR7" s="204">
        <v>4</v>
      </c>
      <c r="DS7" s="204">
        <f t="shared" si="8"/>
        <v>4</v>
      </c>
      <c r="DT7" s="204"/>
      <c r="DU7" s="204"/>
      <c r="DV7" s="204"/>
      <c r="DW7" s="204"/>
      <c r="DX7" s="204"/>
      <c r="DY7" s="204"/>
      <c r="DZ7" s="204"/>
      <c r="EA7" s="204"/>
      <c r="EB7" s="204"/>
      <c r="EC7" s="204"/>
      <c r="ED7" s="204"/>
      <c r="EE7" s="204">
        <v>3</v>
      </c>
      <c r="EF7" s="204">
        <f t="shared" si="9"/>
        <v>3</v>
      </c>
      <c r="EG7" s="204"/>
      <c r="EH7" s="204"/>
      <c r="EI7" s="204"/>
      <c r="EJ7" s="204"/>
      <c r="EK7" s="204"/>
      <c r="EL7" s="204"/>
      <c r="EM7" s="204"/>
      <c r="EN7" s="204"/>
      <c r="EO7" s="204"/>
      <c r="EP7" s="204"/>
      <c r="EQ7" s="204"/>
      <c r="ER7" s="204">
        <v>2</v>
      </c>
      <c r="ES7" s="204">
        <f t="shared" si="10"/>
        <v>2</v>
      </c>
      <c r="ET7" s="205">
        <f t="shared" si="11"/>
        <v>23</v>
      </c>
      <c r="EU7" s="202"/>
      <c r="EV7" s="206"/>
      <c r="EW7" s="199"/>
      <c r="EX7" s="199"/>
      <c r="EY7" s="199"/>
      <c r="EZ7" s="199"/>
      <c r="FA7" s="199"/>
      <c r="FB7" s="199">
        <f t="shared" si="23"/>
        <v>0</v>
      </c>
      <c r="FC7" s="206"/>
      <c r="FD7" s="207"/>
      <c r="FE7" s="199"/>
      <c r="FF7" s="199"/>
      <c r="FG7" s="199"/>
      <c r="FH7" s="199"/>
      <c r="FI7" s="199"/>
      <c r="FJ7" s="199">
        <f t="shared" si="13"/>
        <v>0</v>
      </c>
      <c r="FK7" s="208"/>
      <c r="FL7" s="206"/>
      <c r="FM7" s="209"/>
      <c r="FN7" s="199"/>
      <c r="FO7" s="199"/>
      <c r="FP7" s="199"/>
      <c r="FQ7" s="199"/>
      <c r="FR7" s="199"/>
      <c r="FS7" s="199">
        <f t="shared" si="14"/>
        <v>0</v>
      </c>
      <c r="FT7" s="210"/>
      <c r="FU7" s="170">
        <v>0</v>
      </c>
      <c r="FV7" s="170">
        <v>0</v>
      </c>
      <c r="FW7" s="170">
        <f>IFERROR(VLOOKUP(G7,[3]CEI_032018!$A$1:$U$509,9,FALSE),0)</f>
        <v>0</v>
      </c>
      <c r="FX7" s="170">
        <f>IFERROR(VLOOKUP(G7,[3]CEI_042018!$A$1:$U$493,9,FALSE),0)</f>
        <v>0</v>
      </c>
      <c r="FY7" s="170"/>
      <c r="FZ7" s="170"/>
      <c r="GA7" s="170"/>
      <c r="GB7" s="170"/>
      <c r="GC7" s="170"/>
      <c r="GD7" s="170"/>
      <c r="GE7" s="170"/>
      <c r="GF7" s="170"/>
      <c r="GG7" s="170">
        <f t="shared" si="15"/>
        <v>0</v>
      </c>
      <c r="GH7" s="170">
        <f>IFERROR(VLOOKUP(G7,[3]CEI_042018!$A$1:$U$493,12,FALSE),0)</f>
        <v>0</v>
      </c>
      <c r="GI7" s="170">
        <f t="shared" si="16"/>
        <v>0</v>
      </c>
      <c r="GJ7" s="170">
        <f t="shared" si="17"/>
        <v>50</v>
      </c>
      <c r="GK7" s="170">
        <f>IFERROR(IF('[3]TESTE TESTE'!$Z$3=1,SUM(FU7),IF('[3]TESTE TESTE'!$Z$3=2,SUM(FU7:FV7),IF('[3]TESTE TESTE'!$Z$3=3,SUM(FU7:FW7),IF('[3]TESTE TESTE'!$Z$3=4,SUM(FU7:FX7),IF('[3]TESTE TESTE'!$Z$3=5,SUM(FU7:FY7),IF('[3]TESTE TESTE'!$Z$3=6,SUM(FU7:FZ7),IF('[3]TESTE TESTE'!$Z$3=7,SUM(FU7:GA7),IF('[3]TESTE TESTE'!$Z$3=8,SUM(FU7:GB7),IF('[3]TESTE TESTE'!$Z$3=9,SUM(FU7:GC7),IF('[3]TESTE TESTE'!$Z$3=10,SUM(FU7:GD7),IF('[3]TESTE TESTE'!$Z$3=11,SUM(FU7:GE7),IF('[3]TESTE TESTE'!$Z$3=12,SUM(FU7:GF7,))))))))))))),"")</f>
        <v>0</v>
      </c>
      <c r="GL7" s="170">
        <f>IFERROR(IF('[3]TESTE TESTE'!$Z$3=1,SUM(P7),IF('[3]TESTE TESTE'!$Z$3=2,SUM(P7:Q7),IF('[3]TESTE TESTE'!$Z$3=3,SUM(P7:R7),IF('[3]TESTE TESTE'!$Z$3=4,SUM(P7:S7),IF('[3]TESTE TESTE'!$Z$3=5,SUM(P7:T7),IF('[3]TESTE TESTE'!$Z$3=6,SUM(P7:U7),IF('[3]TESTE TESTE'!$Z$3=7,SUM(P7:V7),IF('[3]TESTE TESTE'!$Z$3=8,SUM(P7:W7),IF('[3]TESTE TESTE'!$Z$3=9,SUM(P7:X7),IF('[3]TESTE TESTE'!$Z$3=10,SUM(P7:Y7),IF('[3]TESTE TESTE'!$Z$3=11,SUM(P7:Z7),IF('[3]TESTE TESTE'!$Z$3=12,SUM(P7:AA7,))))))))))))),"")</f>
        <v>50</v>
      </c>
    </row>
    <row r="8" spans="1:194" s="169" customFormat="1" ht="12.95" customHeight="1" x14ac:dyDescent="0.2">
      <c r="A8" s="492"/>
      <c r="B8" s="194" t="s">
        <v>55</v>
      </c>
      <c r="C8" s="195" t="s">
        <v>39</v>
      </c>
      <c r="D8" s="194" t="s">
        <v>56</v>
      </c>
      <c r="E8" s="194" t="s">
        <v>54</v>
      </c>
      <c r="F8" s="195" t="s">
        <v>405</v>
      </c>
      <c r="G8" s="196" t="s">
        <v>57</v>
      </c>
      <c r="H8" s="196"/>
      <c r="I8" s="194" t="s">
        <v>1020</v>
      </c>
      <c r="J8" s="194" t="s">
        <v>408</v>
      </c>
      <c r="K8" s="194" t="s">
        <v>406</v>
      </c>
      <c r="L8" s="194" t="s">
        <v>409</v>
      </c>
      <c r="M8" s="194"/>
      <c r="N8" s="194" t="s">
        <v>407</v>
      </c>
      <c r="O8" s="197"/>
      <c r="P8" s="198"/>
      <c r="Q8" s="199"/>
      <c r="R8" s="199"/>
      <c r="S8" s="199"/>
      <c r="T8" s="199"/>
      <c r="U8" s="199"/>
      <c r="V8" s="199"/>
      <c r="W8" s="199">
        <v>30</v>
      </c>
      <c r="X8" s="199"/>
      <c r="Y8" s="199"/>
      <c r="Z8" s="199"/>
      <c r="AA8" s="199"/>
      <c r="AB8" s="200">
        <f t="shared" si="18"/>
        <v>30</v>
      </c>
      <c r="AC8" s="199"/>
      <c r="AD8" s="199"/>
      <c r="AE8" s="199"/>
      <c r="AF8" s="199"/>
      <c r="AG8" s="199"/>
      <c r="AH8" s="199"/>
      <c r="AI8" s="199"/>
      <c r="AJ8" s="199"/>
      <c r="AK8" s="199"/>
      <c r="AL8" s="199"/>
      <c r="AM8" s="199"/>
      <c r="AN8" s="199">
        <v>10</v>
      </c>
      <c r="AO8" s="199">
        <f t="shared" si="19"/>
        <v>10</v>
      </c>
      <c r="AP8" s="199"/>
      <c r="AQ8" s="199"/>
      <c r="AR8" s="199"/>
      <c r="AS8" s="199"/>
      <c r="AT8" s="199"/>
      <c r="AU8" s="199"/>
      <c r="AV8" s="199"/>
      <c r="AW8" s="199"/>
      <c r="AX8" s="199"/>
      <c r="AY8" s="199"/>
      <c r="AZ8" s="199"/>
      <c r="BA8" s="199">
        <v>10</v>
      </c>
      <c r="BB8" s="199">
        <f t="shared" si="20"/>
        <v>10</v>
      </c>
      <c r="BC8" s="199"/>
      <c r="BD8" s="199"/>
      <c r="BE8" s="199"/>
      <c r="BF8" s="199"/>
      <c r="BG8" s="199"/>
      <c r="BH8" s="199"/>
      <c r="BI8" s="199"/>
      <c r="BJ8" s="199"/>
      <c r="BK8" s="199"/>
      <c r="BL8" s="199"/>
      <c r="BM8" s="199"/>
      <c r="BN8" s="199">
        <v>10</v>
      </c>
      <c r="BO8" s="199">
        <f t="shared" si="21"/>
        <v>10</v>
      </c>
      <c r="BP8" s="199"/>
      <c r="BQ8" s="199"/>
      <c r="BR8" s="199"/>
      <c r="BS8" s="199"/>
      <c r="BT8" s="199"/>
      <c r="BU8" s="199"/>
      <c r="BV8" s="199"/>
      <c r="BW8" s="199"/>
      <c r="BX8" s="199"/>
      <c r="BY8" s="199"/>
      <c r="BZ8" s="199"/>
      <c r="CA8" s="199"/>
      <c r="CB8" s="199">
        <f t="shared" si="22"/>
        <v>0</v>
      </c>
      <c r="CC8" s="276">
        <f t="shared" si="5"/>
        <v>60</v>
      </c>
      <c r="CD8" s="201"/>
      <c r="CE8" s="202"/>
      <c r="CF8" s="203" t="s">
        <v>71</v>
      </c>
      <c r="CG8" s="204"/>
      <c r="CH8" s="204"/>
      <c r="CI8" s="204"/>
      <c r="CJ8" s="204"/>
      <c r="CK8" s="204"/>
      <c r="CL8" s="204"/>
      <c r="CM8" s="204"/>
      <c r="CN8" s="204">
        <v>10</v>
      </c>
      <c r="CO8" s="204"/>
      <c r="CP8" s="204"/>
      <c r="CQ8" s="204"/>
      <c r="CR8" s="204"/>
      <c r="CS8" s="204">
        <f t="shared" si="6"/>
        <v>10</v>
      </c>
      <c r="CT8" s="204"/>
      <c r="CU8" s="204"/>
      <c r="CV8" s="204"/>
      <c r="CW8" s="204"/>
      <c r="CX8" s="204"/>
      <c r="CY8" s="204"/>
      <c r="CZ8" s="204"/>
      <c r="DA8" s="204"/>
      <c r="DB8" s="204"/>
      <c r="DC8" s="204"/>
      <c r="DD8" s="204"/>
      <c r="DE8" s="204">
        <v>3</v>
      </c>
      <c r="DF8" s="204">
        <f t="shared" si="7"/>
        <v>3</v>
      </c>
      <c r="DG8" s="204"/>
      <c r="DH8" s="204"/>
      <c r="DI8" s="204"/>
      <c r="DJ8" s="204"/>
      <c r="DK8" s="204"/>
      <c r="DL8" s="204"/>
      <c r="DM8" s="204"/>
      <c r="DN8" s="204"/>
      <c r="DO8" s="204"/>
      <c r="DP8" s="204"/>
      <c r="DQ8" s="204"/>
      <c r="DR8" s="204">
        <v>3</v>
      </c>
      <c r="DS8" s="204">
        <f t="shared" si="8"/>
        <v>3</v>
      </c>
      <c r="DT8" s="204"/>
      <c r="DU8" s="204"/>
      <c r="DV8" s="204"/>
      <c r="DW8" s="204"/>
      <c r="DX8" s="204"/>
      <c r="DY8" s="204"/>
      <c r="DZ8" s="204"/>
      <c r="EA8" s="204"/>
      <c r="EB8" s="204"/>
      <c r="EC8" s="204"/>
      <c r="ED8" s="204"/>
      <c r="EE8" s="204">
        <v>3</v>
      </c>
      <c r="EF8" s="204">
        <f t="shared" si="9"/>
        <v>3</v>
      </c>
      <c r="EG8" s="204"/>
      <c r="EH8" s="204"/>
      <c r="EI8" s="204"/>
      <c r="EJ8" s="204"/>
      <c r="EK8" s="204"/>
      <c r="EL8" s="204"/>
      <c r="EM8" s="204"/>
      <c r="EN8" s="204"/>
      <c r="EO8" s="204"/>
      <c r="EP8" s="204"/>
      <c r="EQ8" s="204"/>
      <c r="ER8" s="204"/>
      <c r="ES8" s="204">
        <f t="shared" si="10"/>
        <v>0</v>
      </c>
      <c r="ET8" s="205">
        <f t="shared" si="11"/>
        <v>19</v>
      </c>
      <c r="EU8" s="202"/>
      <c r="EV8" s="206"/>
      <c r="EW8" s="199"/>
      <c r="EX8" s="199"/>
      <c r="EY8" s="199"/>
      <c r="EZ8" s="199"/>
      <c r="FA8" s="199"/>
      <c r="FB8" s="199">
        <f t="shared" si="23"/>
        <v>0</v>
      </c>
      <c r="FC8" s="206"/>
      <c r="FD8" s="207"/>
      <c r="FE8" s="199"/>
      <c r="FF8" s="199"/>
      <c r="FG8" s="199"/>
      <c r="FH8" s="199"/>
      <c r="FI8" s="199"/>
      <c r="FJ8" s="199">
        <f t="shared" si="13"/>
        <v>0</v>
      </c>
      <c r="FK8" s="208"/>
      <c r="FL8" s="206"/>
      <c r="FM8" s="209"/>
      <c r="FN8" s="199"/>
      <c r="FO8" s="199"/>
      <c r="FP8" s="199"/>
      <c r="FQ8" s="199"/>
      <c r="FR8" s="199"/>
      <c r="FS8" s="199">
        <f t="shared" si="14"/>
        <v>0</v>
      </c>
      <c r="FT8" s="210"/>
      <c r="FU8" s="170">
        <v>0</v>
      </c>
      <c r="FV8" s="170">
        <v>0</v>
      </c>
      <c r="FW8" s="170">
        <f>IFERROR(VLOOKUP(G8,[3]CEI_032018!$A$1:$U$509,9,FALSE),0)</f>
        <v>0</v>
      </c>
      <c r="FX8" s="170">
        <f>IFERROR(VLOOKUP(G8,[3]CEI_042018!$A$1:$U$493,9,FALSE),0)</f>
        <v>0</v>
      </c>
      <c r="FY8" s="170"/>
      <c r="FZ8" s="170"/>
      <c r="GA8" s="170"/>
      <c r="GB8" s="170"/>
      <c r="GC8" s="170"/>
      <c r="GD8" s="170"/>
      <c r="GE8" s="170"/>
      <c r="GF8" s="170"/>
      <c r="GG8" s="170">
        <f t="shared" si="15"/>
        <v>0</v>
      </c>
      <c r="GH8" s="170">
        <f>IFERROR(VLOOKUP(G8,[3]CEI_042018!$A$1:$U$493,12,FALSE),0)</f>
        <v>0</v>
      </c>
      <c r="GI8" s="170">
        <f t="shared" si="16"/>
        <v>0</v>
      </c>
      <c r="GJ8" s="170">
        <f t="shared" si="17"/>
        <v>30</v>
      </c>
      <c r="GK8" s="170">
        <f>IFERROR(IF('[3]TESTE TESTE'!$Z$3=1,SUM(FU8),IF('[3]TESTE TESTE'!$Z$3=2,SUM(FU8:FV8),IF('[3]TESTE TESTE'!$Z$3=3,SUM(FU8:FW8),IF('[3]TESTE TESTE'!$Z$3=4,SUM(FU8:FX8),IF('[3]TESTE TESTE'!$Z$3=5,SUM(FU8:FY8),IF('[3]TESTE TESTE'!$Z$3=6,SUM(FU8:FZ8),IF('[3]TESTE TESTE'!$Z$3=7,SUM(FU8:GA8),IF('[3]TESTE TESTE'!$Z$3=8,SUM(FU8:GB8),IF('[3]TESTE TESTE'!$Z$3=9,SUM(FU8:GC8),IF('[3]TESTE TESTE'!$Z$3=10,SUM(FU8:GD8),IF('[3]TESTE TESTE'!$Z$3=11,SUM(FU8:GE8),IF('[3]TESTE TESTE'!$Z$3=12,SUM(FU8:GF8,))))))))))))),"")</f>
        <v>0</v>
      </c>
      <c r="GL8" s="170">
        <f>IFERROR(IF('[3]TESTE TESTE'!$Z$3=1,SUM(P8),IF('[3]TESTE TESTE'!$Z$3=2,SUM(P8:Q8),IF('[3]TESTE TESTE'!$Z$3=3,SUM(P8:R8),IF('[3]TESTE TESTE'!$Z$3=4,SUM(P8:S8),IF('[3]TESTE TESTE'!$Z$3=5,SUM(P8:T8),IF('[3]TESTE TESTE'!$Z$3=6,SUM(P8:U8),IF('[3]TESTE TESTE'!$Z$3=7,SUM(P8:V8),IF('[3]TESTE TESTE'!$Z$3=8,SUM(P8:W8),IF('[3]TESTE TESTE'!$Z$3=9,SUM(P8:X8),IF('[3]TESTE TESTE'!$Z$3=10,SUM(P8:Y8),IF('[3]TESTE TESTE'!$Z$3=11,SUM(P8:Z8),IF('[3]TESTE TESTE'!$Z$3=12,SUM(P8:AA8,))))))))))))),"")</f>
        <v>30</v>
      </c>
    </row>
    <row r="9" spans="1:194" s="193" customFormat="1" ht="12.95" customHeight="1" x14ac:dyDescent="0.2">
      <c r="A9" s="497" t="s">
        <v>1507</v>
      </c>
      <c r="B9" s="175" t="s">
        <v>55</v>
      </c>
      <c r="C9" s="176" t="s">
        <v>38</v>
      </c>
      <c r="D9" s="175" t="s">
        <v>59</v>
      </c>
      <c r="E9" s="175" t="s">
        <v>205</v>
      </c>
      <c r="F9" s="176" t="s">
        <v>206</v>
      </c>
      <c r="G9" s="177" t="s">
        <v>57</v>
      </c>
      <c r="H9" s="177"/>
      <c r="I9" s="175" t="s">
        <v>516</v>
      </c>
      <c r="J9" s="175" t="s">
        <v>207</v>
      </c>
      <c r="K9" s="175" t="s">
        <v>208</v>
      </c>
      <c r="L9" s="175" t="s">
        <v>209</v>
      </c>
      <c r="M9" s="175"/>
      <c r="N9" s="175" t="s">
        <v>210</v>
      </c>
      <c r="O9" s="178"/>
      <c r="P9" s="179"/>
      <c r="Q9" s="180"/>
      <c r="R9" s="180"/>
      <c r="S9" s="180"/>
      <c r="T9" s="180"/>
      <c r="U9" s="180"/>
      <c r="V9" s="180"/>
      <c r="W9" s="180">
        <v>150</v>
      </c>
      <c r="X9" s="180"/>
      <c r="Y9" s="180"/>
      <c r="Z9" s="180"/>
      <c r="AA9" s="180"/>
      <c r="AB9" s="181">
        <f t="shared" si="18"/>
        <v>150</v>
      </c>
      <c r="AC9" s="180"/>
      <c r="AD9" s="180"/>
      <c r="AE9" s="180"/>
      <c r="AF9" s="180"/>
      <c r="AG9" s="180"/>
      <c r="AH9" s="180"/>
      <c r="AI9" s="180"/>
      <c r="AJ9" s="180"/>
      <c r="AK9" s="180"/>
      <c r="AL9" s="180"/>
      <c r="AM9" s="180"/>
      <c r="AN9" s="270">
        <v>150</v>
      </c>
      <c r="AO9" s="180">
        <f t="shared" si="19"/>
        <v>150</v>
      </c>
      <c r="AP9" s="180"/>
      <c r="AQ9" s="180"/>
      <c r="AR9" s="180"/>
      <c r="AS9" s="180"/>
      <c r="AT9" s="180"/>
      <c r="AU9" s="180"/>
      <c r="AV9" s="180"/>
      <c r="AW9" s="180"/>
      <c r="AX9" s="180"/>
      <c r="AY9" s="180"/>
      <c r="AZ9" s="180"/>
      <c r="BA9" s="180"/>
      <c r="BB9" s="180">
        <f t="shared" si="20"/>
        <v>0</v>
      </c>
      <c r="BC9" s="180"/>
      <c r="BD9" s="180"/>
      <c r="BE9" s="180"/>
      <c r="BF9" s="180"/>
      <c r="BG9" s="180"/>
      <c r="BH9" s="180"/>
      <c r="BI9" s="180"/>
      <c r="BJ9" s="180"/>
      <c r="BK9" s="180"/>
      <c r="BL9" s="180"/>
      <c r="BM9" s="180"/>
      <c r="BN9" s="180"/>
      <c r="BO9" s="180">
        <f t="shared" si="21"/>
        <v>0</v>
      </c>
      <c r="BP9" s="180"/>
      <c r="BQ9" s="180"/>
      <c r="BR9" s="180"/>
      <c r="BS9" s="180"/>
      <c r="BT9" s="180"/>
      <c r="BU9" s="180"/>
      <c r="BV9" s="180"/>
      <c r="BW9" s="180"/>
      <c r="BX9" s="180"/>
      <c r="BY9" s="180"/>
      <c r="BZ9" s="180"/>
      <c r="CA9" s="180"/>
      <c r="CB9" s="180">
        <f t="shared" si="22"/>
        <v>0</v>
      </c>
      <c r="CC9" s="277">
        <f t="shared" si="5"/>
        <v>300</v>
      </c>
      <c r="CD9" s="182"/>
      <c r="CE9" s="183"/>
      <c r="CF9" s="184" t="s">
        <v>71</v>
      </c>
      <c r="CG9" s="185"/>
      <c r="CH9" s="185"/>
      <c r="CI9" s="185"/>
      <c r="CJ9" s="185"/>
      <c r="CK9" s="185"/>
      <c r="CL9" s="185"/>
      <c r="CM9" s="185"/>
      <c r="CN9" s="185">
        <v>1</v>
      </c>
      <c r="CO9" s="185"/>
      <c r="CP9" s="185"/>
      <c r="CQ9" s="185"/>
      <c r="CR9" s="185"/>
      <c r="CS9" s="185">
        <f t="shared" si="6"/>
        <v>1</v>
      </c>
      <c r="CT9" s="185"/>
      <c r="CU9" s="185"/>
      <c r="CV9" s="185"/>
      <c r="CW9" s="185"/>
      <c r="CX9" s="185"/>
      <c r="CY9" s="185"/>
      <c r="CZ9" s="185"/>
      <c r="DA9" s="185"/>
      <c r="DB9" s="185"/>
      <c r="DC9" s="185"/>
      <c r="DD9" s="185"/>
      <c r="DE9" s="185">
        <v>1</v>
      </c>
      <c r="DF9" s="185">
        <f t="shared" si="7"/>
        <v>1</v>
      </c>
      <c r="DG9" s="185"/>
      <c r="DH9" s="185"/>
      <c r="DI9" s="185"/>
      <c r="DJ9" s="185"/>
      <c r="DK9" s="185"/>
      <c r="DL9" s="185"/>
      <c r="DM9" s="185"/>
      <c r="DN9" s="185"/>
      <c r="DO9" s="185"/>
      <c r="DP9" s="185"/>
      <c r="DQ9" s="185"/>
      <c r="DR9" s="185"/>
      <c r="DS9" s="185">
        <f t="shared" si="8"/>
        <v>0</v>
      </c>
      <c r="DT9" s="185"/>
      <c r="DU9" s="185"/>
      <c r="DV9" s="185"/>
      <c r="DW9" s="185"/>
      <c r="DX9" s="185"/>
      <c r="DY9" s="185"/>
      <c r="DZ9" s="185"/>
      <c r="EA9" s="185"/>
      <c r="EB9" s="185"/>
      <c r="EC9" s="185"/>
      <c r="ED9" s="185"/>
      <c r="EE9" s="185"/>
      <c r="EF9" s="185">
        <f t="shared" si="9"/>
        <v>0</v>
      </c>
      <c r="EG9" s="185"/>
      <c r="EH9" s="185"/>
      <c r="EI9" s="185"/>
      <c r="EJ9" s="185"/>
      <c r="EK9" s="185"/>
      <c r="EL9" s="185"/>
      <c r="EM9" s="185"/>
      <c r="EN9" s="185"/>
      <c r="EO9" s="185"/>
      <c r="EP9" s="185"/>
      <c r="EQ9" s="185"/>
      <c r="ER9" s="185"/>
      <c r="ES9" s="185">
        <f t="shared" si="10"/>
        <v>0</v>
      </c>
      <c r="ET9" s="186">
        <f t="shared" si="11"/>
        <v>2</v>
      </c>
      <c r="EU9" s="183"/>
      <c r="EV9" s="187"/>
      <c r="EW9" s="180"/>
      <c r="EX9" s="180"/>
      <c r="EY9" s="180"/>
      <c r="EZ9" s="180"/>
      <c r="FA9" s="180"/>
      <c r="FB9" s="180">
        <f t="shared" ref="FB9:FB10" si="24">SUM(EW9:FA9)</f>
        <v>0</v>
      </c>
      <c r="FC9" s="187"/>
      <c r="FD9" s="188"/>
      <c r="FE9" s="180"/>
      <c r="FF9" s="180"/>
      <c r="FG9" s="180"/>
      <c r="FH9" s="180"/>
      <c r="FI9" s="180"/>
      <c r="FJ9" s="180">
        <f t="shared" ref="FJ9:FJ10" si="25">SUM(FE9:FI9)</f>
        <v>0</v>
      </c>
      <c r="FK9" s="189"/>
      <c r="FL9" s="187"/>
      <c r="FM9" s="190"/>
      <c r="FN9" s="180"/>
      <c r="FO9" s="180"/>
      <c r="FP9" s="180"/>
      <c r="FQ9" s="180"/>
      <c r="FR9" s="180"/>
      <c r="FS9" s="180">
        <f t="shared" ref="FS9:FS10" si="26">SUM(FN9:FR9)</f>
        <v>0</v>
      </c>
      <c r="FT9" s="191"/>
      <c r="FU9" s="192">
        <v>0</v>
      </c>
      <c r="FV9" s="192">
        <v>0</v>
      </c>
      <c r="FW9" s="192">
        <f>IFERROR(VLOOKUP(G9,[3]CEI_032018!$A$1:$U$509,9,FALSE),0)</f>
        <v>0</v>
      </c>
      <c r="FX9" s="192">
        <f>IFERROR(VLOOKUP(G9,[3]CEI_042018!$A$1:$U$493,9,FALSE),0)</f>
        <v>0</v>
      </c>
      <c r="FY9" s="192"/>
      <c r="FZ9" s="192"/>
      <c r="GA9" s="192"/>
      <c r="GB9" s="192"/>
      <c r="GC9" s="192"/>
      <c r="GD9" s="192"/>
      <c r="GE9" s="192"/>
      <c r="GF9" s="192"/>
      <c r="GG9" s="192">
        <f t="shared" si="15"/>
        <v>0</v>
      </c>
      <c r="GH9" s="192">
        <f>IFERROR(VLOOKUP(G9,[3]CEI_042018!$A$1:$U$493,12,FALSE),0)</f>
        <v>0</v>
      </c>
      <c r="GI9" s="192">
        <f t="shared" si="16"/>
        <v>0</v>
      </c>
      <c r="GJ9" s="192">
        <f t="shared" si="17"/>
        <v>150</v>
      </c>
      <c r="GK9" s="192">
        <f>IFERROR(IF('[3]TESTE TESTE'!$Z$3=1,SUM(FU9),IF('[3]TESTE TESTE'!$Z$3=2,SUM(FU9:FV9),IF('[3]TESTE TESTE'!$Z$3=3,SUM(FU9:FW9),IF('[3]TESTE TESTE'!$Z$3=4,SUM(FU9:FX9),IF('[3]TESTE TESTE'!$Z$3=5,SUM(FU9:FY9),IF('[3]TESTE TESTE'!$Z$3=6,SUM(FU9:FZ9),IF('[3]TESTE TESTE'!$Z$3=7,SUM(FU9:GA9),IF('[3]TESTE TESTE'!$Z$3=8,SUM(FU9:GB9),IF('[3]TESTE TESTE'!$Z$3=9,SUM(FU9:GC9),IF('[3]TESTE TESTE'!$Z$3=10,SUM(FU9:GD9),IF('[3]TESTE TESTE'!$Z$3=11,SUM(FU9:GE9),IF('[3]TESTE TESTE'!$Z$3=12,SUM(FU9:GF9,))))))))))))),"")</f>
        <v>0</v>
      </c>
      <c r="GL9" s="192">
        <f>IFERROR(IF('[3]TESTE TESTE'!$Z$3=1,SUM(P9),IF('[3]TESTE TESTE'!$Z$3=2,SUM(P9:Q9),IF('[3]TESTE TESTE'!$Z$3=3,SUM(P9:R9),IF('[3]TESTE TESTE'!$Z$3=4,SUM(P9:S9),IF('[3]TESTE TESTE'!$Z$3=5,SUM(P9:T9),IF('[3]TESTE TESTE'!$Z$3=6,SUM(P9:U9),IF('[3]TESTE TESTE'!$Z$3=7,SUM(P9:V9),IF('[3]TESTE TESTE'!$Z$3=8,SUM(P9:W9),IF('[3]TESTE TESTE'!$Z$3=9,SUM(P9:X9),IF('[3]TESTE TESTE'!$Z$3=10,SUM(P9:Y9),IF('[3]TESTE TESTE'!$Z$3=11,SUM(P9:Z9),IF('[3]TESTE TESTE'!$Z$3=12,SUM(P9:AA9,))))))))))))),"")</f>
        <v>150</v>
      </c>
    </row>
    <row r="10" spans="1:194" s="193" customFormat="1" ht="12.95" customHeight="1" x14ac:dyDescent="0.2">
      <c r="A10" s="497"/>
      <c r="B10" s="175" t="s">
        <v>55</v>
      </c>
      <c r="C10" s="176" t="s">
        <v>38</v>
      </c>
      <c r="D10" s="175" t="s">
        <v>59</v>
      </c>
      <c r="E10" s="175" t="s">
        <v>205</v>
      </c>
      <c r="F10" s="176" t="s">
        <v>253</v>
      </c>
      <c r="G10" s="177" t="s">
        <v>57</v>
      </c>
      <c r="H10" s="177"/>
      <c r="I10" s="175" t="s">
        <v>254</v>
      </c>
      <c r="J10" s="175" t="s">
        <v>255</v>
      </c>
      <c r="K10" s="175" t="s">
        <v>256</v>
      </c>
      <c r="L10" s="175" t="s">
        <v>257</v>
      </c>
      <c r="M10" s="175"/>
      <c r="N10" s="175" t="s">
        <v>258</v>
      </c>
      <c r="O10" s="178"/>
      <c r="P10" s="179"/>
      <c r="Q10" s="180"/>
      <c r="R10" s="180"/>
      <c r="S10" s="180"/>
      <c r="T10" s="180"/>
      <c r="U10" s="180"/>
      <c r="V10" s="180"/>
      <c r="W10" s="180">
        <v>60</v>
      </c>
      <c r="X10" s="180"/>
      <c r="Y10" s="180"/>
      <c r="Z10" s="180"/>
      <c r="AA10" s="180"/>
      <c r="AB10" s="181">
        <f t="shared" si="18"/>
        <v>60</v>
      </c>
      <c r="AC10" s="180"/>
      <c r="AD10" s="180"/>
      <c r="AE10" s="180"/>
      <c r="AF10" s="180"/>
      <c r="AG10" s="180"/>
      <c r="AH10" s="180"/>
      <c r="AI10" s="180"/>
      <c r="AJ10" s="180"/>
      <c r="AK10" s="180"/>
      <c r="AL10" s="180"/>
      <c r="AM10" s="180"/>
      <c r="AN10" s="270"/>
      <c r="AO10" s="180">
        <f t="shared" si="19"/>
        <v>0</v>
      </c>
      <c r="AP10" s="180"/>
      <c r="AQ10" s="180"/>
      <c r="AR10" s="180"/>
      <c r="AS10" s="180"/>
      <c r="AT10" s="180"/>
      <c r="AU10" s="180"/>
      <c r="AV10" s="180"/>
      <c r="AW10" s="180"/>
      <c r="AX10" s="180"/>
      <c r="AY10" s="180"/>
      <c r="AZ10" s="180"/>
      <c r="BA10" s="180"/>
      <c r="BB10" s="180">
        <f t="shared" si="20"/>
        <v>0</v>
      </c>
      <c r="BC10" s="180"/>
      <c r="BD10" s="180"/>
      <c r="BE10" s="180"/>
      <c r="BF10" s="180"/>
      <c r="BG10" s="180"/>
      <c r="BH10" s="180"/>
      <c r="BI10" s="180"/>
      <c r="BJ10" s="180"/>
      <c r="BK10" s="180"/>
      <c r="BL10" s="180"/>
      <c r="BM10" s="180"/>
      <c r="BN10" s="180"/>
      <c r="BO10" s="180">
        <f t="shared" si="21"/>
        <v>0</v>
      </c>
      <c r="BP10" s="180"/>
      <c r="BQ10" s="180"/>
      <c r="BR10" s="180"/>
      <c r="BS10" s="180"/>
      <c r="BT10" s="180"/>
      <c r="BU10" s="180"/>
      <c r="BV10" s="180"/>
      <c r="BW10" s="180"/>
      <c r="BX10" s="180"/>
      <c r="BY10" s="180"/>
      <c r="BZ10" s="180"/>
      <c r="CA10" s="180"/>
      <c r="CB10" s="180">
        <f t="shared" si="22"/>
        <v>0</v>
      </c>
      <c r="CC10" s="277">
        <f t="shared" si="5"/>
        <v>60</v>
      </c>
      <c r="CD10" s="182"/>
      <c r="CE10" s="183"/>
      <c r="CF10" s="184" t="s">
        <v>71</v>
      </c>
      <c r="CG10" s="185"/>
      <c r="CH10" s="185"/>
      <c r="CI10" s="185"/>
      <c r="CJ10" s="185"/>
      <c r="CK10" s="185"/>
      <c r="CL10" s="185"/>
      <c r="CM10" s="185"/>
      <c r="CN10" s="185">
        <v>1</v>
      </c>
      <c r="CO10" s="185"/>
      <c r="CP10" s="185"/>
      <c r="CQ10" s="185"/>
      <c r="CR10" s="185"/>
      <c r="CS10" s="185">
        <f t="shared" si="6"/>
        <v>1</v>
      </c>
      <c r="CT10" s="185"/>
      <c r="CU10" s="185"/>
      <c r="CV10" s="185"/>
      <c r="CW10" s="185"/>
      <c r="CX10" s="185"/>
      <c r="CY10" s="185"/>
      <c r="CZ10" s="185"/>
      <c r="DA10" s="185"/>
      <c r="DB10" s="185"/>
      <c r="DC10" s="185"/>
      <c r="DD10" s="185"/>
      <c r="DE10" s="185"/>
      <c r="DF10" s="185">
        <f t="shared" si="7"/>
        <v>0</v>
      </c>
      <c r="DG10" s="185"/>
      <c r="DH10" s="185"/>
      <c r="DI10" s="185"/>
      <c r="DJ10" s="185"/>
      <c r="DK10" s="185"/>
      <c r="DL10" s="185"/>
      <c r="DM10" s="185"/>
      <c r="DN10" s="185"/>
      <c r="DO10" s="185"/>
      <c r="DP10" s="185"/>
      <c r="DQ10" s="185"/>
      <c r="DR10" s="185"/>
      <c r="DS10" s="185">
        <f t="shared" si="8"/>
        <v>0</v>
      </c>
      <c r="DT10" s="185"/>
      <c r="DU10" s="185"/>
      <c r="DV10" s="185"/>
      <c r="DW10" s="185"/>
      <c r="DX10" s="185"/>
      <c r="DY10" s="185"/>
      <c r="DZ10" s="185"/>
      <c r="EA10" s="185"/>
      <c r="EB10" s="185"/>
      <c r="EC10" s="185"/>
      <c r="ED10" s="185"/>
      <c r="EE10" s="185"/>
      <c r="EF10" s="185">
        <f t="shared" si="9"/>
        <v>0</v>
      </c>
      <c r="EG10" s="185"/>
      <c r="EH10" s="185"/>
      <c r="EI10" s="185"/>
      <c r="EJ10" s="185"/>
      <c r="EK10" s="185"/>
      <c r="EL10" s="185"/>
      <c r="EM10" s="185"/>
      <c r="EN10" s="185"/>
      <c r="EO10" s="185"/>
      <c r="EP10" s="185"/>
      <c r="EQ10" s="185"/>
      <c r="ER10" s="185"/>
      <c r="ES10" s="185">
        <f t="shared" si="10"/>
        <v>0</v>
      </c>
      <c r="ET10" s="186">
        <f t="shared" si="11"/>
        <v>1</v>
      </c>
      <c r="EU10" s="183"/>
      <c r="EV10" s="187"/>
      <c r="EW10" s="180"/>
      <c r="EX10" s="180"/>
      <c r="EY10" s="180"/>
      <c r="EZ10" s="180"/>
      <c r="FA10" s="180"/>
      <c r="FB10" s="180">
        <f t="shared" si="24"/>
        <v>0</v>
      </c>
      <c r="FC10" s="187"/>
      <c r="FD10" s="188"/>
      <c r="FE10" s="180"/>
      <c r="FF10" s="180"/>
      <c r="FG10" s="180"/>
      <c r="FH10" s="180"/>
      <c r="FI10" s="180"/>
      <c r="FJ10" s="180">
        <f t="shared" si="25"/>
        <v>0</v>
      </c>
      <c r="FK10" s="189"/>
      <c r="FL10" s="187"/>
      <c r="FM10" s="190"/>
      <c r="FN10" s="180"/>
      <c r="FO10" s="180"/>
      <c r="FP10" s="180"/>
      <c r="FQ10" s="180"/>
      <c r="FR10" s="180"/>
      <c r="FS10" s="180">
        <f t="shared" si="26"/>
        <v>0</v>
      </c>
      <c r="FT10" s="191"/>
      <c r="FU10" s="192">
        <v>0</v>
      </c>
      <c r="FV10" s="192">
        <v>0</v>
      </c>
      <c r="FW10" s="192">
        <f>IFERROR(VLOOKUP(G10,[3]CEI_032018!$A$1:$U$509,9,FALSE),0)</f>
        <v>0</v>
      </c>
      <c r="FX10" s="192">
        <f>IFERROR(VLOOKUP(G10,[3]CEI_042018!$A$1:$U$493,9,FALSE),0)</f>
        <v>0</v>
      </c>
      <c r="FY10" s="192"/>
      <c r="FZ10" s="192"/>
      <c r="GA10" s="192"/>
      <c r="GB10" s="192"/>
      <c r="GC10" s="192"/>
      <c r="GD10" s="192"/>
      <c r="GE10" s="192"/>
      <c r="GF10" s="192"/>
      <c r="GG10" s="192">
        <f t="shared" si="15"/>
        <v>0</v>
      </c>
      <c r="GH10" s="192">
        <f>IFERROR(VLOOKUP(G10,[3]CEI_042018!$A$1:$U$493,12,FALSE),0)</f>
        <v>0</v>
      </c>
      <c r="GI10" s="192">
        <f t="shared" si="16"/>
        <v>0</v>
      </c>
      <c r="GJ10" s="192">
        <f t="shared" si="17"/>
        <v>60</v>
      </c>
      <c r="GK10" s="192">
        <f>IFERROR(IF('[3]TESTE TESTE'!$Z$3=1,SUM(FU10),IF('[3]TESTE TESTE'!$Z$3=2,SUM(FU10:FV10),IF('[3]TESTE TESTE'!$Z$3=3,SUM(FU10:FW10),IF('[3]TESTE TESTE'!$Z$3=4,SUM(FU10:FX10),IF('[3]TESTE TESTE'!$Z$3=5,SUM(FU10:FY10),IF('[3]TESTE TESTE'!$Z$3=6,SUM(FU10:FZ10),IF('[3]TESTE TESTE'!$Z$3=7,SUM(FU10:GA10),IF('[3]TESTE TESTE'!$Z$3=8,SUM(FU10:GB10),IF('[3]TESTE TESTE'!$Z$3=9,SUM(FU10:GC10),IF('[3]TESTE TESTE'!$Z$3=10,SUM(FU10:GD10),IF('[3]TESTE TESTE'!$Z$3=11,SUM(FU10:GE10),IF('[3]TESTE TESTE'!$Z$3=12,SUM(FU10:GF10,))))))))))))),"")</f>
        <v>0</v>
      </c>
      <c r="GL10" s="192">
        <f>IFERROR(IF('[3]TESTE TESTE'!$Z$3=1,SUM(P10),IF('[3]TESTE TESTE'!$Z$3=2,SUM(P10:Q10),IF('[3]TESTE TESTE'!$Z$3=3,SUM(P10:R10),IF('[3]TESTE TESTE'!$Z$3=4,SUM(P10:S10),IF('[3]TESTE TESTE'!$Z$3=5,SUM(P10:T10),IF('[3]TESTE TESTE'!$Z$3=6,SUM(P10:U10),IF('[3]TESTE TESTE'!$Z$3=7,SUM(P10:V10),IF('[3]TESTE TESTE'!$Z$3=8,SUM(P10:W10),IF('[3]TESTE TESTE'!$Z$3=9,SUM(P10:X10),IF('[3]TESTE TESTE'!$Z$3=10,SUM(P10:Y10),IF('[3]TESTE TESTE'!$Z$3=11,SUM(P10:Z10),IF('[3]TESTE TESTE'!$Z$3=12,SUM(P10:AA10,))))))))))))),"")</f>
        <v>60</v>
      </c>
    </row>
    <row r="11" spans="1:194" s="193" customFormat="1" ht="12.95" customHeight="1" x14ac:dyDescent="0.2">
      <c r="A11" s="497"/>
      <c r="B11" s="175" t="s">
        <v>55</v>
      </c>
      <c r="C11" s="176" t="s">
        <v>38</v>
      </c>
      <c r="D11" s="175" t="s">
        <v>59</v>
      </c>
      <c r="E11" s="175" t="s">
        <v>205</v>
      </c>
      <c r="F11" s="176" t="s">
        <v>206</v>
      </c>
      <c r="G11" s="177" t="s">
        <v>57</v>
      </c>
      <c r="H11" s="177"/>
      <c r="I11" s="175" t="s">
        <v>219</v>
      </c>
      <c r="J11" s="175" t="s">
        <v>217</v>
      </c>
      <c r="K11" s="175" t="s">
        <v>218</v>
      </c>
      <c r="L11" s="175" t="s">
        <v>215</v>
      </c>
      <c r="M11" s="175"/>
      <c r="N11" s="175" t="s">
        <v>210</v>
      </c>
      <c r="O11" s="178"/>
      <c r="P11" s="179"/>
      <c r="Q11" s="180"/>
      <c r="R11" s="180"/>
      <c r="S11" s="180"/>
      <c r="T11" s="180"/>
      <c r="U11" s="180"/>
      <c r="V11" s="180"/>
      <c r="W11" s="180">
        <v>8</v>
      </c>
      <c r="X11" s="180"/>
      <c r="Y11" s="180"/>
      <c r="Z11" s="180"/>
      <c r="AA11" s="180"/>
      <c r="AB11" s="181">
        <f t="shared" si="18"/>
        <v>8</v>
      </c>
      <c r="AC11" s="180"/>
      <c r="AD11" s="180"/>
      <c r="AE11" s="180"/>
      <c r="AF11" s="180"/>
      <c r="AG11" s="180"/>
      <c r="AH11" s="180"/>
      <c r="AI11" s="180"/>
      <c r="AJ11" s="180"/>
      <c r="AK11" s="180"/>
      <c r="AL11" s="180"/>
      <c r="AM11" s="180"/>
      <c r="AN11" s="270"/>
      <c r="AO11" s="180">
        <f t="shared" si="19"/>
        <v>0</v>
      </c>
      <c r="AP11" s="180"/>
      <c r="AQ11" s="180"/>
      <c r="AR11" s="180"/>
      <c r="AS11" s="180"/>
      <c r="AT11" s="180"/>
      <c r="AU11" s="180"/>
      <c r="AV11" s="180"/>
      <c r="AW11" s="180"/>
      <c r="AX11" s="180"/>
      <c r="AY11" s="180"/>
      <c r="AZ11" s="180"/>
      <c r="BA11" s="180"/>
      <c r="BB11" s="180">
        <f t="shared" si="20"/>
        <v>0</v>
      </c>
      <c r="BC11" s="180"/>
      <c r="BD11" s="180"/>
      <c r="BE11" s="180"/>
      <c r="BF11" s="180"/>
      <c r="BG11" s="180"/>
      <c r="BH11" s="180"/>
      <c r="BI11" s="180"/>
      <c r="BJ11" s="180"/>
      <c r="BK11" s="180"/>
      <c r="BL11" s="180"/>
      <c r="BM11" s="180"/>
      <c r="BN11" s="180"/>
      <c r="BO11" s="180">
        <f t="shared" si="21"/>
        <v>0</v>
      </c>
      <c r="BP11" s="180"/>
      <c r="BQ11" s="180"/>
      <c r="BR11" s="180"/>
      <c r="BS11" s="180"/>
      <c r="BT11" s="180"/>
      <c r="BU11" s="180"/>
      <c r="BV11" s="180"/>
      <c r="BW11" s="180"/>
      <c r="BX11" s="180"/>
      <c r="BY11" s="180"/>
      <c r="BZ11" s="180"/>
      <c r="CA11" s="180"/>
      <c r="CB11" s="180">
        <f t="shared" si="22"/>
        <v>0</v>
      </c>
      <c r="CC11" s="277">
        <f t="shared" si="5"/>
        <v>8</v>
      </c>
      <c r="CD11" s="182"/>
      <c r="CE11" s="183"/>
      <c r="CF11" s="184" t="s">
        <v>71</v>
      </c>
      <c r="CG11" s="185"/>
      <c r="CH11" s="185"/>
      <c r="CI11" s="185"/>
      <c r="CJ11" s="185"/>
      <c r="CK11" s="185"/>
      <c r="CL11" s="185"/>
      <c r="CM11" s="185"/>
      <c r="CN11" s="185">
        <v>1</v>
      </c>
      <c r="CO11" s="185"/>
      <c r="CP11" s="185"/>
      <c r="CQ11" s="185"/>
      <c r="CR11" s="185"/>
      <c r="CS11" s="185">
        <f t="shared" si="6"/>
        <v>1</v>
      </c>
      <c r="CT11" s="185"/>
      <c r="CU11" s="185"/>
      <c r="CV11" s="185"/>
      <c r="CW11" s="185"/>
      <c r="CX11" s="185"/>
      <c r="CY11" s="185"/>
      <c r="CZ11" s="185"/>
      <c r="DA11" s="185"/>
      <c r="DB11" s="185"/>
      <c r="DC11" s="185"/>
      <c r="DD11" s="185"/>
      <c r="DE11" s="185"/>
      <c r="DF11" s="185">
        <f t="shared" si="7"/>
        <v>0</v>
      </c>
      <c r="DG11" s="185"/>
      <c r="DH11" s="185"/>
      <c r="DI11" s="185"/>
      <c r="DJ11" s="185"/>
      <c r="DK11" s="185"/>
      <c r="DL11" s="185"/>
      <c r="DM11" s="185"/>
      <c r="DN11" s="185"/>
      <c r="DO11" s="185"/>
      <c r="DP11" s="185"/>
      <c r="DQ11" s="185"/>
      <c r="DR11" s="185"/>
      <c r="DS11" s="185">
        <f t="shared" si="8"/>
        <v>0</v>
      </c>
      <c r="DT11" s="185"/>
      <c r="DU11" s="185"/>
      <c r="DV11" s="185"/>
      <c r="DW11" s="185"/>
      <c r="DX11" s="185"/>
      <c r="DY11" s="185"/>
      <c r="DZ11" s="185"/>
      <c r="EA11" s="185"/>
      <c r="EB11" s="185"/>
      <c r="EC11" s="185"/>
      <c r="ED11" s="185"/>
      <c r="EE11" s="185"/>
      <c r="EF11" s="185">
        <f t="shared" si="9"/>
        <v>0</v>
      </c>
      <c r="EG11" s="185"/>
      <c r="EH11" s="185"/>
      <c r="EI11" s="185"/>
      <c r="EJ11" s="185"/>
      <c r="EK11" s="185"/>
      <c r="EL11" s="185"/>
      <c r="EM11" s="185"/>
      <c r="EN11" s="185"/>
      <c r="EO11" s="185"/>
      <c r="EP11" s="185"/>
      <c r="EQ11" s="185"/>
      <c r="ER11" s="185"/>
      <c r="ES11" s="185">
        <f t="shared" si="10"/>
        <v>0</v>
      </c>
      <c r="ET11" s="186">
        <f t="shared" si="11"/>
        <v>1</v>
      </c>
      <c r="EU11" s="183"/>
      <c r="EV11" s="187"/>
      <c r="EW11" s="180"/>
      <c r="EX11" s="180"/>
      <c r="EY11" s="180"/>
      <c r="EZ11" s="180"/>
      <c r="FA11" s="180"/>
      <c r="FB11" s="180">
        <f t="shared" ref="FB11:FB23" si="27">SUM(EW11:FA11)</f>
        <v>0</v>
      </c>
      <c r="FC11" s="187"/>
      <c r="FD11" s="188"/>
      <c r="FE11" s="180"/>
      <c r="FF11" s="180"/>
      <c r="FG11" s="180"/>
      <c r="FH11" s="180"/>
      <c r="FI11" s="180"/>
      <c r="FJ11" s="180">
        <f t="shared" ref="FJ11:FJ23" si="28">SUM(FE11:FI11)</f>
        <v>0</v>
      </c>
      <c r="FK11" s="189"/>
      <c r="FL11" s="187"/>
      <c r="FM11" s="190"/>
      <c r="FN11" s="180"/>
      <c r="FO11" s="180"/>
      <c r="FP11" s="180"/>
      <c r="FQ11" s="180"/>
      <c r="FR11" s="180"/>
      <c r="FS11" s="180">
        <f t="shared" ref="FS11:FS21" si="29">SUM(FN11:FR11)</f>
        <v>0</v>
      </c>
      <c r="FT11" s="191"/>
      <c r="FU11" s="192">
        <v>0</v>
      </c>
      <c r="FV11" s="192">
        <v>0</v>
      </c>
      <c r="FW11" s="192">
        <f>IFERROR(VLOOKUP(G11,[3]CEI_032018!$A$1:$U$509,9,FALSE),0)</f>
        <v>0</v>
      </c>
      <c r="FX11" s="192">
        <f>IFERROR(VLOOKUP(G11,[3]CEI_042018!$A$1:$U$493,9,FALSE),0)</f>
        <v>0</v>
      </c>
      <c r="FY11" s="192"/>
      <c r="FZ11" s="192"/>
      <c r="GA11" s="192"/>
      <c r="GB11" s="192"/>
      <c r="GC11" s="192"/>
      <c r="GD11" s="192"/>
      <c r="GE11" s="192"/>
      <c r="GF11" s="192"/>
      <c r="GG11" s="192">
        <f t="shared" si="15"/>
        <v>0</v>
      </c>
      <c r="GH11" s="192">
        <f>IFERROR(VLOOKUP(G11,[3]CEI_042018!$A$1:$U$493,12,FALSE),0)</f>
        <v>0</v>
      </c>
      <c r="GI11" s="192">
        <f t="shared" si="16"/>
        <v>0</v>
      </c>
      <c r="GJ11" s="192">
        <f t="shared" si="17"/>
        <v>8</v>
      </c>
      <c r="GK11" s="192">
        <f>IFERROR(IF('[3]TESTE TESTE'!$Z$3=1,SUM(FU11),IF('[3]TESTE TESTE'!$Z$3=2,SUM(FU11:FV11),IF('[3]TESTE TESTE'!$Z$3=3,SUM(FU11:FW11),IF('[3]TESTE TESTE'!$Z$3=4,SUM(FU11:FX11),IF('[3]TESTE TESTE'!$Z$3=5,SUM(FU11:FY11),IF('[3]TESTE TESTE'!$Z$3=6,SUM(FU11:FZ11),IF('[3]TESTE TESTE'!$Z$3=7,SUM(FU11:GA11),IF('[3]TESTE TESTE'!$Z$3=8,SUM(FU11:GB11),IF('[3]TESTE TESTE'!$Z$3=9,SUM(FU11:GC11),IF('[3]TESTE TESTE'!$Z$3=10,SUM(FU11:GD11),IF('[3]TESTE TESTE'!$Z$3=11,SUM(FU11:GE11),IF('[3]TESTE TESTE'!$Z$3=12,SUM(FU11:GF11,))))))))))))),"")</f>
        <v>0</v>
      </c>
      <c r="GL11" s="192">
        <f>IFERROR(IF('[3]TESTE TESTE'!$Z$3=1,SUM(P11),IF('[3]TESTE TESTE'!$Z$3=2,SUM(P11:Q11),IF('[3]TESTE TESTE'!$Z$3=3,SUM(P11:R11),IF('[3]TESTE TESTE'!$Z$3=4,SUM(P11:S11),IF('[3]TESTE TESTE'!$Z$3=5,SUM(P11:T11),IF('[3]TESTE TESTE'!$Z$3=6,SUM(P11:U11),IF('[3]TESTE TESTE'!$Z$3=7,SUM(P11:V11),IF('[3]TESTE TESTE'!$Z$3=8,SUM(P11:W11),IF('[3]TESTE TESTE'!$Z$3=9,SUM(P11:X11),IF('[3]TESTE TESTE'!$Z$3=10,SUM(P11:Y11),IF('[3]TESTE TESTE'!$Z$3=11,SUM(P11:Z11),IF('[3]TESTE TESTE'!$Z$3=12,SUM(P11:AA11,))))))))))))),"")</f>
        <v>8</v>
      </c>
    </row>
    <row r="12" spans="1:194" s="193" customFormat="1" ht="12.75" customHeight="1" x14ac:dyDescent="0.2">
      <c r="A12" s="497"/>
      <c r="B12" s="175" t="s">
        <v>55</v>
      </c>
      <c r="C12" s="176" t="s">
        <v>38</v>
      </c>
      <c r="D12" s="175" t="s">
        <v>59</v>
      </c>
      <c r="E12" s="175" t="s">
        <v>205</v>
      </c>
      <c r="F12" s="176" t="s">
        <v>212</v>
      </c>
      <c r="G12" s="177" t="s">
        <v>57</v>
      </c>
      <c r="H12" s="177"/>
      <c r="I12" s="175" t="s">
        <v>231</v>
      </c>
      <c r="J12" s="175" t="s">
        <v>232</v>
      </c>
      <c r="K12" s="175" t="s">
        <v>233</v>
      </c>
      <c r="L12" s="175" t="s">
        <v>215</v>
      </c>
      <c r="M12" s="175"/>
      <c r="N12" s="175" t="s">
        <v>210</v>
      </c>
      <c r="O12" s="178"/>
      <c r="P12" s="179"/>
      <c r="Q12" s="180"/>
      <c r="R12" s="180"/>
      <c r="S12" s="180"/>
      <c r="T12" s="180"/>
      <c r="U12" s="180"/>
      <c r="V12" s="180"/>
      <c r="W12" s="180">
        <v>4</v>
      </c>
      <c r="X12" s="180"/>
      <c r="Y12" s="180"/>
      <c r="Z12" s="180"/>
      <c r="AA12" s="180"/>
      <c r="AB12" s="181">
        <f t="shared" si="18"/>
        <v>4</v>
      </c>
      <c r="AC12" s="180"/>
      <c r="AD12" s="180"/>
      <c r="AE12" s="180"/>
      <c r="AF12" s="180"/>
      <c r="AG12" s="180"/>
      <c r="AH12" s="180"/>
      <c r="AI12" s="180"/>
      <c r="AJ12" s="180"/>
      <c r="AK12" s="180"/>
      <c r="AL12" s="180"/>
      <c r="AM12" s="180"/>
      <c r="AN12" s="270">
        <v>4</v>
      </c>
      <c r="AO12" s="180">
        <f t="shared" si="19"/>
        <v>4</v>
      </c>
      <c r="AP12" s="180"/>
      <c r="AQ12" s="180"/>
      <c r="AR12" s="180"/>
      <c r="AS12" s="180"/>
      <c r="AT12" s="180"/>
      <c r="AU12" s="180"/>
      <c r="AV12" s="180"/>
      <c r="AW12" s="180"/>
      <c r="AX12" s="180"/>
      <c r="AY12" s="180"/>
      <c r="AZ12" s="180"/>
      <c r="BA12" s="180"/>
      <c r="BB12" s="180">
        <f t="shared" si="20"/>
        <v>0</v>
      </c>
      <c r="BC12" s="180"/>
      <c r="BD12" s="180"/>
      <c r="BE12" s="180"/>
      <c r="BF12" s="180"/>
      <c r="BG12" s="180"/>
      <c r="BH12" s="180"/>
      <c r="BI12" s="180"/>
      <c r="BJ12" s="180"/>
      <c r="BK12" s="180"/>
      <c r="BL12" s="180"/>
      <c r="BM12" s="180"/>
      <c r="BN12" s="180"/>
      <c r="BO12" s="180">
        <f t="shared" si="21"/>
        <v>0</v>
      </c>
      <c r="BP12" s="180"/>
      <c r="BQ12" s="180"/>
      <c r="BR12" s="180"/>
      <c r="BS12" s="180"/>
      <c r="BT12" s="180"/>
      <c r="BU12" s="180"/>
      <c r="BV12" s="180"/>
      <c r="BW12" s="180"/>
      <c r="BX12" s="180"/>
      <c r="BY12" s="180"/>
      <c r="BZ12" s="180"/>
      <c r="CA12" s="180"/>
      <c r="CB12" s="180">
        <f t="shared" si="22"/>
        <v>0</v>
      </c>
      <c r="CC12" s="277">
        <f t="shared" si="5"/>
        <v>8</v>
      </c>
      <c r="CD12" s="182"/>
      <c r="CE12" s="183"/>
      <c r="CF12" s="184" t="s">
        <v>71</v>
      </c>
      <c r="CG12" s="185"/>
      <c r="CH12" s="185"/>
      <c r="CI12" s="185"/>
      <c r="CJ12" s="185"/>
      <c r="CK12" s="185"/>
      <c r="CL12" s="185"/>
      <c r="CM12" s="185"/>
      <c r="CN12" s="185">
        <v>2</v>
      </c>
      <c r="CO12" s="185"/>
      <c r="CP12" s="185"/>
      <c r="CQ12" s="185"/>
      <c r="CR12" s="185"/>
      <c r="CS12" s="185">
        <f t="shared" si="6"/>
        <v>2</v>
      </c>
      <c r="CT12" s="185"/>
      <c r="CU12" s="185"/>
      <c r="CV12" s="185"/>
      <c r="CW12" s="185"/>
      <c r="CX12" s="185"/>
      <c r="CY12" s="185"/>
      <c r="CZ12" s="185"/>
      <c r="DA12" s="185"/>
      <c r="DB12" s="185"/>
      <c r="DC12" s="185"/>
      <c r="DD12" s="185"/>
      <c r="DE12" s="185">
        <v>1</v>
      </c>
      <c r="DF12" s="185">
        <f t="shared" si="7"/>
        <v>1</v>
      </c>
      <c r="DG12" s="185"/>
      <c r="DH12" s="185"/>
      <c r="DI12" s="185"/>
      <c r="DJ12" s="185"/>
      <c r="DK12" s="185"/>
      <c r="DL12" s="185"/>
      <c r="DM12" s="185"/>
      <c r="DN12" s="185"/>
      <c r="DO12" s="185"/>
      <c r="DP12" s="185"/>
      <c r="DQ12" s="185"/>
      <c r="DR12" s="185"/>
      <c r="DS12" s="185">
        <f t="shared" si="8"/>
        <v>0</v>
      </c>
      <c r="DT12" s="185"/>
      <c r="DU12" s="185"/>
      <c r="DV12" s="185"/>
      <c r="DW12" s="185"/>
      <c r="DX12" s="185"/>
      <c r="DY12" s="185"/>
      <c r="DZ12" s="185"/>
      <c r="EA12" s="185"/>
      <c r="EB12" s="185"/>
      <c r="EC12" s="185"/>
      <c r="ED12" s="185"/>
      <c r="EE12" s="185"/>
      <c r="EF12" s="185">
        <f t="shared" si="9"/>
        <v>0</v>
      </c>
      <c r="EG12" s="185"/>
      <c r="EH12" s="185"/>
      <c r="EI12" s="185"/>
      <c r="EJ12" s="185"/>
      <c r="EK12" s="185"/>
      <c r="EL12" s="185"/>
      <c r="EM12" s="185"/>
      <c r="EN12" s="185"/>
      <c r="EO12" s="185"/>
      <c r="EP12" s="185"/>
      <c r="EQ12" s="185"/>
      <c r="ER12" s="185"/>
      <c r="ES12" s="185">
        <f t="shared" si="10"/>
        <v>0</v>
      </c>
      <c r="ET12" s="186">
        <f t="shared" si="11"/>
        <v>3</v>
      </c>
      <c r="EU12" s="183"/>
      <c r="EV12" s="187"/>
      <c r="EW12" s="180"/>
      <c r="EX12" s="180"/>
      <c r="EY12" s="180"/>
      <c r="EZ12" s="180"/>
      <c r="FA12" s="180"/>
      <c r="FB12" s="180">
        <f t="shared" si="27"/>
        <v>0</v>
      </c>
      <c r="FC12" s="187"/>
      <c r="FD12" s="188"/>
      <c r="FE12" s="180"/>
      <c r="FF12" s="180"/>
      <c r="FG12" s="180"/>
      <c r="FH12" s="180"/>
      <c r="FI12" s="180"/>
      <c r="FJ12" s="180">
        <f t="shared" si="28"/>
        <v>0</v>
      </c>
      <c r="FK12" s="189"/>
      <c r="FL12" s="187"/>
      <c r="FM12" s="190"/>
      <c r="FN12" s="180"/>
      <c r="FO12" s="180"/>
      <c r="FP12" s="180"/>
      <c r="FQ12" s="180"/>
      <c r="FR12" s="180"/>
      <c r="FS12" s="180">
        <f t="shared" si="29"/>
        <v>0</v>
      </c>
      <c r="FT12" s="191"/>
      <c r="FU12" s="192">
        <v>0</v>
      </c>
      <c r="FV12" s="192">
        <v>0</v>
      </c>
      <c r="FW12" s="192">
        <f>IFERROR(VLOOKUP(G12,[3]CEI_032018!$A$1:$U$509,9,FALSE),0)</f>
        <v>0</v>
      </c>
      <c r="FX12" s="192">
        <f>IFERROR(VLOOKUP(G12,[3]CEI_042018!$A$1:$U$493,9,FALSE),0)</f>
        <v>0</v>
      </c>
      <c r="FY12" s="192"/>
      <c r="FZ12" s="192"/>
      <c r="GA12" s="192"/>
      <c r="GB12" s="192"/>
      <c r="GC12" s="192"/>
      <c r="GD12" s="192"/>
      <c r="GE12" s="192"/>
      <c r="GF12" s="192"/>
      <c r="GG12" s="192">
        <f t="shared" si="15"/>
        <v>0</v>
      </c>
      <c r="GH12" s="192">
        <f>IFERROR(VLOOKUP(G12,[3]CEI_042018!$A$1:$U$493,12,FALSE),0)</f>
        <v>0</v>
      </c>
      <c r="GI12" s="192">
        <f t="shared" si="16"/>
        <v>0</v>
      </c>
      <c r="GJ12" s="192">
        <f t="shared" si="17"/>
        <v>4</v>
      </c>
      <c r="GK12" s="192">
        <f>IFERROR(IF('[3]TESTE TESTE'!$Z$3=1,SUM(FU12),IF('[3]TESTE TESTE'!$Z$3=2,SUM(FU12:FV12),IF('[3]TESTE TESTE'!$Z$3=3,SUM(FU12:FW12),IF('[3]TESTE TESTE'!$Z$3=4,SUM(FU12:FX12),IF('[3]TESTE TESTE'!$Z$3=5,SUM(FU12:FY12),IF('[3]TESTE TESTE'!$Z$3=6,SUM(FU12:FZ12),IF('[3]TESTE TESTE'!$Z$3=7,SUM(FU12:GA12),IF('[3]TESTE TESTE'!$Z$3=8,SUM(FU12:GB12),IF('[3]TESTE TESTE'!$Z$3=9,SUM(FU12:GC12),IF('[3]TESTE TESTE'!$Z$3=10,SUM(FU12:GD12),IF('[3]TESTE TESTE'!$Z$3=11,SUM(FU12:GE12),IF('[3]TESTE TESTE'!$Z$3=12,SUM(FU12:GF12,))))))))))))),"")</f>
        <v>0</v>
      </c>
      <c r="GL12" s="192">
        <f>IFERROR(IF('[3]TESTE TESTE'!$Z$3=1,SUM(P12),IF('[3]TESTE TESTE'!$Z$3=2,SUM(P12:Q12),IF('[3]TESTE TESTE'!$Z$3=3,SUM(P12:R12),IF('[3]TESTE TESTE'!$Z$3=4,SUM(P12:S12),IF('[3]TESTE TESTE'!$Z$3=5,SUM(P12:T12),IF('[3]TESTE TESTE'!$Z$3=6,SUM(P12:U12),IF('[3]TESTE TESTE'!$Z$3=7,SUM(P12:V12),IF('[3]TESTE TESTE'!$Z$3=8,SUM(P12:W12),IF('[3]TESTE TESTE'!$Z$3=9,SUM(P12:X12),IF('[3]TESTE TESTE'!$Z$3=10,SUM(P12:Y12),IF('[3]TESTE TESTE'!$Z$3=11,SUM(P12:Z12),IF('[3]TESTE TESTE'!$Z$3=12,SUM(P12:AA12,))))))))))))),"")</f>
        <v>4</v>
      </c>
    </row>
    <row r="13" spans="1:194" s="193" customFormat="1" ht="12.95" customHeight="1" x14ac:dyDescent="0.2">
      <c r="A13" s="497"/>
      <c r="B13" s="175" t="s">
        <v>55</v>
      </c>
      <c r="C13" s="176" t="s">
        <v>38</v>
      </c>
      <c r="D13" s="175" t="s">
        <v>59</v>
      </c>
      <c r="E13" s="175" t="s">
        <v>205</v>
      </c>
      <c r="F13" s="176" t="s">
        <v>212</v>
      </c>
      <c r="G13" s="177" t="s">
        <v>57</v>
      </c>
      <c r="H13" s="177"/>
      <c r="I13" s="175" t="s">
        <v>236</v>
      </c>
      <c r="J13" s="175" t="s">
        <v>214</v>
      </c>
      <c r="K13" s="175" t="s">
        <v>234</v>
      </c>
      <c r="L13" s="175" t="s">
        <v>215</v>
      </c>
      <c r="M13" s="175"/>
      <c r="N13" s="175" t="s">
        <v>210</v>
      </c>
      <c r="O13" s="178"/>
      <c r="P13" s="179"/>
      <c r="Q13" s="180"/>
      <c r="R13" s="180"/>
      <c r="S13" s="180"/>
      <c r="T13" s="180"/>
      <c r="U13" s="180"/>
      <c r="V13" s="180"/>
      <c r="W13" s="180">
        <v>3</v>
      </c>
      <c r="X13" s="180"/>
      <c r="Y13" s="180"/>
      <c r="Z13" s="180"/>
      <c r="AA13" s="180"/>
      <c r="AB13" s="181">
        <f t="shared" si="18"/>
        <v>3</v>
      </c>
      <c r="AC13" s="180"/>
      <c r="AD13" s="180"/>
      <c r="AE13" s="180"/>
      <c r="AF13" s="180"/>
      <c r="AG13" s="180"/>
      <c r="AH13" s="180"/>
      <c r="AI13" s="180"/>
      <c r="AJ13" s="180"/>
      <c r="AK13" s="180"/>
      <c r="AL13" s="180"/>
      <c r="AM13" s="180"/>
      <c r="AN13" s="270">
        <v>3</v>
      </c>
      <c r="AO13" s="180">
        <f t="shared" si="19"/>
        <v>3</v>
      </c>
      <c r="AP13" s="180"/>
      <c r="AQ13" s="180"/>
      <c r="AR13" s="180"/>
      <c r="AS13" s="180"/>
      <c r="AT13" s="180"/>
      <c r="AU13" s="180"/>
      <c r="AV13" s="180"/>
      <c r="AW13" s="180"/>
      <c r="AX13" s="180"/>
      <c r="AY13" s="180"/>
      <c r="AZ13" s="180"/>
      <c r="BA13" s="180"/>
      <c r="BB13" s="180">
        <f t="shared" si="20"/>
        <v>0</v>
      </c>
      <c r="BC13" s="180"/>
      <c r="BD13" s="180"/>
      <c r="BE13" s="180"/>
      <c r="BF13" s="180"/>
      <c r="BG13" s="180"/>
      <c r="BH13" s="180"/>
      <c r="BI13" s="180"/>
      <c r="BJ13" s="180"/>
      <c r="BK13" s="180"/>
      <c r="BL13" s="180"/>
      <c r="BM13" s="180"/>
      <c r="BN13" s="180"/>
      <c r="BO13" s="180">
        <f t="shared" si="21"/>
        <v>0</v>
      </c>
      <c r="BP13" s="180"/>
      <c r="BQ13" s="180"/>
      <c r="BR13" s="180"/>
      <c r="BS13" s="180"/>
      <c r="BT13" s="180"/>
      <c r="BU13" s="180"/>
      <c r="BV13" s="180"/>
      <c r="BW13" s="180"/>
      <c r="BX13" s="180"/>
      <c r="BY13" s="180"/>
      <c r="BZ13" s="180"/>
      <c r="CA13" s="180"/>
      <c r="CB13" s="180">
        <f t="shared" si="22"/>
        <v>0</v>
      </c>
      <c r="CC13" s="277">
        <f t="shared" si="5"/>
        <v>6</v>
      </c>
      <c r="CD13" s="182"/>
      <c r="CE13" s="183"/>
      <c r="CF13" s="184" t="s">
        <v>71</v>
      </c>
      <c r="CG13" s="185"/>
      <c r="CH13" s="185"/>
      <c r="CI13" s="185"/>
      <c r="CJ13" s="185"/>
      <c r="CK13" s="185"/>
      <c r="CL13" s="185"/>
      <c r="CM13" s="185"/>
      <c r="CN13" s="185">
        <v>2</v>
      </c>
      <c r="CO13" s="185"/>
      <c r="CP13" s="185"/>
      <c r="CQ13" s="185"/>
      <c r="CR13" s="185"/>
      <c r="CS13" s="185">
        <f t="shared" si="6"/>
        <v>2</v>
      </c>
      <c r="CT13" s="185"/>
      <c r="CU13" s="185"/>
      <c r="CV13" s="185"/>
      <c r="CW13" s="185"/>
      <c r="CX13" s="185"/>
      <c r="CY13" s="185"/>
      <c r="CZ13" s="185"/>
      <c r="DA13" s="185"/>
      <c r="DB13" s="185"/>
      <c r="DC13" s="185"/>
      <c r="DD13" s="185"/>
      <c r="DE13" s="185">
        <v>1</v>
      </c>
      <c r="DF13" s="185">
        <f t="shared" si="7"/>
        <v>1</v>
      </c>
      <c r="DG13" s="185"/>
      <c r="DH13" s="185"/>
      <c r="DI13" s="185"/>
      <c r="DJ13" s="185"/>
      <c r="DK13" s="185"/>
      <c r="DL13" s="185"/>
      <c r="DM13" s="185"/>
      <c r="DN13" s="185"/>
      <c r="DO13" s="185"/>
      <c r="DP13" s="185"/>
      <c r="DQ13" s="185"/>
      <c r="DR13" s="185"/>
      <c r="DS13" s="185">
        <f t="shared" si="8"/>
        <v>0</v>
      </c>
      <c r="DT13" s="185"/>
      <c r="DU13" s="185"/>
      <c r="DV13" s="185"/>
      <c r="DW13" s="185"/>
      <c r="DX13" s="185"/>
      <c r="DY13" s="185"/>
      <c r="DZ13" s="185"/>
      <c r="EA13" s="185"/>
      <c r="EB13" s="185"/>
      <c r="EC13" s="185"/>
      <c r="ED13" s="185"/>
      <c r="EE13" s="185"/>
      <c r="EF13" s="185">
        <f t="shared" si="9"/>
        <v>0</v>
      </c>
      <c r="EG13" s="185"/>
      <c r="EH13" s="185"/>
      <c r="EI13" s="185"/>
      <c r="EJ13" s="185"/>
      <c r="EK13" s="185"/>
      <c r="EL13" s="185"/>
      <c r="EM13" s="185"/>
      <c r="EN13" s="185"/>
      <c r="EO13" s="185"/>
      <c r="EP13" s="185"/>
      <c r="EQ13" s="185"/>
      <c r="ER13" s="185"/>
      <c r="ES13" s="185">
        <f t="shared" si="10"/>
        <v>0</v>
      </c>
      <c r="ET13" s="186">
        <f t="shared" si="11"/>
        <v>3</v>
      </c>
      <c r="EU13" s="183"/>
      <c r="EV13" s="187"/>
      <c r="EW13" s="180"/>
      <c r="EX13" s="180"/>
      <c r="EY13" s="180"/>
      <c r="EZ13" s="180"/>
      <c r="FA13" s="180"/>
      <c r="FB13" s="180">
        <f t="shared" si="27"/>
        <v>0</v>
      </c>
      <c r="FC13" s="187"/>
      <c r="FD13" s="188"/>
      <c r="FE13" s="180"/>
      <c r="FF13" s="180"/>
      <c r="FG13" s="180"/>
      <c r="FH13" s="180"/>
      <c r="FI13" s="180"/>
      <c r="FJ13" s="180">
        <f t="shared" si="28"/>
        <v>0</v>
      </c>
      <c r="FK13" s="189"/>
      <c r="FL13" s="187"/>
      <c r="FM13" s="190"/>
      <c r="FN13" s="180"/>
      <c r="FO13" s="180"/>
      <c r="FP13" s="180"/>
      <c r="FQ13" s="180"/>
      <c r="FR13" s="180"/>
      <c r="FS13" s="180">
        <f t="shared" si="29"/>
        <v>0</v>
      </c>
      <c r="FT13" s="191"/>
      <c r="FU13" s="192">
        <v>0</v>
      </c>
      <c r="FV13" s="192">
        <v>0</v>
      </c>
      <c r="FW13" s="192">
        <f>IFERROR(VLOOKUP(G13,[3]CEI_032018!$A$1:$U$509,9,FALSE),0)</f>
        <v>0</v>
      </c>
      <c r="FX13" s="192">
        <f>IFERROR(VLOOKUP(G13,[3]CEI_042018!$A$1:$U$493,9,FALSE),0)</f>
        <v>0</v>
      </c>
      <c r="FY13" s="192"/>
      <c r="FZ13" s="192"/>
      <c r="GA13" s="192"/>
      <c r="GB13" s="192"/>
      <c r="GC13" s="192"/>
      <c r="GD13" s="192"/>
      <c r="GE13" s="192"/>
      <c r="GF13" s="192"/>
      <c r="GG13" s="192">
        <f t="shared" si="15"/>
        <v>0</v>
      </c>
      <c r="GH13" s="192">
        <f>IFERROR(VLOOKUP(G13,[3]CEI_042018!$A$1:$U$493,12,FALSE),0)</f>
        <v>0</v>
      </c>
      <c r="GI13" s="192">
        <f t="shared" si="16"/>
        <v>0</v>
      </c>
      <c r="GJ13" s="192">
        <f t="shared" si="17"/>
        <v>3</v>
      </c>
      <c r="GK13" s="192">
        <f>IFERROR(IF('[3]TESTE TESTE'!$Z$3=1,SUM(FU13),IF('[3]TESTE TESTE'!$Z$3=2,SUM(FU13:FV13),IF('[3]TESTE TESTE'!$Z$3=3,SUM(FU13:FW13),IF('[3]TESTE TESTE'!$Z$3=4,SUM(FU13:FX13),IF('[3]TESTE TESTE'!$Z$3=5,SUM(FU13:FY13),IF('[3]TESTE TESTE'!$Z$3=6,SUM(FU13:FZ13),IF('[3]TESTE TESTE'!$Z$3=7,SUM(FU13:GA13),IF('[3]TESTE TESTE'!$Z$3=8,SUM(FU13:GB13),IF('[3]TESTE TESTE'!$Z$3=9,SUM(FU13:GC13),IF('[3]TESTE TESTE'!$Z$3=10,SUM(FU13:GD13),IF('[3]TESTE TESTE'!$Z$3=11,SUM(FU13:GE13),IF('[3]TESTE TESTE'!$Z$3=12,SUM(FU13:GF13,))))))))))))),"")</f>
        <v>0</v>
      </c>
      <c r="GL13" s="192">
        <f>IFERROR(IF('[3]TESTE TESTE'!$Z$3=1,SUM(P13),IF('[3]TESTE TESTE'!$Z$3=2,SUM(P13:Q13),IF('[3]TESTE TESTE'!$Z$3=3,SUM(P13:R13),IF('[3]TESTE TESTE'!$Z$3=4,SUM(P13:S13),IF('[3]TESTE TESTE'!$Z$3=5,SUM(P13:T13),IF('[3]TESTE TESTE'!$Z$3=6,SUM(P13:U13),IF('[3]TESTE TESTE'!$Z$3=7,SUM(P13:V13),IF('[3]TESTE TESTE'!$Z$3=8,SUM(P13:W13),IF('[3]TESTE TESTE'!$Z$3=9,SUM(P13:X13),IF('[3]TESTE TESTE'!$Z$3=10,SUM(P13:Y13),IF('[3]TESTE TESTE'!$Z$3=11,SUM(P13:Z13),IF('[3]TESTE TESTE'!$Z$3=12,SUM(P13:AA13,))))))))))))),"")</f>
        <v>3</v>
      </c>
    </row>
    <row r="14" spans="1:194" s="193" customFormat="1" ht="12.95" customHeight="1" x14ac:dyDescent="0.2">
      <c r="A14" s="497"/>
      <c r="B14" s="175" t="s">
        <v>55</v>
      </c>
      <c r="C14" s="176" t="s">
        <v>38</v>
      </c>
      <c r="D14" s="175" t="s">
        <v>59</v>
      </c>
      <c r="E14" s="175" t="s">
        <v>205</v>
      </c>
      <c r="F14" s="176" t="s">
        <v>250</v>
      </c>
      <c r="G14" s="177" t="s">
        <v>57</v>
      </c>
      <c r="H14" s="177"/>
      <c r="I14" s="175" t="s">
        <v>515</v>
      </c>
      <c r="J14" s="175" t="s">
        <v>251</v>
      </c>
      <c r="K14" s="175" t="s">
        <v>252</v>
      </c>
      <c r="L14" s="175" t="s">
        <v>215</v>
      </c>
      <c r="M14" s="175"/>
      <c r="N14" s="175" t="s">
        <v>245</v>
      </c>
      <c r="O14" s="178"/>
      <c r="P14" s="179"/>
      <c r="Q14" s="180"/>
      <c r="R14" s="180"/>
      <c r="S14" s="180"/>
      <c r="T14" s="180"/>
      <c r="U14" s="180"/>
      <c r="V14" s="180"/>
      <c r="W14" s="180"/>
      <c r="X14" s="180">
        <v>2</v>
      </c>
      <c r="Y14" s="180"/>
      <c r="Z14" s="180"/>
      <c r="AA14" s="180"/>
      <c r="AB14" s="181">
        <f t="shared" si="18"/>
        <v>2</v>
      </c>
      <c r="AC14" s="180"/>
      <c r="AD14" s="180"/>
      <c r="AE14" s="180"/>
      <c r="AF14" s="180"/>
      <c r="AG14" s="180"/>
      <c r="AH14" s="180"/>
      <c r="AI14" s="180"/>
      <c r="AJ14" s="180"/>
      <c r="AK14" s="180"/>
      <c r="AL14" s="180"/>
      <c r="AM14" s="180"/>
      <c r="AN14" s="270">
        <v>2</v>
      </c>
      <c r="AO14" s="180">
        <f t="shared" si="19"/>
        <v>2</v>
      </c>
      <c r="AP14" s="180"/>
      <c r="AQ14" s="180"/>
      <c r="AR14" s="180"/>
      <c r="AS14" s="180"/>
      <c r="AT14" s="180"/>
      <c r="AU14" s="180"/>
      <c r="AV14" s="180"/>
      <c r="AW14" s="180"/>
      <c r="AX14" s="180"/>
      <c r="AY14" s="180"/>
      <c r="AZ14" s="180"/>
      <c r="BA14" s="180"/>
      <c r="BB14" s="180">
        <f t="shared" si="20"/>
        <v>0</v>
      </c>
      <c r="BC14" s="180"/>
      <c r="BD14" s="180"/>
      <c r="BE14" s="180"/>
      <c r="BF14" s="180"/>
      <c r="BG14" s="180"/>
      <c r="BH14" s="180"/>
      <c r="BI14" s="180"/>
      <c r="BJ14" s="180"/>
      <c r="BK14" s="180"/>
      <c r="BL14" s="180"/>
      <c r="BM14" s="180"/>
      <c r="BN14" s="180"/>
      <c r="BO14" s="180">
        <f t="shared" si="21"/>
        <v>0</v>
      </c>
      <c r="BP14" s="180"/>
      <c r="BQ14" s="180"/>
      <c r="BR14" s="180"/>
      <c r="BS14" s="180"/>
      <c r="BT14" s="180"/>
      <c r="BU14" s="180"/>
      <c r="BV14" s="180"/>
      <c r="BW14" s="180"/>
      <c r="BX14" s="180"/>
      <c r="BY14" s="180"/>
      <c r="BZ14" s="180"/>
      <c r="CA14" s="180"/>
      <c r="CB14" s="180">
        <f t="shared" si="22"/>
        <v>0</v>
      </c>
      <c r="CC14" s="277">
        <f t="shared" si="5"/>
        <v>4</v>
      </c>
      <c r="CD14" s="182"/>
      <c r="CE14" s="183"/>
      <c r="CF14" s="184" t="s">
        <v>71</v>
      </c>
      <c r="CG14" s="185"/>
      <c r="CH14" s="185"/>
      <c r="CI14" s="185"/>
      <c r="CJ14" s="185"/>
      <c r="CK14" s="185"/>
      <c r="CL14" s="185"/>
      <c r="CM14" s="185"/>
      <c r="CN14" s="185"/>
      <c r="CO14" s="185">
        <v>2</v>
      </c>
      <c r="CP14" s="185"/>
      <c r="CQ14" s="185"/>
      <c r="CR14" s="185"/>
      <c r="CS14" s="185">
        <f t="shared" si="6"/>
        <v>2</v>
      </c>
      <c r="CT14" s="185"/>
      <c r="CU14" s="185"/>
      <c r="CV14" s="185"/>
      <c r="CW14" s="185"/>
      <c r="CX14" s="185"/>
      <c r="CY14" s="185"/>
      <c r="CZ14" s="185"/>
      <c r="DA14" s="185"/>
      <c r="DB14" s="185"/>
      <c r="DC14" s="185"/>
      <c r="DD14" s="185"/>
      <c r="DE14" s="185">
        <v>1</v>
      </c>
      <c r="DF14" s="185">
        <f t="shared" si="7"/>
        <v>1</v>
      </c>
      <c r="DG14" s="185"/>
      <c r="DH14" s="185"/>
      <c r="DI14" s="185"/>
      <c r="DJ14" s="185"/>
      <c r="DK14" s="185"/>
      <c r="DL14" s="185"/>
      <c r="DM14" s="185"/>
      <c r="DN14" s="185"/>
      <c r="DO14" s="185"/>
      <c r="DP14" s="185"/>
      <c r="DQ14" s="185"/>
      <c r="DR14" s="185"/>
      <c r="DS14" s="185">
        <f t="shared" si="8"/>
        <v>0</v>
      </c>
      <c r="DT14" s="185"/>
      <c r="DU14" s="185"/>
      <c r="DV14" s="185"/>
      <c r="DW14" s="185"/>
      <c r="DX14" s="185"/>
      <c r="DY14" s="185"/>
      <c r="DZ14" s="185"/>
      <c r="EA14" s="185"/>
      <c r="EB14" s="185"/>
      <c r="EC14" s="185"/>
      <c r="ED14" s="185"/>
      <c r="EE14" s="185"/>
      <c r="EF14" s="185">
        <f t="shared" si="9"/>
        <v>0</v>
      </c>
      <c r="EG14" s="185"/>
      <c r="EH14" s="185"/>
      <c r="EI14" s="185"/>
      <c r="EJ14" s="185"/>
      <c r="EK14" s="185"/>
      <c r="EL14" s="185"/>
      <c r="EM14" s="185"/>
      <c r="EN14" s="185"/>
      <c r="EO14" s="185"/>
      <c r="EP14" s="185"/>
      <c r="EQ14" s="185"/>
      <c r="ER14" s="185"/>
      <c r="ES14" s="185">
        <f t="shared" si="10"/>
        <v>0</v>
      </c>
      <c r="ET14" s="186">
        <f t="shared" si="11"/>
        <v>3</v>
      </c>
      <c r="EU14" s="183"/>
      <c r="EV14" s="187"/>
      <c r="EW14" s="180"/>
      <c r="EX14" s="180"/>
      <c r="EY14" s="180"/>
      <c r="EZ14" s="180"/>
      <c r="FA14" s="180"/>
      <c r="FB14" s="180">
        <f t="shared" si="27"/>
        <v>0</v>
      </c>
      <c r="FC14" s="187"/>
      <c r="FD14" s="188"/>
      <c r="FE14" s="180"/>
      <c r="FF14" s="180"/>
      <c r="FG14" s="180"/>
      <c r="FH14" s="180"/>
      <c r="FI14" s="180"/>
      <c r="FJ14" s="180">
        <f t="shared" si="28"/>
        <v>0</v>
      </c>
      <c r="FK14" s="189"/>
      <c r="FL14" s="187"/>
      <c r="FM14" s="190"/>
      <c r="FN14" s="180"/>
      <c r="FO14" s="180"/>
      <c r="FP14" s="180"/>
      <c r="FQ14" s="180"/>
      <c r="FR14" s="180"/>
      <c r="FS14" s="180">
        <f t="shared" si="29"/>
        <v>0</v>
      </c>
      <c r="FT14" s="191"/>
      <c r="FU14" s="192">
        <v>0</v>
      </c>
      <c r="FV14" s="192">
        <v>0</v>
      </c>
      <c r="FW14" s="192">
        <f>IFERROR(VLOOKUP(G14,[3]CEI_032018!$A$1:$U$509,9,FALSE),0)</f>
        <v>0</v>
      </c>
      <c r="FX14" s="192">
        <f>IFERROR(VLOOKUP(G14,[3]CEI_042018!$A$1:$U$493,9,FALSE),0)</f>
        <v>0</v>
      </c>
      <c r="FY14" s="192"/>
      <c r="FZ14" s="192"/>
      <c r="GA14" s="192"/>
      <c r="GB14" s="192"/>
      <c r="GC14" s="192"/>
      <c r="GD14" s="192"/>
      <c r="GE14" s="192"/>
      <c r="GF14" s="192"/>
      <c r="GG14" s="192">
        <f t="shared" si="15"/>
        <v>0</v>
      </c>
      <c r="GH14" s="192">
        <f>IFERROR(VLOOKUP(G14,[3]CEI_042018!$A$1:$U$493,12,FALSE),0)</f>
        <v>0</v>
      </c>
      <c r="GI14" s="192">
        <f t="shared" si="16"/>
        <v>0</v>
      </c>
      <c r="GJ14" s="192">
        <f t="shared" si="17"/>
        <v>2</v>
      </c>
      <c r="GK14" s="192">
        <f>IFERROR(IF('[3]TESTE TESTE'!$Z$3=1,SUM(FU14),IF('[3]TESTE TESTE'!$Z$3=2,SUM(FU14:FV14),IF('[3]TESTE TESTE'!$Z$3=3,SUM(FU14:FW14),IF('[3]TESTE TESTE'!$Z$3=4,SUM(FU14:FX14),IF('[3]TESTE TESTE'!$Z$3=5,SUM(FU14:FY14),IF('[3]TESTE TESTE'!$Z$3=6,SUM(FU14:FZ14),IF('[3]TESTE TESTE'!$Z$3=7,SUM(FU14:GA14),IF('[3]TESTE TESTE'!$Z$3=8,SUM(FU14:GB14),IF('[3]TESTE TESTE'!$Z$3=9,SUM(FU14:GC14),IF('[3]TESTE TESTE'!$Z$3=10,SUM(FU14:GD14),IF('[3]TESTE TESTE'!$Z$3=11,SUM(FU14:GE14),IF('[3]TESTE TESTE'!$Z$3=12,SUM(FU14:GF14,))))))))))))),"")</f>
        <v>0</v>
      </c>
      <c r="GL14" s="192">
        <f>IFERROR(IF('[3]TESTE TESTE'!$Z$3=1,SUM(P14),IF('[3]TESTE TESTE'!$Z$3=2,SUM(P14:Q14),IF('[3]TESTE TESTE'!$Z$3=3,SUM(P14:R14),IF('[3]TESTE TESTE'!$Z$3=4,SUM(P14:S14),IF('[3]TESTE TESTE'!$Z$3=5,SUM(P14:T14),IF('[3]TESTE TESTE'!$Z$3=6,SUM(P14:U14),IF('[3]TESTE TESTE'!$Z$3=7,SUM(P14:V14),IF('[3]TESTE TESTE'!$Z$3=8,SUM(P14:W14),IF('[3]TESTE TESTE'!$Z$3=9,SUM(P14:X14),IF('[3]TESTE TESTE'!$Z$3=10,SUM(P14:Y14),IF('[3]TESTE TESTE'!$Z$3=11,SUM(P14:Z14),IF('[3]TESTE TESTE'!$Z$3=12,SUM(P14:AA14,))))))))))))),"")</f>
        <v>2</v>
      </c>
    </row>
    <row r="15" spans="1:194" s="193" customFormat="1" ht="12.95" customHeight="1" x14ac:dyDescent="0.2">
      <c r="A15" s="497"/>
      <c r="B15" s="175" t="s">
        <v>55</v>
      </c>
      <c r="C15" s="176" t="s">
        <v>38</v>
      </c>
      <c r="D15" s="175" t="s">
        <v>59</v>
      </c>
      <c r="E15" s="175" t="s">
        <v>205</v>
      </c>
      <c r="F15" s="176" t="s">
        <v>212</v>
      </c>
      <c r="G15" s="177" t="s">
        <v>57</v>
      </c>
      <c r="H15" s="177"/>
      <c r="I15" s="175" t="s">
        <v>603</v>
      </c>
      <c r="J15" s="175" t="s">
        <v>214</v>
      </c>
      <c r="K15" s="175" t="s">
        <v>234</v>
      </c>
      <c r="L15" s="175" t="s">
        <v>215</v>
      </c>
      <c r="M15" s="175"/>
      <c r="N15" s="175" t="s">
        <v>210</v>
      </c>
      <c r="O15" s="178"/>
      <c r="P15" s="179"/>
      <c r="Q15" s="180"/>
      <c r="R15" s="180"/>
      <c r="S15" s="180"/>
      <c r="T15" s="180"/>
      <c r="U15" s="180"/>
      <c r="V15" s="180"/>
      <c r="W15" s="180"/>
      <c r="X15" s="180">
        <v>1.5</v>
      </c>
      <c r="Y15" s="180"/>
      <c r="Z15" s="180"/>
      <c r="AA15" s="180"/>
      <c r="AB15" s="181">
        <f t="shared" si="18"/>
        <v>1.5</v>
      </c>
      <c r="AC15" s="180"/>
      <c r="AD15" s="180"/>
      <c r="AE15" s="180"/>
      <c r="AF15" s="180"/>
      <c r="AG15" s="180"/>
      <c r="AH15" s="180"/>
      <c r="AI15" s="180"/>
      <c r="AJ15" s="180"/>
      <c r="AK15" s="180"/>
      <c r="AL15" s="180"/>
      <c r="AM15" s="180"/>
      <c r="AN15" s="270">
        <v>1.5</v>
      </c>
      <c r="AO15" s="180">
        <f t="shared" si="19"/>
        <v>1.5</v>
      </c>
      <c r="AP15" s="180"/>
      <c r="AQ15" s="180"/>
      <c r="AR15" s="180"/>
      <c r="AS15" s="180"/>
      <c r="AT15" s="180"/>
      <c r="AU15" s="180"/>
      <c r="AV15" s="180"/>
      <c r="AW15" s="180"/>
      <c r="AX15" s="180"/>
      <c r="AY15" s="180"/>
      <c r="AZ15" s="180"/>
      <c r="BA15" s="180"/>
      <c r="BB15" s="180">
        <f t="shared" si="20"/>
        <v>0</v>
      </c>
      <c r="BC15" s="180"/>
      <c r="BD15" s="180"/>
      <c r="BE15" s="180"/>
      <c r="BF15" s="180"/>
      <c r="BG15" s="180"/>
      <c r="BH15" s="180"/>
      <c r="BI15" s="180"/>
      <c r="BJ15" s="180"/>
      <c r="BK15" s="180"/>
      <c r="BL15" s="180"/>
      <c r="BM15" s="180"/>
      <c r="BN15" s="180"/>
      <c r="BO15" s="180">
        <f t="shared" si="21"/>
        <v>0</v>
      </c>
      <c r="BP15" s="180"/>
      <c r="BQ15" s="180"/>
      <c r="BR15" s="180"/>
      <c r="BS15" s="180"/>
      <c r="BT15" s="180"/>
      <c r="BU15" s="180"/>
      <c r="BV15" s="180"/>
      <c r="BW15" s="180"/>
      <c r="BX15" s="180"/>
      <c r="BY15" s="180"/>
      <c r="BZ15" s="180"/>
      <c r="CA15" s="180"/>
      <c r="CB15" s="180">
        <f t="shared" si="22"/>
        <v>0</v>
      </c>
      <c r="CC15" s="277">
        <f t="shared" si="5"/>
        <v>3</v>
      </c>
      <c r="CD15" s="182"/>
      <c r="CE15" s="183"/>
      <c r="CF15" s="184" t="s">
        <v>71</v>
      </c>
      <c r="CG15" s="185"/>
      <c r="CH15" s="185"/>
      <c r="CI15" s="185"/>
      <c r="CJ15" s="185"/>
      <c r="CK15" s="185"/>
      <c r="CL15" s="185"/>
      <c r="CM15" s="185"/>
      <c r="CN15" s="185"/>
      <c r="CO15" s="185">
        <v>2</v>
      </c>
      <c r="CP15" s="185"/>
      <c r="CQ15" s="185"/>
      <c r="CR15" s="185"/>
      <c r="CS15" s="185">
        <f t="shared" si="6"/>
        <v>2</v>
      </c>
      <c r="CT15" s="185"/>
      <c r="CU15" s="185"/>
      <c r="CV15" s="185"/>
      <c r="CW15" s="185"/>
      <c r="CX15" s="185"/>
      <c r="CY15" s="185"/>
      <c r="CZ15" s="185"/>
      <c r="DA15" s="185"/>
      <c r="DB15" s="185"/>
      <c r="DC15" s="185"/>
      <c r="DD15" s="185"/>
      <c r="DE15" s="185">
        <v>1</v>
      </c>
      <c r="DF15" s="185">
        <f t="shared" si="7"/>
        <v>1</v>
      </c>
      <c r="DG15" s="185"/>
      <c r="DH15" s="185"/>
      <c r="DI15" s="185"/>
      <c r="DJ15" s="185"/>
      <c r="DK15" s="185"/>
      <c r="DL15" s="185"/>
      <c r="DM15" s="185"/>
      <c r="DN15" s="185"/>
      <c r="DO15" s="185"/>
      <c r="DP15" s="185"/>
      <c r="DQ15" s="185"/>
      <c r="DR15" s="185"/>
      <c r="DS15" s="185">
        <f t="shared" si="8"/>
        <v>0</v>
      </c>
      <c r="DT15" s="185"/>
      <c r="DU15" s="185"/>
      <c r="DV15" s="185"/>
      <c r="DW15" s="185"/>
      <c r="DX15" s="185"/>
      <c r="DY15" s="185"/>
      <c r="DZ15" s="185"/>
      <c r="EA15" s="185"/>
      <c r="EB15" s="185"/>
      <c r="EC15" s="185"/>
      <c r="ED15" s="185"/>
      <c r="EE15" s="185"/>
      <c r="EF15" s="185">
        <f t="shared" si="9"/>
        <v>0</v>
      </c>
      <c r="EG15" s="185"/>
      <c r="EH15" s="185"/>
      <c r="EI15" s="185"/>
      <c r="EJ15" s="185"/>
      <c r="EK15" s="185"/>
      <c r="EL15" s="185"/>
      <c r="EM15" s="185"/>
      <c r="EN15" s="185"/>
      <c r="EO15" s="185"/>
      <c r="EP15" s="185"/>
      <c r="EQ15" s="185"/>
      <c r="ER15" s="185"/>
      <c r="ES15" s="185">
        <f t="shared" si="10"/>
        <v>0</v>
      </c>
      <c r="ET15" s="186">
        <f t="shared" si="11"/>
        <v>3</v>
      </c>
      <c r="EU15" s="183"/>
      <c r="EV15" s="187"/>
      <c r="EW15" s="180"/>
      <c r="EX15" s="180"/>
      <c r="EY15" s="180"/>
      <c r="EZ15" s="180"/>
      <c r="FA15" s="180"/>
      <c r="FB15" s="180">
        <f t="shared" si="27"/>
        <v>0</v>
      </c>
      <c r="FC15" s="187"/>
      <c r="FD15" s="188"/>
      <c r="FE15" s="180"/>
      <c r="FF15" s="180"/>
      <c r="FG15" s="180"/>
      <c r="FH15" s="180"/>
      <c r="FI15" s="180"/>
      <c r="FJ15" s="180">
        <f t="shared" si="28"/>
        <v>0</v>
      </c>
      <c r="FK15" s="189"/>
      <c r="FL15" s="187"/>
      <c r="FM15" s="190"/>
      <c r="FN15" s="180"/>
      <c r="FO15" s="180"/>
      <c r="FP15" s="180"/>
      <c r="FQ15" s="180"/>
      <c r="FR15" s="180"/>
      <c r="FS15" s="180">
        <f t="shared" si="29"/>
        <v>0</v>
      </c>
      <c r="FT15" s="191"/>
      <c r="FU15" s="192">
        <v>0</v>
      </c>
      <c r="FV15" s="192">
        <v>0</v>
      </c>
      <c r="FW15" s="192">
        <f>IFERROR(VLOOKUP(G15,[3]CEI_032018!$A$1:$U$509,9,FALSE),0)</f>
        <v>0</v>
      </c>
      <c r="FX15" s="192">
        <f>IFERROR(VLOOKUP(G15,[3]CEI_042018!$A$1:$U$493,9,FALSE),0)</f>
        <v>0</v>
      </c>
      <c r="FY15" s="192"/>
      <c r="FZ15" s="192"/>
      <c r="GA15" s="192"/>
      <c r="GB15" s="192"/>
      <c r="GC15" s="192"/>
      <c r="GD15" s="192"/>
      <c r="GE15" s="192"/>
      <c r="GF15" s="192"/>
      <c r="GG15" s="192">
        <f t="shared" si="15"/>
        <v>0</v>
      </c>
      <c r="GH15" s="192">
        <f>IFERROR(VLOOKUP(G15,[3]CEI_042018!$A$1:$U$493,12,FALSE),0)</f>
        <v>0</v>
      </c>
      <c r="GI15" s="192">
        <f t="shared" si="16"/>
        <v>0</v>
      </c>
      <c r="GJ15" s="192">
        <f t="shared" si="17"/>
        <v>1.5</v>
      </c>
      <c r="GK15" s="192">
        <f>IFERROR(IF('[3]TESTE TESTE'!$Z$3=1,SUM(FU15),IF('[3]TESTE TESTE'!$Z$3=2,SUM(FU15:FV15),IF('[3]TESTE TESTE'!$Z$3=3,SUM(FU15:FW15),IF('[3]TESTE TESTE'!$Z$3=4,SUM(FU15:FX15),IF('[3]TESTE TESTE'!$Z$3=5,SUM(FU15:FY15),IF('[3]TESTE TESTE'!$Z$3=6,SUM(FU15:FZ15),IF('[3]TESTE TESTE'!$Z$3=7,SUM(FU15:GA15),IF('[3]TESTE TESTE'!$Z$3=8,SUM(FU15:GB15),IF('[3]TESTE TESTE'!$Z$3=9,SUM(FU15:GC15),IF('[3]TESTE TESTE'!$Z$3=10,SUM(FU15:GD15),IF('[3]TESTE TESTE'!$Z$3=11,SUM(FU15:GE15),IF('[3]TESTE TESTE'!$Z$3=12,SUM(FU15:GF15,))))))))))))),"")</f>
        <v>0</v>
      </c>
      <c r="GL15" s="192">
        <f>IFERROR(IF('[3]TESTE TESTE'!$Z$3=1,SUM(P15),IF('[3]TESTE TESTE'!$Z$3=2,SUM(P15:Q15),IF('[3]TESTE TESTE'!$Z$3=3,SUM(P15:R15),IF('[3]TESTE TESTE'!$Z$3=4,SUM(P15:S15),IF('[3]TESTE TESTE'!$Z$3=5,SUM(P15:T15),IF('[3]TESTE TESTE'!$Z$3=6,SUM(P15:U15),IF('[3]TESTE TESTE'!$Z$3=7,SUM(P15:V15),IF('[3]TESTE TESTE'!$Z$3=8,SUM(P15:W15),IF('[3]TESTE TESTE'!$Z$3=9,SUM(P15:X15),IF('[3]TESTE TESTE'!$Z$3=10,SUM(P15:Y15),IF('[3]TESTE TESTE'!$Z$3=11,SUM(P15:Z15),IF('[3]TESTE TESTE'!$Z$3=12,SUM(P15:AA15,))))))))))))),"")</f>
        <v>1.5</v>
      </c>
    </row>
    <row r="16" spans="1:194" s="193" customFormat="1" ht="12.95" customHeight="1" x14ac:dyDescent="0.2">
      <c r="A16" s="497"/>
      <c r="B16" s="175" t="s">
        <v>55</v>
      </c>
      <c r="C16" s="176" t="s">
        <v>38</v>
      </c>
      <c r="D16" s="175" t="s">
        <v>59</v>
      </c>
      <c r="E16" s="175" t="s">
        <v>205</v>
      </c>
      <c r="F16" s="176" t="s">
        <v>212</v>
      </c>
      <c r="G16" s="177" t="s">
        <v>57</v>
      </c>
      <c r="H16" s="177"/>
      <c r="I16" s="175" t="s">
        <v>235</v>
      </c>
      <c r="J16" s="175" t="s">
        <v>214</v>
      </c>
      <c r="K16" s="175" t="s">
        <v>234</v>
      </c>
      <c r="L16" s="175" t="s">
        <v>215</v>
      </c>
      <c r="M16" s="175"/>
      <c r="N16" s="175" t="s">
        <v>210</v>
      </c>
      <c r="O16" s="178"/>
      <c r="P16" s="179"/>
      <c r="Q16" s="180"/>
      <c r="R16" s="180"/>
      <c r="S16" s="180"/>
      <c r="T16" s="180"/>
      <c r="U16" s="180"/>
      <c r="V16" s="180"/>
      <c r="W16" s="180"/>
      <c r="X16" s="180">
        <v>1.5</v>
      </c>
      <c r="Y16" s="180"/>
      <c r="Z16" s="180"/>
      <c r="AA16" s="180"/>
      <c r="AB16" s="181">
        <f t="shared" si="18"/>
        <v>1.5</v>
      </c>
      <c r="AC16" s="180"/>
      <c r="AD16" s="180"/>
      <c r="AE16" s="180"/>
      <c r="AF16" s="180"/>
      <c r="AG16" s="180"/>
      <c r="AH16" s="180"/>
      <c r="AI16" s="180"/>
      <c r="AJ16" s="180"/>
      <c r="AK16" s="180"/>
      <c r="AL16" s="180"/>
      <c r="AM16" s="180"/>
      <c r="AN16" s="270">
        <v>1.5</v>
      </c>
      <c r="AO16" s="180">
        <f t="shared" si="19"/>
        <v>1.5</v>
      </c>
      <c r="AP16" s="180"/>
      <c r="AQ16" s="180"/>
      <c r="AR16" s="180"/>
      <c r="AS16" s="180"/>
      <c r="AT16" s="180"/>
      <c r="AU16" s="180"/>
      <c r="AV16" s="180"/>
      <c r="AW16" s="180"/>
      <c r="AX16" s="180"/>
      <c r="AY16" s="180"/>
      <c r="AZ16" s="180"/>
      <c r="BA16" s="180"/>
      <c r="BB16" s="180">
        <f t="shared" si="20"/>
        <v>0</v>
      </c>
      <c r="BC16" s="180"/>
      <c r="BD16" s="180"/>
      <c r="BE16" s="180"/>
      <c r="BF16" s="180"/>
      <c r="BG16" s="180"/>
      <c r="BH16" s="180"/>
      <c r="BI16" s="180"/>
      <c r="BJ16" s="180"/>
      <c r="BK16" s="180"/>
      <c r="BL16" s="180"/>
      <c r="BM16" s="180"/>
      <c r="BN16" s="180"/>
      <c r="BO16" s="180">
        <f t="shared" si="21"/>
        <v>0</v>
      </c>
      <c r="BP16" s="180"/>
      <c r="BQ16" s="180"/>
      <c r="BR16" s="180"/>
      <c r="BS16" s="180"/>
      <c r="BT16" s="180"/>
      <c r="BU16" s="180"/>
      <c r="BV16" s="180"/>
      <c r="BW16" s="180"/>
      <c r="BX16" s="180"/>
      <c r="BY16" s="180"/>
      <c r="BZ16" s="180"/>
      <c r="CA16" s="180"/>
      <c r="CB16" s="180">
        <f t="shared" si="22"/>
        <v>0</v>
      </c>
      <c r="CC16" s="277">
        <f t="shared" si="5"/>
        <v>3</v>
      </c>
      <c r="CD16" s="182"/>
      <c r="CE16" s="183"/>
      <c r="CF16" s="184" t="s">
        <v>71</v>
      </c>
      <c r="CG16" s="185"/>
      <c r="CH16" s="185"/>
      <c r="CI16" s="185"/>
      <c r="CJ16" s="185"/>
      <c r="CK16" s="185"/>
      <c r="CL16" s="185"/>
      <c r="CM16" s="185"/>
      <c r="CN16" s="185"/>
      <c r="CO16" s="185">
        <v>2</v>
      </c>
      <c r="CP16" s="185"/>
      <c r="CQ16" s="185"/>
      <c r="CR16" s="185"/>
      <c r="CS16" s="185">
        <f t="shared" si="6"/>
        <v>2</v>
      </c>
      <c r="CT16" s="185"/>
      <c r="CU16" s="185"/>
      <c r="CV16" s="185"/>
      <c r="CW16" s="185"/>
      <c r="CX16" s="185"/>
      <c r="CY16" s="185"/>
      <c r="CZ16" s="185"/>
      <c r="DA16" s="185"/>
      <c r="DB16" s="185"/>
      <c r="DC16" s="185"/>
      <c r="DD16" s="185"/>
      <c r="DE16" s="185">
        <v>1</v>
      </c>
      <c r="DF16" s="185">
        <f t="shared" si="7"/>
        <v>1</v>
      </c>
      <c r="DG16" s="185"/>
      <c r="DH16" s="185"/>
      <c r="DI16" s="185"/>
      <c r="DJ16" s="185"/>
      <c r="DK16" s="185"/>
      <c r="DL16" s="185"/>
      <c r="DM16" s="185"/>
      <c r="DN16" s="185"/>
      <c r="DO16" s="185"/>
      <c r="DP16" s="185"/>
      <c r="DQ16" s="185"/>
      <c r="DR16" s="185"/>
      <c r="DS16" s="185">
        <f t="shared" si="8"/>
        <v>0</v>
      </c>
      <c r="DT16" s="185"/>
      <c r="DU16" s="185"/>
      <c r="DV16" s="185"/>
      <c r="DW16" s="185"/>
      <c r="DX16" s="185"/>
      <c r="DY16" s="185"/>
      <c r="DZ16" s="185"/>
      <c r="EA16" s="185"/>
      <c r="EB16" s="185"/>
      <c r="EC16" s="185"/>
      <c r="ED16" s="185"/>
      <c r="EE16" s="185"/>
      <c r="EF16" s="185">
        <f t="shared" si="9"/>
        <v>0</v>
      </c>
      <c r="EG16" s="185"/>
      <c r="EH16" s="185"/>
      <c r="EI16" s="185"/>
      <c r="EJ16" s="185"/>
      <c r="EK16" s="185"/>
      <c r="EL16" s="185"/>
      <c r="EM16" s="185"/>
      <c r="EN16" s="185"/>
      <c r="EO16" s="185"/>
      <c r="EP16" s="185"/>
      <c r="EQ16" s="185"/>
      <c r="ER16" s="185"/>
      <c r="ES16" s="185">
        <f t="shared" si="10"/>
        <v>0</v>
      </c>
      <c r="ET16" s="186">
        <f t="shared" si="11"/>
        <v>3</v>
      </c>
      <c r="EU16" s="183"/>
      <c r="EV16" s="187"/>
      <c r="EW16" s="180"/>
      <c r="EX16" s="180"/>
      <c r="EY16" s="180"/>
      <c r="EZ16" s="180"/>
      <c r="FA16" s="180"/>
      <c r="FB16" s="180">
        <f t="shared" si="27"/>
        <v>0</v>
      </c>
      <c r="FC16" s="187"/>
      <c r="FD16" s="188"/>
      <c r="FE16" s="180"/>
      <c r="FF16" s="180"/>
      <c r="FG16" s="180"/>
      <c r="FH16" s="180"/>
      <c r="FI16" s="180"/>
      <c r="FJ16" s="180">
        <f t="shared" si="28"/>
        <v>0</v>
      </c>
      <c r="FK16" s="189"/>
      <c r="FL16" s="187"/>
      <c r="FM16" s="190"/>
      <c r="FN16" s="180"/>
      <c r="FO16" s="180"/>
      <c r="FP16" s="180"/>
      <c r="FQ16" s="180"/>
      <c r="FR16" s="180"/>
      <c r="FS16" s="180">
        <f t="shared" si="29"/>
        <v>0</v>
      </c>
      <c r="FT16" s="191"/>
      <c r="FU16" s="192">
        <v>0</v>
      </c>
      <c r="FV16" s="192">
        <v>0</v>
      </c>
      <c r="FW16" s="192">
        <f>IFERROR(VLOOKUP(G16,[3]CEI_032018!$A$1:$U$509,9,FALSE),0)</f>
        <v>0</v>
      </c>
      <c r="FX16" s="192">
        <f>IFERROR(VLOOKUP(G16,[3]CEI_042018!$A$1:$U$493,9,FALSE),0)</f>
        <v>0</v>
      </c>
      <c r="FY16" s="192"/>
      <c r="FZ16" s="192"/>
      <c r="GA16" s="192"/>
      <c r="GB16" s="192"/>
      <c r="GC16" s="192"/>
      <c r="GD16" s="192"/>
      <c r="GE16" s="192"/>
      <c r="GF16" s="192"/>
      <c r="GG16" s="192">
        <f t="shared" si="15"/>
        <v>0</v>
      </c>
      <c r="GH16" s="192">
        <f>IFERROR(VLOOKUP(G16,[3]CEI_042018!$A$1:$U$493,12,FALSE),0)</f>
        <v>0</v>
      </c>
      <c r="GI16" s="192">
        <f t="shared" si="16"/>
        <v>0</v>
      </c>
      <c r="GJ16" s="192">
        <f t="shared" si="17"/>
        <v>1.5</v>
      </c>
      <c r="GK16" s="192">
        <f>IFERROR(IF('[3]TESTE TESTE'!$Z$3=1,SUM(FU16),IF('[3]TESTE TESTE'!$Z$3=2,SUM(FU16:FV16),IF('[3]TESTE TESTE'!$Z$3=3,SUM(FU16:FW16),IF('[3]TESTE TESTE'!$Z$3=4,SUM(FU16:FX16),IF('[3]TESTE TESTE'!$Z$3=5,SUM(FU16:FY16),IF('[3]TESTE TESTE'!$Z$3=6,SUM(FU16:FZ16),IF('[3]TESTE TESTE'!$Z$3=7,SUM(FU16:GA16),IF('[3]TESTE TESTE'!$Z$3=8,SUM(FU16:GB16),IF('[3]TESTE TESTE'!$Z$3=9,SUM(FU16:GC16),IF('[3]TESTE TESTE'!$Z$3=10,SUM(FU16:GD16),IF('[3]TESTE TESTE'!$Z$3=11,SUM(FU16:GE16),IF('[3]TESTE TESTE'!$Z$3=12,SUM(FU16:GF16,))))))))))))),"")</f>
        <v>0</v>
      </c>
      <c r="GL16" s="192">
        <f>IFERROR(IF('[3]TESTE TESTE'!$Z$3=1,SUM(P16),IF('[3]TESTE TESTE'!$Z$3=2,SUM(P16:Q16),IF('[3]TESTE TESTE'!$Z$3=3,SUM(P16:R16),IF('[3]TESTE TESTE'!$Z$3=4,SUM(P16:S16),IF('[3]TESTE TESTE'!$Z$3=5,SUM(P16:T16),IF('[3]TESTE TESTE'!$Z$3=6,SUM(P16:U16),IF('[3]TESTE TESTE'!$Z$3=7,SUM(P16:V16),IF('[3]TESTE TESTE'!$Z$3=8,SUM(P16:W16),IF('[3]TESTE TESTE'!$Z$3=9,SUM(P16:X16),IF('[3]TESTE TESTE'!$Z$3=10,SUM(P16:Y16),IF('[3]TESTE TESTE'!$Z$3=11,SUM(P16:Z16),IF('[3]TESTE TESTE'!$Z$3=12,SUM(P16:AA16,))))))))))))),"")</f>
        <v>1.5</v>
      </c>
    </row>
    <row r="17" spans="1:194" s="266" customFormat="1" ht="12.95" customHeight="1" x14ac:dyDescent="0.2">
      <c r="A17" s="498" t="s">
        <v>1457</v>
      </c>
      <c r="B17" s="166" t="s">
        <v>55</v>
      </c>
      <c r="C17" s="167" t="s">
        <v>39</v>
      </c>
      <c r="D17" s="166" t="s">
        <v>59</v>
      </c>
      <c r="E17" s="166" t="s">
        <v>205</v>
      </c>
      <c r="F17" s="167" t="s">
        <v>211</v>
      </c>
      <c r="G17" s="168" t="s">
        <v>57</v>
      </c>
      <c r="H17" s="168"/>
      <c r="I17" s="166" t="s">
        <v>263</v>
      </c>
      <c r="J17" s="166" t="s">
        <v>264</v>
      </c>
      <c r="K17" s="166" t="s">
        <v>265</v>
      </c>
      <c r="L17" s="166" t="s">
        <v>266</v>
      </c>
      <c r="M17" s="166"/>
      <c r="N17" s="166" t="s">
        <v>225</v>
      </c>
      <c r="O17" s="251"/>
      <c r="P17" s="252"/>
      <c r="Q17" s="253"/>
      <c r="R17" s="253"/>
      <c r="S17" s="253"/>
      <c r="T17" s="253"/>
      <c r="U17" s="253"/>
      <c r="V17" s="253"/>
      <c r="W17" s="253">
        <v>100</v>
      </c>
      <c r="X17" s="253">
        <v>100</v>
      </c>
      <c r="Y17" s="253">
        <v>150</v>
      </c>
      <c r="Z17" s="253"/>
      <c r="AA17" s="253"/>
      <c r="AB17" s="254">
        <f t="shared" si="18"/>
        <v>350</v>
      </c>
      <c r="AC17" s="253"/>
      <c r="AD17" s="253"/>
      <c r="AE17" s="253"/>
      <c r="AF17" s="253"/>
      <c r="AG17" s="253"/>
      <c r="AH17" s="253"/>
      <c r="AI17" s="253"/>
      <c r="AJ17" s="253"/>
      <c r="AK17" s="253"/>
      <c r="AL17" s="253"/>
      <c r="AM17" s="253"/>
      <c r="AN17" s="253"/>
      <c r="AO17" s="253">
        <f t="shared" si="19"/>
        <v>0</v>
      </c>
      <c r="AP17" s="253"/>
      <c r="AQ17" s="253"/>
      <c r="AR17" s="253"/>
      <c r="AS17" s="253"/>
      <c r="AT17" s="253"/>
      <c r="AU17" s="253"/>
      <c r="AV17" s="253"/>
      <c r="AW17" s="253"/>
      <c r="AX17" s="253"/>
      <c r="AY17" s="253"/>
      <c r="AZ17" s="253"/>
      <c r="BA17" s="253"/>
      <c r="BB17" s="253">
        <f t="shared" si="20"/>
        <v>0</v>
      </c>
      <c r="BC17" s="253"/>
      <c r="BD17" s="253"/>
      <c r="BE17" s="253"/>
      <c r="BF17" s="253"/>
      <c r="BG17" s="253"/>
      <c r="BH17" s="253"/>
      <c r="BI17" s="253"/>
      <c r="BJ17" s="253"/>
      <c r="BK17" s="253"/>
      <c r="BL17" s="253"/>
      <c r="BM17" s="253"/>
      <c r="BN17" s="253"/>
      <c r="BO17" s="253">
        <f t="shared" si="21"/>
        <v>0</v>
      </c>
      <c r="BP17" s="253"/>
      <c r="BQ17" s="253"/>
      <c r="BR17" s="253"/>
      <c r="BS17" s="253"/>
      <c r="BT17" s="253"/>
      <c r="BU17" s="253"/>
      <c r="BV17" s="253"/>
      <c r="BW17" s="253"/>
      <c r="BX17" s="253"/>
      <c r="BY17" s="253"/>
      <c r="BZ17" s="253"/>
      <c r="CA17" s="253"/>
      <c r="CB17" s="253">
        <f t="shared" si="22"/>
        <v>0</v>
      </c>
      <c r="CC17" s="278">
        <f t="shared" si="5"/>
        <v>350</v>
      </c>
      <c r="CD17" s="255"/>
      <c r="CE17" s="256"/>
      <c r="CF17" s="257" t="s">
        <v>450</v>
      </c>
      <c r="CG17" s="258"/>
      <c r="CH17" s="258"/>
      <c r="CI17" s="258"/>
      <c r="CJ17" s="258"/>
      <c r="CK17" s="258"/>
      <c r="CL17" s="258"/>
      <c r="CM17" s="258"/>
      <c r="CN17" s="258">
        <v>1232</v>
      </c>
      <c r="CO17" s="258">
        <v>1233</v>
      </c>
      <c r="CP17" s="258">
        <v>1850</v>
      </c>
      <c r="CQ17" s="258"/>
      <c r="CR17" s="258"/>
      <c r="CS17" s="258">
        <f t="shared" si="6"/>
        <v>4315</v>
      </c>
      <c r="CT17" s="258"/>
      <c r="CU17" s="258"/>
      <c r="CV17" s="258"/>
      <c r="CW17" s="258"/>
      <c r="CX17" s="258"/>
      <c r="CY17" s="258"/>
      <c r="CZ17" s="258"/>
      <c r="DA17" s="258"/>
      <c r="DB17" s="258"/>
      <c r="DC17" s="258"/>
      <c r="DD17" s="258"/>
      <c r="DE17" s="258"/>
      <c r="DF17" s="258">
        <f t="shared" si="7"/>
        <v>0</v>
      </c>
      <c r="DG17" s="258"/>
      <c r="DH17" s="258"/>
      <c r="DI17" s="258"/>
      <c r="DJ17" s="258"/>
      <c r="DK17" s="258"/>
      <c r="DL17" s="258"/>
      <c r="DM17" s="258"/>
      <c r="DN17" s="258"/>
      <c r="DO17" s="258"/>
      <c r="DP17" s="258"/>
      <c r="DQ17" s="258"/>
      <c r="DR17" s="258"/>
      <c r="DS17" s="258">
        <f t="shared" si="8"/>
        <v>0</v>
      </c>
      <c r="DT17" s="258"/>
      <c r="DU17" s="258"/>
      <c r="DV17" s="258"/>
      <c r="DW17" s="258"/>
      <c r="DX17" s="258"/>
      <c r="DY17" s="258"/>
      <c r="DZ17" s="258"/>
      <c r="EA17" s="258"/>
      <c r="EB17" s="258"/>
      <c r="EC17" s="258"/>
      <c r="ED17" s="258"/>
      <c r="EE17" s="258"/>
      <c r="EF17" s="258">
        <f t="shared" si="9"/>
        <v>0</v>
      </c>
      <c r="EG17" s="258"/>
      <c r="EH17" s="258"/>
      <c r="EI17" s="258"/>
      <c r="EJ17" s="258"/>
      <c r="EK17" s="258"/>
      <c r="EL17" s="258"/>
      <c r="EM17" s="258"/>
      <c r="EN17" s="258"/>
      <c r="EO17" s="258"/>
      <c r="EP17" s="258"/>
      <c r="EQ17" s="258"/>
      <c r="ER17" s="258"/>
      <c r="ES17" s="258">
        <f t="shared" si="10"/>
        <v>0</v>
      </c>
      <c r="ET17" s="259">
        <f t="shared" si="11"/>
        <v>4315</v>
      </c>
      <c r="EU17" s="256"/>
      <c r="EV17" s="260"/>
      <c r="EW17" s="253"/>
      <c r="EX17" s="253"/>
      <c r="EY17" s="253"/>
      <c r="EZ17" s="253"/>
      <c r="FA17" s="253"/>
      <c r="FB17" s="253">
        <f t="shared" si="27"/>
        <v>0</v>
      </c>
      <c r="FC17" s="260"/>
      <c r="FD17" s="261"/>
      <c r="FE17" s="253"/>
      <c r="FF17" s="253"/>
      <c r="FG17" s="253"/>
      <c r="FH17" s="253"/>
      <c r="FI17" s="253"/>
      <c r="FJ17" s="253">
        <f t="shared" si="28"/>
        <v>0</v>
      </c>
      <c r="FK17" s="262"/>
      <c r="FL17" s="260"/>
      <c r="FM17" s="263"/>
      <c r="FN17" s="253"/>
      <c r="FO17" s="253"/>
      <c r="FP17" s="253"/>
      <c r="FQ17" s="253"/>
      <c r="FR17" s="253"/>
      <c r="FS17" s="253">
        <f t="shared" si="29"/>
        <v>0</v>
      </c>
      <c r="FT17" s="264"/>
      <c r="FU17" s="265">
        <v>0</v>
      </c>
      <c r="FV17" s="265">
        <v>0</v>
      </c>
      <c r="FW17" s="265">
        <f>IFERROR(VLOOKUP(G17,[3]CEI_032018!$A$1:$U$509,9,FALSE),0)</f>
        <v>0</v>
      </c>
      <c r="FX17" s="265">
        <f>IFERROR(VLOOKUP(G17,[3]CEI_042018!$A$1:$U$493,9,FALSE),0)</f>
        <v>0</v>
      </c>
      <c r="FY17" s="265"/>
      <c r="FZ17" s="265"/>
      <c r="GA17" s="265"/>
      <c r="GB17" s="265"/>
      <c r="GC17" s="265"/>
      <c r="GD17" s="265"/>
      <c r="GE17" s="265"/>
      <c r="GF17" s="265"/>
      <c r="GG17" s="265">
        <f t="shared" si="15"/>
        <v>0</v>
      </c>
      <c r="GH17" s="265">
        <f>IFERROR(VLOOKUP(G17,[3]CEI_042018!$A$1:$U$493,12,FALSE),0)</f>
        <v>0</v>
      </c>
      <c r="GI17" s="265">
        <f t="shared" si="16"/>
        <v>0</v>
      </c>
      <c r="GJ17" s="265">
        <f t="shared" si="17"/>
        <v>350</v>
      </c>
      <c r="GK17" s="265">
        <f>IFERROR(IF('[3]TESTE TESTE'!$Z$3=1,SUM(FU17),IF('[3]TESTE TESTE'!$Z$3=2,SUM(FU17:FV17),IF('[3]TESTE TESTE'!$Z$3=3,SUM(FU17:FW17),IF('[3]TESTE TESTE'!$Z$3=4,SUM(FU17:FX17),IF('[3]TESTE TESTE'!$Z$3=5,SUM(FU17:FY17),IF('[3]TESTE TESTE'!$Z$3=6,SUM(FU17:FZ17),IF('[3]TESTE TESTE'!$Z$3=7,SUM(FU17:GA17),IF('[3]TESTE TESTE'!$Z$3=8,SUM(FU17:GB17),IF('[3]TESTE TESTE'!$Z$3=9,SUM(FU17:GC17),IF('[3]TESTE TESTE'!$Z$3=10,SUM(FU17:GD17),IF('[3]TESTE TESTE'!$Z$3=11,SUM(FU17:GE17),IF('[3]TESTE TESTE'!$Z$3=12,SUM(FU17:GF17,))))))))))))),"")</f>
        <v>0</v>
      </c>
      <c r="GL17" s="265">
        <f>IFERROR(IF('[3]TESTE TESTE'!$Z$3=1,SUM(P17),IF('[3]TESTE TESTE'!$Z$3=2,SUM(P17:Q17),IF('[3]TESTE TESTE'!$Z$3=3,SUM(P17:R17),IF('[3]TESTE TESTE'!$Z$3=4,SUM(P17:S17),IF('[3]TESTE TESTE'!$Z$3=5,SUM(P17:T17),IF('[3]TESTE TESTE'!$Z$3=6,SUM(P17:U17),IF('[3]TESTE TESTE'!$Z$3=7,SUM(P17:V17),IF('[3]TESTE TESTE'!$Z$3=8,SUM(P17:W17),IF('[3]TESTE TESTE'!$Z$3=9,SUM(P17:X17),IF('[3]TESTE TESTE'!$Z$3=10,SUM(P17:Y17),IF('[3]TESTE TESTE'!$Z$3=11,SUM(P17:Z17),IF('[3]TESTE TESTE'!$Z$3=12,SUM(P17:AA17,))))))))))))),"")</f>
        <v>350</v>
      </c>
    </row>
    <row r="18" spans="1:194" s="266" customFormat="1" ht="12.95" customHeight="1" x14ac:dyDescent="0.2">
      <c r="A18" s="498"/>
      <c r="B18" s="166" t="s">
        <v>55</v>
      </c>
      <c r="C18" s="167" t="s">
        <v>39</v>
      </c>
      <c r="D18" s="166" t="s">
        <v>59</v>
      </c>
      <c r="E18" s="166" t="s">
        <v>205</v>
      </c>
      <c r="F18" s="167" t="s">
        <v>211</v>
      </c>
      <c r="G18" s="168" t="s">
        <v>57</v>
      </c>
      <c r="H18" s="168"/>
      <c r="I18" s="166" t="s">
        <v>259</v>
      </c>
      <c r="J18" s="166" t="s">
        <v>260</v>
      </c>
      <c r="K18" s="166" t="s">
        <v>261</v>
      </c>
      <c r="L18" s="166" t="s">
        <v>262</v>
      </c>
      <c r="M18" s="166"/>
      <c r="N18" s="166" t="s">
        <v>225</v>
      </c>
      <c r="O18" s="251"/>
      <c r="P18" s="252"/>
      <c r="Q18" s="253"/>
      <c r="R18" s="253"/>
      <c r="S18" s="253"/>
      <c r="T18" s="253"/>
      <c r="U18" s="253"/>
      <c r="V18" s="253"/>
      <c r="W18" s="253"/>
      <c r="X18" s="253">
        <v>150</v>
      </c>
      <c r="Y18" s="253"/>
      <c r="Z18" s="253"/>
      <c r="AA18" s="253"/>
      <c r="AB18" s="254">
        <f t="shared" si="18"/>
        <v>150</v>
      </c>
      <c r="AC18" s="253"/>
      <c r="AD18" s="253"/>
      <c r="AE18" s="253"/>
      <c r="AF18" s="253"/>
      <c r="AG18" s="253"/>
      <c r="AH18" s="253"/>
      <c r="AI18" s="253"/>
      <c r="AJ18" s="253"/>
      <c r="AK18" s="253"/>
      <c r="AL18" s="253"/>
      <c r="AM18" s="253"/>
      <c r="AN18" s="253"/>
      <c r="AO18" s="253">
        <f t="shared" si="19"/>
        <v>0</v>
      </c>
      <c r="AP18" s="253"/>
      <c r="AQ18" s="253"/>
      <c r="AR18" s="253"/>
      <c r="AS18" s="253"/>
      <c r="AT18" s="253"/>
      <c r="AU18" s="253"/>
      <c r="AV18" s="253"/>
      <c r="AW18" s="253"/>
      <c r="AX18" s="253"/>
      <c r="AY18" s="253"/>
      <c r="AZ18" s="253"/>
      <c r="BA18" s="253">
        <v>50</v>
      </c>
      <c r="BB18" s="253">
        <f t="shared" si="20"/>
        <v>50</v>
      </c>
      <c r="BC18" s="253"/>
      <c r="BD18" s="253"/>
      <c r="BE18" s="253"/>
      <c r="BF18" s="253"/>
      <c r="BG18" s="253"/>
      <c r="BH18" s="253"/>
      <c r="BI18" s="253"/>
      <c r="BJ18" s="253"/>
      <c r="BK18" s="253"/>
      <c r="BL18" s="253"/>
      <c r="BM18" s="253"/>
      <c r="BN18" s="253"/>
      <c r="BO18" s="253">
        <f t="shared" si="21"/>
        <v>0</v>
      </c>
      <c r="BP18" s="253"/>
      <c r="BQ18" s="253"/>
      <c r="BR18" s="253"/>
      <c r="BS18" s="253"/>
      <c r="BT18" s="253"/>
      <c r="BU18" s="253"/>
      <c r="BV18" s="253"/>
      <c r="BW18" s="253"/>
      <c r="BX18" s="253"/>
      <c r="BY18" s="253"/>
      <c r="BZ18" s="253"/>
      <c r="CA18" s="253">
        <v>50</v>
      </c>
      <c r="CB18" s="253">
        <f t="shared" si="22"/>
        <v>50</v>
      </c>
      <c r="CC18" s="278">
        <f t="shared" si="5"/>
        <v>250</v>
      </c>
      <c r="CD18" s="255"/>
      <c r="CE18" s="256"/>
      <c r="CF18" s="257" t="s">
        <v>270</v>
      </c>
      <c r="CG18" s="258"/>
      <c r="CH18" s="258"/>
      <c r="CI18" s="258"/>
      <c r="CJ18" s="258"/>
      <c r="CK18" s="258"/>
      <c r="CL18" s="258"/>
      <c r="CM18" s="258"/>
      <c r="CN18" s="258"/>
      <c r="CO18" s="258">
        <v>85</v>
      </c>
      <c r="CP18" s="258"/>
      <c r="CQ18" s="258"/>
      <c r="CR18" s="258"/>
      <c r="CS18" s="258">
        <f t="shared" si="6"/>
        <v>85</v>
      </c>
      <c r="CT18" s="258"/>
      <c r="CU18" s="258"/>
      <c r="CV18" s="258"/>
      <c r="CW18" s="258"/>
      <c r="CX18" s="258"/>
      <c r="CY18" s="258"/>
      <c r="CZ18" s="258"/>
      <c r="DA18" s="258"/>
      <c r="DB18" s="258"/>
      <c r="DC18" s="258"/>
      <c r="DD18" s="258"/>
      <c r="DE18" s="258"/>
      <c r="DF18" s="258">
        <f t="shared" si="7"/>
        <v>0</v>
      </c>
      <c r="DG18" s="258"/>
      <c r="DH18" s="258"/>
      <c r="DI18" s="258"/>
      <c r="DJ18" s="258"/>
      <c r="DK18" s="258"/>
      <c r="DL18" s="258"/>
      <c r="DM18" s="258"/>
      <c r="DN18" s="258"/>
      <c r="DO18" s="258"/>
      <c r="DP18" s="258"/>
      <c r="DQ18" s="258"/>
      <c r="DR18" s="258">
        <v>25</v>
      </c>
      <c r="DS18" s="258">
        <f t="shared" si="8"/>
        <v>25</v>
      </c>
      <c r="DT18" s="258"/>
      <c r="DU18" s="258"/>
      <c r="DV18" s="258"/>
      <c r="DW18" s="258"/>
      <c r="DX18" s="258"/>
      <c r="DY18" s="258"/>
      <c r="DZ18" s="258"/>
      <c r="EA18" s="258"/>
      <c r="EB18" s="258"/>
      <c r="EC18" s="258"/>
      <c r="ED18" s="258"/>
      <c r="EE18" s="258"/>
      <c r="EF18" s="258">
        <f t="shared" si="9"/>
        <v>0</v>
      </c>
      <c r="EG18" s="258"/>
      <c r="EH18" s="258"/>
      <c r="EI18" s="258"/>
      <c r="EJ18" s="258"/>
      <c r="EK18" s="258"/>
      <c r="EL18" s="258"/>
      <c r="EM18" s="258"/>
      <c r="EN18" s="258"/>
      <c r="EO18" s="258"/>
      <c r="EP18" s="258"/>
      <c r="EQ18" s="258"/>
      <c r="ER18" s="258">
        <v>25</v>
      </c>
      <c r="ES18" s="258">
        <f t="shared" si="10"/>
        <v>25</v>
      </c>
      <c r="ET18" s="259">
        <f t="shared" si="11"/>
        <v>135</v>
      </c>
      <c r="EU18" s="256"/>
      <c r="EV18" s="260"/>
      <c r="EW18" s="253"/>
      <c r="EX18" s="253"/>
      <c r="EY18" s="253"/>
      <c r="EZ18" s="253"/>
      <c r="FA18" s="253"/>
      <c r="FB18" s="253">
        <f t="shared" si="27"/>
        <v>0</v>
      </c>
      <c r="FC18" s="260"/>
      <c r="FD18" s="261"/>
      <c r="FE18" s="253"/>
      <c r="FF18" s="253"/>
      <c r="FG18" s="253"/>
      <c r="FH18" s="253"/>
      <c r="FI18" s="253"/>
      <c r="FJ18" s="253">
        <f t="shared" si="28"/>
        <v>0</v>
      </c>
      <c r="FK18" s="262"/>
      <c r="FL18" s="260"/>
      <c r="FM18" s="263"/>
      <c r="FN18" s="253"/>
      <c r="FO18" s="253"/>
      <c r="FP18" s="253"/>
      <c r="FQ18" s="253"/>
      <c r="FR18" s="253"/>
      <c r="FS18" s="253">
        <f t="shared" si="29"/>
        <v>0</v>
      </c>
      <c r="FT18" s="264"/>
      <c r="FU18" s="265">
        <v>0</v>
      </c>
      <c r="FV18" s="265">
        <v>0</v>
      </c>
      <c r="FW18" s="265">
        <f>IFERROR(VLOOKUP(G18,[3]CEI_032018!$A$1:$U$509,9,FALSE),0)</f>
        <v>0</v>
      </c>
      <c r="FX18" s="265">
        <f>IFERROR(VLOOKUP(G18,[3]CEI_042018!$A$1:$U$493,9,FALSE),0)</f>
        <v>0</v>
      </c>
      <c r="FY18" s="265"/>
      <c r="FZ18" s="265"/>
      <c r="GA18" s="265"/>
      <c r="GB18" s="265"/>
      <c r="GC18" s="265"/>
      <c r="GD18" s="265"/>
      <c r="GE18" s="265"/>
      <c r="GF18" s="265"/>
      <c r="GG18" s="265">
        <f t="shared" si="15"/>
        <v>0</v>
      </c>
      <c r="GH18" s="265">
        <f>IFERROR(VLOOKUP(G18,[3]CEI_042018!$A$1:$U$493,12,FALSE),0)</f>
        <v>0</v>
      </c>
      <c r="GI18" s="265">
        <f t="shared" si="16"/>
        <v>0</v>
      </c>
      <c r="GJ18" s="265">
        <f t="shared" si="17"/>
        <v>150</v>
      </c>
      <c r="GK18" s="265">
        <f>IFERROR(IF('[3]TESTE TESTE'!$Z$3=1,SUM(FU18),IF('[3]TESTE TESTE'!$Z$3=2,SUM(FU18:FV18),IF('[3]TESTE TESTE'!$Z$3=3,SUM(FU18:FW18),IF('[3]TESTE TESTE'!$Z$3=4,SUM(FU18:FX18),IF('[3]TESTE TESTE'!$Z$3=5,SUM(FU18:FY18),IF('[3]TESTE TESTE'!$Z$3=6,SUM(FU18:FZ18),IF('[3]TESTE TESTE'!$Z$3=7,SUM(FU18:GA18),IF('[3]TESTE TESTE'!$Z$3=8,SUM(FU18:GB18),IF('[3]TESTE TESTE'!$Z$3=9,SUM(FU18:GC18),IF('[3]TESTE TESTE'!$Z$3=10,SUM(FU18:GD18),IF('[3]TESTE TESTE'!$Z$3=11,SUM(FU18:GE18),IF('[3]TESTE TESTE'!$Z$3=12,SUM(FU18:GF18,))))))))))))),"")</f>
        <v>0</v>
      </c>
      <c r="GL18" s="265">
        <f>IFERROR(IF('[3]TESTE TESTE'!$Z$3=1,SUM(P18),IF('[3]TESTE TESTE'!$Z$3=2,SUM(P18:Q18),IF('[3]TESTE TESTE'!$Z$3=3,SUM(P18:R18),IF('[3]TESTE TESTE'!$Z$3=4,SUM(P18:S18),IF('[3]TESTE TESTE'!$Z$3=5,SUM(P18:T18),IF('[3]TESTE TESTE'!$Z$3=6,SUM(P18:U18),IF('[3]TESTE TESTE'!$Z$3=7,SUM(P18:V18),IF('[3]TESTE TESTE'!$Z$3=8,SUM(P18:W18),IF('[3]TESTE TESTE'!$Z$3=9,SUM(P18:X18),IF('[3]TESTE TESTE'!$Z$3=10,SUM(P18:Y18),IF('[3]TESTE TESTE'!$Z$3=11,SUM(P18:Z18),IF('[3]TESTE TESTE'!$Z$3=12,SUM(P18:AA18,))))))))))))),"")</f>
        <v>150</v>
      </c>
    </row>
    <row r="19" spans="1:194" s="266" customFormat="1" ht="12.95" customHeight="1" x14ac:dyDescent="0.2">
      <c r="A19" s="498"/>
      <c r="B19" s="166" t="s">
        <v>55</v>
      </c>
      <c r="C19" s="167" t="s">
        <v>39</v>
      </c>
      <c r="D19" s="166" t="s">
        <v>59</v>
      </c>
      <c r="E19" s="166" t="s">
        <v>205</v>
      </c>
      <c r="F19" s="167" t="s">
        <v>220</v>
      </c>
      <c r="G19" s="168" t="s">
        <v>57</v>
      </c>
      <c r="H19" s="168"/>
      <c r="I19" s="166" t="s">
        <v>1013</v>
      </c>
      <c r="J19" s="166" t="s">
        <v>221</v>
      </c>
      <c r="K19" s="166" t="s">
        <v>222</v>
      </c>
      <c r="L19" s="166" t="s">
        <v>223</v>
      </c>
      <c r="M19" s="166"/>
      <c r="N19" s="166" t="s">
        <v>224</v>
      </c>
      <c r="O19" s="251"/>
      <c r="P19" s="252"/>
      <c r="Q19" s="253"/>
      <c r="R19" s="253"/>
      <c r="S19" s="253"/>
      <c r="T19" s="253"/>
      <c r="U19" s="253"/>
      <c r="V19" s="253"/>
      <c r="W19" s="253"/>
      <c r="X19" s="253"/>
      <c r="Y19" s="253">
        <v>6</v>
      </c>
      <c r="Z19" s="253"/>
      <c r="AA19" s="253"/>
      <c r="AB19" s="254">
        <f t="shared" si="18"/>
        <v>6</v>
      </c>
      <c r="AC19" s="253"/>
      <c r="AD19" s="253"/>
      <c r="AE19" s="253"/>
      <c r="AF19" s="253"/>
      <c r="AG19" s="253"/>
      <c r="AH19" s="253"/>
      <c r="AI19" s="253"/>
      <c r="AJ19" s="253"/>
      <c r="AK19" s="253"/>
      <c r="AL19" s="253"/>
      <c r="AM19" s="253"/>
      <c r="AN19" s="253">
        <v>6</v>
      </c>
      <c r="AO19" s="253">
        <f t="shared" si="19"/>
        <v>6</v>
      </c>
      <c r="AP19" s="253"/>
      <c r="AQ19" s="253"/>
      <c r="AR19" s="253"/>
      <c r="AS19" s="253"/>
      <c r="AT19" s="253"/>
      <c r="AU19" s="253"/>
      <c r="AV19" s="253"/>
      <c r="AW19" s="253"/>
      <c r="AX19" s="253"/>
      <c r="AY19" s="253"/>
      <c r="AZ19" s="253"/>
      <c r="BA19" s="253">
        <v>6</v>
      </c>
      <c r="BB19" s="253">
        <f t="shared" si="20"/>
        <v>6</v>
      </c>
      <c r="BC19" s="253"/>
      <c r="BD19" s="253"/>
      <c r="BE19" s="253"/>
      <c r="BF19" s="253"/>
      <c r="BG19" s="253"/>
      <c r="BH19" s="253"/>
      <c r="BI19" s="253"/>
      <c r="BJ19" s="253"/>
      <c r="BK19" s="253"/>
      <c r="BL19" s="253"/>
      <c r="BM19" s="253"/>
      <c r="BN19" s="253">
        <v>6</v>
      </c>
      <c r="BO19" s="253">
        <f t="shared" si="21"/>
        <v>6</v>
      </c>
      <c r="BP19" s="253"/>
      <c r="BQ19" s="253"/>
      <c r="BR19" s="253"/>
      <c r="BS19" s="253"/>
      <c r="BT19" s="253"/>
      <c r="BU19" s="253"/>
      <c r="BV19" s="253"/>
      <c r="BW19" s="253"/>
      <c r="BX19" s="253"/>
      <c r="BY19" s="253"/>
      <c r="BZ19" s="253"/>
      <c r="CA19" s="253">
        <v>6</v>
      </c>
      <c r="CB19" s="253">
        <f t="shared" si="22"/>
        <v>6</v>
      </c>
      <c r="CC19" s="278">
        <f t="shared" si="5"/>
        <v>30</v>
      </c>
      <c r="CD19" s="255"/>
      <c r="CE19" s="256"/>
      <c r="CF19" s="257" t="s">
        <v>71</v>
      </c>
      <c r="CG19" s="258"/>
      <c r="CH19" s="258"/>
      <c r="CI19" s="258"/>
      <c r="CJ19" s="258"/>
      <c r="CK19" s="258"/>
      <c r="CL19" s="258"/>
      <c r="CM19" s="258"/>
      <c r="CN19" s="258"/>
      <c r="CO19" s="258"/>
      <c r="CP19" s="258">
        <v>2</v>
      </c>
      <c r="CQ19" s="258"/>
      <c r="CR19" s="258"/>
      <c r="CS19" s="258">
        <f t="shared" si="6"/>
        <v>2</v>
      </c>
      <c r="CT19" s="258"/>
      <c r="CU19" s="258"/>
      <c r="CV19" s="258"/>
      <c r="CW19" s="258"/>
      <c r="CX19" s="258"/>
      <c r="CY19" s="258"/>
      <c r="CZ19" s="258"/>
      <c r="DA19" s="258"/>
      <c r="DB19" s="258"/>
      <c r="DC19" s="258"/>
      <c r="DD19" s="258"/>
      <c r="DE19" s="258">
        <v>2</v>
      </c>
      <c r="DF19" s="258">
        <f t="shared" si="7"/>
        <v>2</v>
      </c>
      <c r="DG19" s="258"/>
      <c r="DH19" s="258"/>
      <c r="DI19" s="258"/>
      <c r="DJ19" s="258"/>
      <c r="DK19" s="258"/>
      <c r="DL19" s="258"/>
      <c r="DM19" s="258"/>
      <c r="DN19" s="258"/>
      <c r="DO19" s="258"/>
      <c r="DP19" s="258"/>
      <c r="DQ19" s="258"/>
      <c r="DR19" s="258">
        <v>2</v>
      </c>
      <c r="DS19" s="258">
        <f t="shared" si="8"/>
        <v>2</v>
      </c>
      <c r="DT19" s="258"/>
      <c r="DU19" s="258"/>
      <c r="DV19" s="258"/>
      <c r="DW19" s="258"/>
      <c r="DX19" s="258"/>
      <c r="DY19" s="258"/>
      <c r="DZ19" s="258"/>
      <c r="EA19" s="258"/>
      <c r="EB19" s="258"/>
      <c r="EC19" s="258"/>
      <c r="ED19" s="258"/>
      <c r="EE19" s="258">
        <v>2</v>
      </c>
      <c r="EF19" s="258">
        <f t="shared" si="9"/>
        <v>2</v>
      </c>
      <c r="EG19" s="258"/>
      <c r="EH19" s="258"/>
      <c r="EI19" s="258"/>
      <c r="EJ19" s="258"/>
      <c r="EK19" s="258"/>
      <c r="EL19" s="258"/>
      <c r="EM19" s="258"/>
      <c r="EN19" s="258"/>
      <c r="EO19" s="258"/>
      <c r="EP19" s="258"/>
      <c r="EQ19" s="258"/>
      <c r="ER19" s="258">
        <v>2</v>
      </c>
      <c r="ES19" s="258">
        <f t="shared" si="10"/>
        <v>2</v>
      </c>
      <c r="ET19" s="259">
        <f t="shared" si="11"/>
        <v>10</v>
      </c>
      <c r="EU19" s="256"/>
      <c r="EV19" s="260"/>
      <c r="EW19" s="253"/>
      <c r="EX19" s="253"/>
      <c r="EY19" s="253"/>
      <c r="EZ19" s="253"/>
      <c r="FA19" s="253"/>
      <c r="FB19" s="253">
        <f t="shared" si="27"/>
        <v>0</v>
      </c>
      <c r="FC19" s="260"/>
      <c r="FD19" s="261"/>
      <c r="FE19" s="253"/>
      <c r="FF19" s="253"/>
      <c r="FG19" s="253"/>
      <c r="FH19" s="253"/>
      <c r="FI19" s="253"/>
      <c r="FJ19" s="253">
        <f t="shared" si="28"/>
        <v>0</v>
      </c>
      <c r="FK19" s="262"/>
      <c r="FL19" s="260"/>
      <c r="FM19" s="263"/>
      <c r="FN19" s="253"/>
      <c r="FO19" s="253"/>
      <c r="FP19" s="253"/>
      <c r="FQ19" s="253"/>
      <c r="FR19" s="253"/>
      <c r="FS19" s="253">
        <f t="shared" si="29"/>
        <v>0</v>
      </c>
      <c r="FT19" s="264"/>
      <c r="FU19" s="265">
        <v>0</v>
      </c>
      <c r="FV19" s="265">
        <v>0</v>
      </c>
      <c r="FW19" s="265">
        <f>IFERROR(VLOOKUP(G19,[3]CEI_032018!$A$1:$U$509,9,FALSE),0)</f>
        <v>0</v>
      </c>
      <c r="FX19" s="265">
        <f>IFERROR(VLOOKUP(G19,[3]CEI_042018!$A$1:$U$493,9,FALSE),0)</f>
        <v>0</v>
      </c>
      <c r="FY19" s="265"/>
      <c r="FZ19" s="265"/>
      <c r="GA19" s="265"/>
      <c r="GB19" s="265"/>
      <c r="GC19" s="265"/>
      <c r="GD19" s="265"/>
      <c r="GE19" s="265"/>
      <c r="GF19" s="265"/>
      <c r="GG19" s="265">
        <f t="shared" si="15"/>
        <v>0</v>
      </c>
      <c r="GH19" s="265">
        <f>IFERROR(VLOOKUP(G19,[3]CEI_042018!$A$1:$U$493,12,FALSE),0)</f>
        <v>0</v>
      </c>
      <c r="GI19" s="265">
        <f t="shared" si="16"/>
        <v>0</v>
      </c>
      <c r="GJ19" s="265">
        <f t="shared" si="17"/>
        <v>6</v>
      </c>
      <c r="GK19" s="265">
        <f>IFERROR(IF('[3]TESTE TESTE'!$Z$3=1,SUM(FU19),IF('[3]TESTE TESTE'!$Z$3=2,SUM(FU19:FV19),IF('[3]TESTE TESTE'!$Z$3=3,SUM(FU19:FW19),IF('[3]TESTE TESTE'!$Z$3=4,SUM(FU19:FX19),IF('[3]TESTE TESTE'!$Z$3=5,SUM(FU19:FY19),IF('[3]TESTE TESTE'!$Z$3=6,SUM(FU19:FZ19),IF('[3]TESTE TESTE'!$Z$3=7,SUM(FU19:GA19),IF('[3]TESTE TESTE'!$Z$3=8,SUM(FU19:GB19),IF('[3]TESTE TESTE'!$Z$3=9,SUM(FU19:GC19),IF('[3]TESTE TESTE'!$Z$3=10,SUM(FU19:GD19),IF('[3]TESTE TESTE'!$Z$3=11,SUM(FU19:GE19),IF('[3]TESTE TESTE'!$Z$3=12,SUM(FU19:GF19,))))))))))))),"")</f>
        <v>0</v>
      </c>
      <c r="GL19" s="265">
        <f>IFERROR(IF('[3]TESTE TESTE'!$Z$3=1,SUM(P19),IF('[3]TESTE TESTE'!$Z$3=2,SUM(P19:Q19),IF('[3]TESTE TESTE'!$Z$3=3,SUM(P19:R19),IF('[3]TESTE TESTE'!$Z$3=4,SUM(P19:S19),IF('[3]TESTE TESTE'!$Z$3=5,SUM(P19:T19),IF('[3]TESTE TESTE'!$Z$3=6,SUM(P19:U19),IF('[3]TESTE TESTE'!$Z$3=7,SUM(P19:V19),IF('[3]TESTE TESTE'!$Z$3=8,SUM(P19:W19),IF('[3]TESTE TESTE'!$Z$3=9,SUM(P19:X19),IF('[3]TESTE TESTE'!$Z$3=10,SUM(P19:Y19),IF('[3]TESTE TESTE'!$Z$3=11,SUM(P19:Z19),IF('[3]TESTE TESTE'!$Z$3=12,SUM(P19:AA19,))))))))))))),"")</f>
        <v>6</v>
      </c>
    </row>
    <row r="20" spans="1:194" s="266" customFormat="1" ht="12.95" customHeight="1" x14ac:dyDescent="0.2">
      <c r="A20" s="498"/>
      <c r="B20" s="166" t="s">
        <v>55</v>
      </c>
      <c r="C20" s="167" t="s">
        <v>39</v>
      </c>
      <c r="D20" s="166" t="s">
        <v>59</v>
      </c>
      <c r="E20" s="166" t="s">
        <v>205</v>
      </c>
      <c r="F20" s="167" t="s">
        <v>211</v>
      </c>
      <c r="G20" s="168" t="s">
        <v>57</v>
      </c>
      <c r="H20" s="168"/>
      <c r="I20" s="166" t="s">
        <v>226</v>
      </c>
      <c r="J20" s="166" t="s">
        <v>227</v>
      </c>
      <c r="K20" s="166" t="s">
        <v>228</v>
      </c>
      <c r="L20" s="166" t="s">
        <v>229</v>
      </c>
      <c r="M20" s="166"/>
      <c r="N20" s="166" t="s">
        <v>230</v>
      </c>
      <c r="O20" s="251"/>
      <c r="P20" s="252"/>
      <c r="Q20" s="253"/>
      <c r="R20" s="253"/>
      <c r="S20" s="253"/>
      <c r="T20" s="253"/>
      <c r="U20" s="253"/>
      <c r="V20" s="253"/>
      <c r="W20" s="253"/>
      <c r="X20" s="253"/>
      <c r="Y20" s="253">
        <v>5</v>
      </c>
      <c r="Z20" s="253"/>
      <c r="AA20" s="253"/>
      <c r="AB20" s="254">
        <f t="shared" si="18"/>
        <v>5</v>
      </c>
      <c r="AC20" s="253"/>
      <c r="AD20" s="253"/>
      <c r="AE20" s="253"/>
      <c r="AF20" s="253"/>
      <c r="AG20" s="253"/>
      <c r="AH20" s="253"/>
      <c r="AI20" s="253"/>
      <c r="AJ20" s="253"/>
      <c r="AK20" s="253"/>
      <c r="AL20" s="253"/>
      <c r="AM20" s="253"/>
      <c r="AN20" s="253"/>
      <c r="AO20" s="253">
        <f t="shared" si="19"/>
        <v>0</v>
      </c>
      <c r="AP20" s="253"/>
      <c r="AQ20" s="253"/>
      <c r="AR20" s="253"/>
      <c r="AS20" s="253"/>
      <c r="AT20" s="253"/>
      <c r="AU20" s="253"/>
      <c r="AV20" s="253"/>
      <c r="AW20" s="253"/>
      <c r="AX20" s="253"/>
      <c r="AY20" s="253"/>
      <c r="AZ20" s="253"/>
      <c r="BA20" s="253"/>
      <c r="BB20" s="253">
        <f t="shared" si="20"/>
        <v>0</v>
      </c>
      <c r="BC20" s="253"/>
      <c r="BD20" s="253"/>
      <c r="BE20" s="253"/>
      <c r="BF20" s="253"/>
      <c r="BG20" s="253"/>
      <c r="BH20" s="253"/>
      <c r="BI20" s="253"/>
      <c r="BJ20" s="253"/>
      <c r="BK20" s="253"/>
      <c r="BL20" s="253"/>
      <c r="BM20" s="253"/>
      <c r="BN20" s="253"/>
      <c r="BO20" s="253">
        <f t="shared" si="21"/>
        <v>0</v>
      </c>
      <c r="BP20" s="253"/>
      <c r="BQ20" s="253"/>
      <c r="BR20" s="253"/>
      <c r="BS20" s="253"/>
      <c r="BT20" s="253"/>
      <c r="BU20" s="253"/>
      <c r="BV20" s="253"/>
      <c r="BW20" s="253"/>
      <c r="BX20" s="253"/>
      <c r="BY20" s="253"/>
      <c r="BZ20" s="253"/>
      <c r="CA20" s="253"/>
      <c r="CB20" s="253">
        <f t="shared" si="22"/>
        <v>0</v>
      </c>
      <c r="CC20" s="278">
        <f t="shared" si="5"/>
        <v>5</v>
      </c>
      <c r="CD20" s="255"/>
      <c r="CE20" s="256"/>
      <c r="CF20" s="257" t="s">
        <v>71</v>
      </c>
      <c r="CG20" s="258"/>
      <c r="CH20" s="258"/>
      <c r="CI20" s="258"/>
      <c r="CJ20" s="258"/>
      <c r="CK20" s="258"/>
      <c r="CL20" s="258"/>
      <c r="CM20" s="258"/>
      <c r="CN20" s="258"/>
      <c r="CO20" s="258"/>
      <c r="CP20" s="258">
        <v>1</v>
      </c>
      <c r="CQ20" s="258"/>
      <c r="CR20" s="258"/>
      <c r="CS20" s="258">
        <f t="shared" si="6"/>
        <v>1</v>
      </c>
      <c r="CT20" s="258"/>
      <c r="CU20" s="258"/>
      <c r="CV20" s="258"/>
      <c r="CW20" s="258"/>
      <c r="CX20" s="258"/>
      <c r="CY20" s="258"/>
      <c r="CZ20" s="258"/>
      <c r="DA20" s="258"/>
      <c r="DB20" s="258"/>
      <c r="DC20" s="258"/>
      <c r="DD20" s="258"/>
      <c r="DE20" s="258"/>
      <c r="DF20" s="258">
        <f t="shared" si="7"/>
        <v>0</v>
      </c>
      <c r="DG20" s="258"/>
      <c r="DH20" s="258"/>
      <c r="DI20" s="258"/>
      <c r="DJ20" s="258"/>
      <c r="DK20" s="258"/>
      <c r="DL20" s="258"/>
      <c r="DM20" s="258"/>
      <c r="DN20" s="258"/>
      <c r="DO20" s="258"/>
      <c r="DP20" s="258"/>
      <c r="DQ20" s="258"/>
      <c r="DR20" s="258"/>
      <c r="DS20" s="258">
        <f t="shared" si="8"/>
        <v>0</v>
      </c>
      <c r="DT20" s="258"/>
      <c r="DU20" s="258"/>
      <c r="DV20" s="258"/>
      <c r="DW20" s="258"/>
      <c r="DX20" s="258"/>
      <c r="DY20" s="258"/>
      <c r="DZ20" s="258"/>
      <c r="EA20" s="258"/>
      <c r="EB20" s="258"/>
      <c r="EC20" s="258"/>
      <c r="ED20" s="258"/>
      <c r="EE20" s="258"/>
      <c r="EF20" s="258">
        <f t="shared" si="9"/>
        <v>0</v>
      </c>
      <c r="EG20" s="258"/>
      <c r="EH20" s="258"/>
      <c r="EI20" s="258"/>
      <c r="EJ20" s="258"/>
      <c r="EK20" s="258"/>
      <c r="EL20" s="258"/>
      <c r="EM20" s="258"/>
      <c r="EN20" s="258"/>
      <c r="EO20" s="258"/>
      <c r="EP20" s="258"/>
      <c r="EQ20" s="258"/>
      <c r="ER20" s="258"/>
      <c r="ES20" s="258">
        <f t="shared" si="10"/>
        <v>0</v>
      </c>
      <c r="ET20" s="259">
        <f t="shared" si="11"/>
        <v>1</v>
      </c>
      <c r="EU20" s="256"/>
      <c r="EV20" s="260"/>
      <c r="EW20" s="253"/>
      <c r="EX20" s="253"/>
      <c r="EY20" s="253"/>
      <c r="EZ20" s="253"/>
      <c r="FA20" s="253"/>
      <c r="FB20" s="253">
        <f t="shared" si="27"/>
        <v>0</v>
      </c>
      <c r="FC20" s="260"/>
      <c r="FD20" s="261"/>
      <c r="FE20" s="253"/>
      <c r="FF20" s="253"/>
      <c r="FG20" s="253"/>
      <c r="FH20" s="253"/>
      <c r="FI20" s="253"/>
      <c r="FJ20" s="253">
        <f t="shared" si="28"/>
        <v>0</v>
      </c>
      <c r="FK20" s="262"/>
      <c r="FL20" s="260"/>
      <c r="FM20" s="263"/>
      <c r="FN20" s="253"/>
      <c r="FO20" s="253"/>
      <c r="FP20" s="253"/>
      <c r="FQ20" s="253"/>
      <c r="FR20" s="253"/>
      <c r="FS20" s="253">
        <f t="shared" si="29"/>
        <v>0</v>
      </c>
      <c r="FT20" s="264"/>
      <c r="FU20" s="265">
        <v>0</v>
      </c>
      <c r="FV20" s="265">
        <v>0</v>
      </c>
      <c r="FW20" s="265">
        <f>IFERROR(VLOOKUP(G20,[3]CEI_032018!$A$1:$U$509,9,FALSE),0)</f>
        <v>0</v>
      </c>
      <c r="FX20" s="265">
        <f>IFERROR(VLOOKUP(G20,[3]CEI_042018!$A$1:$U$493,9,FALSE),0)</f>
        <v>0</v>
      </c>
      <c r="FY20" s="265"/>
      <c r="FZ20" s="265"/>
      <c r="GA20" s="265"/>
      <c r="GB20" s="265"/>
      <c r="GC20" s="265"/>
      <c r="GD20" s="265"/>
      <c r="GE20" s="265"/>
      <c r="GF20" s="265"/>
      <c r="GG20" s="265">
        <f t="shared" si="15"/>
        <v>0</v>
      </c>
      <c r="GH20" s="265">
        <f>IFERROR(VLOOKUP(G20,[3]CEI_042018!$A$1:$U$493,12,FALSE),0)</f>
        <v>0</v>
      </c>
      <c r="GI20" s="265">
        <f t="shared" si="16"/>
        <v>0</v>
      </c>
      <c r="GJ20" s="265">
        <f t="shared" si="17"/>
        <v>5</v>
      </c>
      <c r="GK20" s="265">
        <f>IFERROR(IF('[3]TESTE TESTE'!$Z$3=1,SUM(FU20),IF('[3]TESTE TESTE'!$Z$3=2,SUM(FU20:FV20),IF('[3]TESTE TESTE'!$Z$3=3,SUM(FU20:FW20),IF('[3]TESTE TESTE'!$Z$3=4,SUM(FU20:FX20),IF('[3]TESTE TESTE'!$Z$3=5,SUM(FU20:FY20),IF('[3]TESTE TESTE'!$Z$3=6,SUM(FU20:FZ20),IF('[3]TESTE TESTE'!$Z$3=7,SUM(FU20:GA20),IF('[3]TESTE TESTE'!$Z$3=8,SUM(FU20:GB20),IF('[3]TESTE TESTE'!$Z$3=9,SUM(FU20:GC20),IF('[3]TESTE TESTE'!$Z$3=10,SUM(FU20:GD20),IF('[3]TESTE TESTE'!$Z$3=11,SUM(FU20:GE20),IF('[3]TESTE TESTE'!$Z$3=12,SUM(FU20:GF20,))))))))))))),"")</f>
        <v>0</v>
      </c>
      <c r="GL20" s="265">
        <f>IFERROR(IF('[3]TESTE TESTE'!$Z$3=1,SUM(P20),IF('[3]TESTE TESTE'!$Z$3=2,SUM(P20:Q20),IF('[3]TESTE TESTE'!$Z$3=3,SUM(P20:R20),IF('[3]TESTE TESTE'!$Z$3=4,SUM(P20:S20),IF('[3]TESTE TESTE'!$Z$3=5,SUM(P20:T20),IF('[3]TESTE TESTE'!$Z$3=6,SUM(P20:U20),IF('[3]TESTE TESTE'!$Z$3=7,SUM(P20:V20),IF('[3]TESTE TESTE'!$Z$3=8,SUM(P20:W20),IF('[3]TESTE TESTE'!$Z$3=9,SUM(P20:X20),IF('[3]TESTE TESTE'!$Z$3=10,SUM(P20:Y20),IF('[3]TESTE TESTE'!$Z$3=11,SUM(P20:Z20),IF('[3]TESTE TESTE'!$Z$3=12,SUM(P20:AA20,))))))))))))),"")</f>
        <v>5</v>
      </c>
    </row>
    <row r="21" spans="1:194" s="266" customFormat="1" ht="12.95" customHeight="1" x14ac:dyDescent="0.2">
      <c r="A21" s="498"/>
      <c r="B21" s="166" t="s">
        <v>55</v>
      </c>
      <c r="C21" s="167" t="s">
        <v>39</v>
      </c>
      <c r="D21" s="166" t="s">
        <v>59</v>
      </c>
      <c r="E21" s="166" t="s">
        <v>205</v>
      </c>
      <c r="F21" s="167" t="s">
        <v>246</v>
      </c>
      <c r="G21" s="168" t="s">
        <v>57</v>
      </c>
      <c r="H21" s="168"/>
      <c r="I21" s="166" t="s">
        <v>514</v>
      </c>
      <c r="J21" s="166" t="s">
        <v>247</v>
      </c>
      <c r="K21" s="166" t="s">
        <v>248</v>
      </c>
      <c r="L21" s="166" t="s">
        <v>249</v>
      </c>
      <c r="M21" s="166"/>
      <c r="N21" s="166" t="s">
        <v>245</v>
      </c>
      <c r="O21" s="251"/>
      <c r="P21" s="252"/>
      <c r="Q21" s="253"/>
      <c r="R21" s="253"/>
      <c r="S21" s="253"/>
      <c r="T21" s="253"/>
      <c r="U21" s="253"/>
      <c r="V21" s="253"/>
      <c r="W21" s="253"/>
      <c r="X21" s="253"/>
      <c r="Y21" s="253">
        <v>2</v>
      </c>
      <c r="Z21" s="253"/>
      <c r="AA21" s="253"/>
      <c r="AB21" s="254">
        <f t="shared" si="18"/>
        <v>2</v>
      </c>
      <c r="AC21" s="253"/>
      <c r="AD21" s="253"/>
      <c r="AE21" s="253"/>
      <c r="AF21" s="253"/>
      <c r="AG21" s="253"/>
      <c r="AH21" s="253"/>
      <c r="AI21" s="253"/>
      <c r="AJ21" s="253"/>
      <c r="AK21" s="253"/>
      <c r="AL21" s="253"/>
      <c r="AM21" s="253"/>
      <c r="AN21" s="253">
        <v>2</v>
      </c>
      <c r="AO21" s="253">
        <f t="shared" si="19"/>
        <v>2</v>
      </c>
      <c r="AP21" s="253"/>
      <c r="AQ21" s="253"/>
      <c r="AR21" s="253"/>
      <c r="AS21" s="253"/>
      <c r="AT21" s="253"/>
      <c r="AU21" s="253"/>
      <c r="AV21" s="253"/>
      <c r="AW21" s="253"/>
      <c r="AX21" s="253"/>
      <c r="AY21" s="253"/>
      <c r="AZ21" s="253"/>
      <c r="BA21" s="253">
        <v>2</v>
      </c>
      <c r="BB21" s="253">
        <f t="shared" si="20"/>
        <v>2</v>
      </c>
      <c r="BC21" s="253"/>
      <c r="BD21" s="253"/>
      <c r="BE21" s="253"/>
      <c r="BF21" s="253"/>
      <c r="BG21" s="253"/>
      <c r="BH21" s="253"/>
      <c r="BI21" s="253"/>
      <c r="BJ21" s="253"/>
      <c r="BK21" s="253"/>
      <c r="BL21" s="253"/>
      <c r="BM21" s="253"/>
      <c r="BN21" s="253">
        <v>2</v>
      </c>
      <c r="BO21" s="253">
        <f t="shared" si="21"/>
        <v>2</v>
      </c>
      <c r="BP21" s="253"/>
      <c r="BQ21" s="253"/>
      <c r="BR21" s="253"/>
      <c r="BS21" s="253"/>
      <c r="BT21" s="253"/>
      <c r="BU21" s="253"/>
      <c r="BV21" s="253"/>
      <c r="BW21" s="253"/>
      <c r="BX21" s="253"/>
      <c r="BY21" s="253"/>
      <c r="BZ21" s="253"/>
      <c r="CA21" s="253">
        <v>2</v>
      </c>
      <c r="CB21" s="253">
        <f t="shared" si="22"/>
        <v>2</v>
      </c>
      <c r="CC21" s="278">
        <f t="shared" si="5"/>
        <v>10</v>
      </c>
      <c r="CD21" s="255"/>
      <c r="CE21" s="256"/>
      <c r="CF21" s="257" t="s">
        <v>71</v>
      </c>
      <c r="CG21" s="258"/>
      <c r="CH21" s="258"/>
      <c r="CI21" s="258"/>
      <c r="CJ21" s="258"/>
      <c r="CK21" s="258"/>
      <c r="CL21" s="258"/>
      <c r="CM21" s="258"/>
      <c r="CN21" s="258"/>
      <c r="CO21" s="258"/>
      <c r="CP21" s="258">
        <v>1</v>
      </c>
      <c r="CQ21" s="258"/>
      <c r="CR21" s="258"/>
      <c r="CS21" s="258">
        <f t="shared" si="6"/>
        <v>1</v>
      </c>
      <c r="CT21" s="258"/>
      <c r="CU21" s="258"/>
      <c r="CV21" s="258"/>
      <c r="CW21" s="258"/>
      <c r="CX21" s="258"/>
      <c r="CY21" s="258"/>
      <c r="CZ21" s="258"/>
      <c r="DA21" s="258"/>
      <c r="DB21" s="258"/>
      <c r="DC21" s="258"/>
      <c r="DD21" s="258"/>
      <c r="DE21" s="258">
        <v>1</v>
      </c>
      <c r="DF21" s="258">
        <f t="shared" si="7"/>
        <v>1</v>
      </c>
      <c r="DG21" s="258"/>
      <c r="DH21" s="258"/>
      <c r="DI21" s="258"/>
      <c r="DJ21" s="258"/>
      <c r="DK21" s="258"/>
      <c r="DL21" s="258"/>
      <c r="DM21" s="258"/>
      <c r="DN21" s="258"/>
      <c r="DO21" s="258"/>
      <c r="DP21" s="258"/>
      <c r="DQ21" s="258"/>
      <c r="DR21" s="258">
        <v>1</v>
      </c>
      <c r="DS21" s="258">
        <f t="shared" si="8"/>
        <v>1</v>
      </c>
      <c r="DT21" s="258"/>
      <c r="DU21" s="258"/>
      <c r="DV21" s="258"/>
      <c r="DW21" s="258"/>
      <c r="DX21" s="258"/>
      <c r="DY21" s="258"/>
      <c r="DZ21" s="258"/>
      <c r="EA21" s="258"/>
      <c r="EB21" s="258"/>
      <c r="EC21" s="258"/>
      <c r="ED21" s="258"/>
      <c r="EE21" s="258">
        <v>1</v>
      </c>
      <c r="EF21" s="258">
        <f t="shared" si="9"/>
        <v>1</v>
      </c>
      <c r="EG21" s="258"/>
      <c r="EH21" s="258"/>
      <c r="EI21" s="258"/>
      <c r="EJ21" s="258"/>
      <c r="EK21" s="258"/>
      <c r="EL21" s="258"/>
      <c r="EM21" s="258"/>
      <c r="EN21" s="258"/>
      <c r="EO21" s="258"/>
      <c r="EP21" s="258"/>
      <c r="EQ21" s="258"/>
      <c r="ER21" s="258">
        <v>1</v>
      </c>
      <c r="ES21" s="258">
        <f t="shared" si="10"/>
        <v>1</v>
      </c>
      <c r="ET21" s="259">
        <f t="shared" si="11"/>
        <v>5</v>
      </c>
      <c r="EU21" s="256"/>
      <c r="EV21" s="260"/>
      <c r="EW21" s="253"/>
      <c r="EX21" s="253"/>
      <c r="EY21" s="253"/>
      <c r="EZ21" s="253"/>
      <c r="FA21" s="253"/>
      <c r="FB21" s="253">
        <f t="shared" si="27"/>
        <v>0</v>
      </c>
      <c r="FC21" s="260"/>
      <c r="FD21" s="261"/>
      <c r="FE21" s="253"/>
      <c r="FF21" s="253"/>
      <c r="FG21" s="253"/>
      <c r="FH21" s="253"/>
      <c r="FI21" s="253"/>
      <c r="FJ21" s="253">
        <f t="shared" si="28"/>
        <v>0</v>
      </c>
      <c r="FK21" s="262"/>
      <c r="FL21" s="260"/>
      <c r="FM21" s="263"/>
      <c r="FN21" s="253"/>
      <c r="FO21" s="253"/>
      <c r="FP21" s="253"/>
      <c r="FQ21" s="253"/>
      <c r="FR21" s="253"/>
      <c r="FS21" s="253">
        <f t="shared" si="29"/>
        <v>0</v>
      </c>
      <c r="FT21" s="264"/>
      <c r="FU21" s="265">
        <v>0</v>
      </c>
      <c r="FV21" s="265">
        <v>0</v>
      </c>
      <c r="FW21" s="265">
        <f>IFERROR(VLOOKUP(G21,[3]CEI_032018!$A$1:$U$509,9,FALSE),0)</f>
        <v>0</v>
      </c>
      <c r="FX21" s="265">
        <f>IFERROR(VLOOKUP(G21,[3]CEI_042018!$A$1:$U$493,9,FALSE),0)</f>
        <v>0</v>
      </c>
      <c r="FY21" s="265"/>
      <c r="FZ21" s="265"/>
      <c r="GA21" s="265"/>
      <c r="GB21" s="265"/>
      <c r="GC21" s="265"/>
      <c r="GD21" s="265"/>
      <c r="GE21" s="265"/>
      <c r="GF21" s="265"/>
      <c r="GG21" s="265">
        <f t="shared" si="15"/>
        <v>0</v>
      </c>
      <c r="GH21" s="265">
        <f>IFERROR(VLOOKUP(G21,[3]CEI_042018!$A$1:$U$493,12,FALSE),0)</f>
        <v>0</v>
      </c>
      <c r="GI21" s="265">
        <f t="shared" si="16"/>
        <v>0</v>
      </c>
      <c r="GJ21" s="265">
        <f t="shared" si="17"/>
        <v>2</v>
      </c>
      <c r="GK21" s="265">
        <f>IFERROR(IF('[3]TESTE TESTE'!$Z$3=1,SUM(FU21),IF('[3]TESTE TESTE'!$Z$3=2,SUM(FU21:FV21),IF('[3]TESTE TESTE'!$Z$3=3,SUM(FU21:FW21),IF('[3]TESTE TESTE'!$Z$3=4,SUM(FU21:FX21),IF('[3]TESTE TESTE'!$Z$3=5,SUM(FU21:FY21),IF('[3]TESTE TESTE'!$Z$3=6,SUM(FU21:FZ21),IF('[3]TESTE TESTE'!$Z$3=7,SUM(FU21:GA21),IF('[3]TESTE TESTE'!$Z$3=8,SUM(FU21:GB21),IF('[3]TESTE TESTE'!$Z$3=9,SUM(FU21:GC21),IF('[3]TESTE TESTE'!$Z$3=10,SUM(FU21:GD21),IF('[3]TESTE TESTE'!$Z$3=11,SUM(FU21:GE21),IF('[3]TESTE TESTE'!$Z$3=12,SUM(FU21:GF21,))))))))))))),"")</f>
        <v>0</v>
      </c>
      <c r="GL21" s="265">
        <f>IFERROR(IF('[3]TESTE TESTE'!$Z$3=1,SUM(P21),IF('[3]TESTE TESTE'!$Z$3=2,SUM(P21:Q21),IF('[3]TESTE TESTE'!$Z$3=3,SUM(P21:R21),IF('[3]TESTE TESTE'!$Z$3=4,SUM(P21:S21),IF('[3]TESTE TESTE'!$Z$3=5,SUM(P21:T21),IF('[3]TESTE TESTE'!$Z$3=6,SUM(P21:U21),IF('[3]TESTE TESTE'!$Z$3=7,SUM(P21:V21),IF('[3]TESTE TESTE'!$Z$3=8,SUM(P21:W21),IF('[3]TESTE TESTE'!$Z$3=9,SUM(P21:X21),IF('[3]TESTE TESTE'!$Z$3=10,SUM(P21:Y21),IF('[3]TESTE TESTE'!$Z$3=11,SUM(P21:Z21),IF('[3]TESTE TESTE'!$Z$3=12,SUM(P21:AA21,))))))))))))),"")</f>
        <v>2</v>
      </c>
    </row>
    <row r="22" spans="1:194" s="245" customFormat="1" ht="12.95" customHeight="1" x14ac:dyDescent="0.2">
      <c r="A22" s="493" t="s">
        <v>1365</v>
      </c>
      <c r="B22" s="162" t="s">
        <v>55</v>
      </c>
      <c r="C22" s="163" t="s">
        <v>43</v>
      </c>
      <c r="D22" s="162" t="s">
        <v>56</v>
      </c>
      <c r="E22" s="162" t="s">
        <v>54</v>
      </c>
      <c r="F22" s="163" t="s">
        <v>451</v>
      </c>
      <c r="G22" s="267" t="s">
        <v>1365</v>
      </c>
      <c r="H22" s="267" t="s">
        <v>1424</v>
      </c>
      <c r="I22" s="162" t="s">
        <v>639</v>
      </c>
      <c r="J22" s="162" t="s">
        <v>638</v>
      </c>
      <c r="K22" s="162" t="s">
        <v>633</v>
      </c>
      <c r="L22" s="162" t="s">
        <v>634</v>
      </c>
      <c r="M22" s="162"/>
      <c r="N22" s="162" t="s">
        <v>299</v>
      </c>
      <c r="O22" s="230"/>
      <c r="P22" s="231"/>
      <c r="Q22" s="232"/>
      <c r="R22" s="232"/>
      <c r="S22" s="232"/>
      <c r="T22" s="232"/>
      <c r="U22" s="232"/>
      <c r="V22" s="232"/>
      <c r="W22" s="232"/>
      <c r="X22" s="232"/>
      <c r="Y22" s="232">
        <v>600</v>
      </c>
      <c r="Z22" s="232"/>
      <c r="AA22" s="232"/>
      <c r="AB22" s="233">
        <f t="shared" si="18"/>
        <v>600</v>
      </c>
      <c r="AC22" s="232"/>
      <c r="AD22" s="232"/>
      <c r="AE22" s="232"/>
      <c r="AF22" s="232"/>
      <c r="AG22" s="232"/>
      <c r="AH22" s="232"/>
      <c r="AI22" s="232"/>
      <c r="AJ22" s="232"/>
      <c r="AK22" s="232"/>
      <c r="AL22" s="232"/>
      <c r="AM22" s="232"/>
      <c r="AN22" s="232"/>
      <c r="AO22" s="232">
        <f t="shared" si="19"/>
        <v>0</v>
      </c>
      <c r="AP22" s="232">
        <v>600</v>
      </c>
      <c r="AQ22" s="232"/>
      <c r="AR22" s="232"/>
      <c r="AS22" s="232"/>
      <c r="AT22" s="232"/>
      <c r="AU22" s="232"/>
      <c r="AV22" s="232"/>
      <c r="AW22" s="232"/>
      <c r="AX22" s="232"/>
      <c r="AY22" s="232"/>
      <c r="AZ22" s="232"/>
      <c r="BA22" s="232"/>
      <c r="BB22" s="232">
        <f t="shared" si="20"/>
        <v>600</v>
      </c>
      <c r="BC22" s="232"/>
      <c r="BD22" s="232"/>
      <c r="BE22" s="232"/>
      <c r="BF22" s="232"/>
      <c r="BG22" s="232"/>
      <c r="BH22" s="232"/>
      <c r="BI22" s="232"/>
      <c r="BJ22" s="232"/>
      <c r="BK22" s="232"/>
      <c r="BL22" s="232"/>
      <c r="BM22" s="232"/>
      <c r="BN22" s="232"/>
      <c r="BO22" s="232">
        <f t="shared" si="21"/>
        <v>0</v>
      </c>
      <c r="BP22" s="232"/>
      <c r="BQ22" s="232"/>
      <c r="BR22" s="232"/>
      <c r="BS22" s="232"/>
      <c r="BT22" s="232"/>
      <c r="BU22" s="232"/>
      <c r="BV22" s="232"/>
      <c r="BW22" s="232"/>
      <c r="BX22" s="232"/>
      <c r="BY22" s="232"/>
      <c r="BZ22" s="232"/>
      <c r="CA22" s="232"/>
      <c r="CB22" s="232">
        <f t="shared" si="22"/>
        <v>0</v>
      </c>
      <c r="CC22" s="279">
        <f t="shared" si="5"/>
        <v>1200</v>
      </c>
      <c r="CD22" s="234"/>
      <c r="CE22" s="235"/>
      <c r="CF22" s="236" t="s">
        <v>71</v>
      </c>
      <c r="CG22" s="237"/>
      <c r="CH22" s="237"/>
      <c r="CI22" s="237"/>
      <c r="CJ22" s="237"/>
      <c r="CK22" s="237"/>
      <c r="CL22" s="237"/>
      <c r="CM22" s="237"/>
      <c r="CN22" s="237"/>
      <c r="CO22" s="237"/>
      <c r="CP22" s="237">
        <v>1</v>
      </c>
      <c r="CQ22" s="237"/>
      <c r="CR22" s="237"/>
      <c r="CS22" s="237">
        <f t="shared" si="6"/>
        <v>1</v>
      </c>
      <c r="CT22" s="237"/>
      <c r="CU22" s="237"/>
      <c r="CV22" s="237"/>
      <c r="CW22" s="237"/>
      <c r="CX22" s="237"/>
      <c r="CY22" s="237"/>
      <c r="CZ22" s="237"/>
      <c r="DA22" s="237"/>
      <c r="DB22" s="237"/>
      <c r="DC22" s="237"/>
      <c r="DD22" s="237"/>
      <c r="DE22" s="237"/>
      <c r="DF22" s="237">
        <f t="shared" si="7"/>
        <v>0</v>
      </c>
      <c r="DG22" s="237"/>
      <c r="DH22" s="237">
        <v>1</v>
      </c>
      <c r="DI22" s="237"/>
      <c r="DJ22" s="237"/>
      <c r="DK22" s="237"/>
      <c r="DL22" s="237"/>
      <c r="DM22" s="237"/>
      <c r="DN22" s="237"/>
      <c r="DO22" s="237"/>
      <c r="DP22" s="237"/>
      <c r="DQ22" s="237"/>
      <c r="DR22" s="237"/>
      <c r="DS22" s="237">
        <f t="shared" si="8"/>
        <v>1</v>
      </c>
      <c r="DT22" s="237">
        <v>1</v>
      </c>
      <c r="DU22" s="237"/>
      <c r="DV22" s="237"/>
      <c r="DW22" s="237"/>
      <c r="DX22" s="237"/>
      <c r="DY22" s="237"/>
      <c r="DZ22" s="237"/>
      <c r="EA22" s="237"/>
      <c r="EB22" s="237"/>
      <c r="EC22" s="237"/>
      <c r="ED22" s="237"/>
      <c r="EE22" s="237"/>
      <c r="EF22" s="237">
        <f t="shared" si="9"/>
        <v>1</v>
      </c>
      <c r="EG22" s="237"/>
      <c r="EH22" s="237"/>
      <c r="EI22" s="237"/>
      <c r="EJ22" s="237"/>
      <c r="EK22" s="237"/>
      <c r="EL22" s="237"/>
      <c r="EM22" s="237"/>
      <c r="EN22" s="237"/>
      <c r="EO22" s="237"/>
      <c r="EP22" s="237"/>
      <c r="EQ22" s="237"/>
      <c r="ER22" s="237"/>
      <c r="ES22" s="237">
        <f t="shared" si="10"/>
        <v>0</v>
      </c>
      <c r="ET22" s="238">
        <f t="shared" si="11"/>
        <v>3</v>
      </c>
      <c r="EU22" s="235"/>
      <c r="EV22" s="239"/>
      <c r="EW22" s="232"/>
      <c r="EX22" s="232"/>
      <c r="EY22" s="232"/>
      <c r="EZ22" s="232"/>
      <c r="FA22" s="232"/>
      <c r="FB22" s="232">
        <f t="shared" si="27"/>
        <v>0</v>
      </c>
      <c r="FC22" s="239"/>
      <c r="FD22" s="240"/>
      <c r="FE22" s="232"/>
      <c r="FF22" s="232"/>
      <c r="FG22" s="232"/>
      <c r="FH22" s="232"/>
      <c r="FI22" s="232"/>
      <c r="FJ22" s="232">
        <f t="shared" si="28"/>
        <v>0</v>
      </c>
      <c r="FK22" s="241"/>
      <c r="FL22" s="239"/>
      <c r="FM22" s="242"/>
      <c r="FN22" s="232"/>
      <c r="FO22" s="232"/>
      <c r="FP22" s="232"/>
      <c r="FQ22" s="232"/>
      <c r="FR22" s="232"/>
      <c r="FS22" s="232">
        <f t="shared" ref="FS22:FS23" si="30">SUM(FN22:FR22)</f>
        <v>0</v>
      </c>
      <c r="FT22" s="243"/>
      <c r="FU22" s="244">
        <v>0</v>
      </c>
      <c r="FV22" s="244">
        <v>0</v>
      </c>
      <c r="FW22" s="244">
        <f>IFERROR(VLOOKUP(G22,[3]CEI_032018!$A$1:$U$509,9,FALSE),0)</f>
        <v>0</v>
      </c>
      <c r="FX22" s="244">
        <f>IFERROR(VLOOKUP(G22,[3]CEI_042018!$A$1:$U$493,9,FALSE),0)</f>
        <v>0</v>
      </c>
      <c r="FY22" s="244"/>
      <c r="FZ22" s="244"/>
      <c r="GA22" s="244"/>
      <c r="GB22" s="244"/>
      <c r="GC22" s="244"/>
      <c r="GD22" s="244"/>
      <c r="GE22" s="244"/>
      <c r="GF22" s="244"/>
      <c r="GG22" s="244">
        <f t="shared" si="15"/>
        <v>0</v>
      </c>
      <c r="GH22" s="244">
        <f>IFERROR(VLOOKUP(G22,[3]CEI_042018!$A$1:$U$493,12,FALSE),0)</f>
        <v>0</v>
      </c>
      <c r="GI22" s="244">
        <f t="shared" si="16"/>
        <v>0</v>
      </c>
      <c r="GJ22" s="244">
        <f t="shared" si="17"/>
        <v>600</v>
      </c>
      <c r="GK22" s="244">
        <f>IFERROR(IF('[3]TESTE TESTE'!$Z$3=1,SUM(FU22),IF('[3]TESTE TESTE'!$Z$3=2,SUM(FU22:FV22),IF('[3]TESTE TESTE'!$Z$3=3,SUM(FU22:FW22),IF('[3]TESTE TESTE'!$Z$3=4,SUM(FU22:FX22),IF('[3]TESTE TESTE'!$Z$3=5,SUM(FU22:FY22),IF('[3]TESTE TESTE'!$Z$3=6,SUM(FU22:FZ22),IF('[3]TESTE TESTE'!$Z$3=7,SUM(FU22:GA22),IF('[3]TESTE TESTE'!$Z$3=8,SUM(FU22:GB22),IF('[3]TESTE TESTE'!$Z$3=9,SUM(FU22:GC22),IF('[3]TESTE TESTE'!$Z$3=10,SUM(FU22:GD22),IF('[3]TESTE TESTE'!$Z$3=11,SUM(FU22:GE22),IF('[3]TESTE TESTE'!$Z$3=12,SUM(FU22:GF22,))))))))))))),"")</f>
        <v>0</v>
      </c>
      <c r="GL22" s="244">
        <f>IFERROR(IF('[3]TESTE TESTE'!$Z$3=1,SUM(P22),IF('[3]TESTE TESTE'!$Z$3=2,SUM(P22:Q22),IF('[3]TESTE TESTE'!$Z$3=3,SUM(P22:R22),IF('[3]TESTE TESTE'!$Z$3=4,SUM(P22:S22),IF('[3]TESTE TESTE'!$Z$3=5,SUM(P22:T22),IF('[3]TESTE TESTE'!$Z$3=6,SUM(P22:U22),IF('[3]TESTE TESTE'!$Z$3=7,SUM(P22:V22),IF('[3]TESTE TESTE'!$Z$3=8,SUM(P22:W22),IF('[3]TESTE TESTE'!$Z$3=9,SUM(P22:X22),IF('[3]TESTE TESTE'!$Z$3=10,SUM(P22:Y22),IF('[3]TESTE TESTE'!$Z$3=11,SUM(P22:Z22),IF('[3]TESTE TESTE'!$Z$3=12,SUM(P22:AA22,))))))))))))),"")</f>
        <v>600</v>
      </c>
    </row>
    <row r="23" spans="1:194" s="245" customFormat="1" ht="12.95" customHeight="1" x14ac:dyDescent="0.2">
      <c r="A23" s="493"/>
      <c r="B23" s="163" t="s">
        <v>55</v>
      </c>
      <c r="C23" s="163" t="s">
        <v>43</v>
      </c>
      <c r="D23" s="162" t="s">
        <v>56</v>
      </c>
      <c r="E23" s="162" t="s">
        <v>54</v>
      </c>
      <c r="F23" s="163" t="s">
        <v>451</v>
      </c>
      <c r="G23" s="267" t="s">
        <v>1365</v>
      </c>
      <c r="H23" s="267" t="s">
        <v>1424</v>
      </c>
      <c r="I23" s="162" t="s">
        <v>636</v>
      </c>
      <c r="J23" s="162" t="s">
        <v>637</v>
      </c>
      <c r="K23" s="162" t="s">
        <v>633</v>
      </c>
      <c r="L23" s="162" t="s">
        <v>634</v>
      </c>
      <c r="M23" s="162"/>
      <c r="N23" s="162" t="s">
        <v>299</v>
      </c>
      <c r="O23" s="230"/>
      <c r="P23" s="231"/>
      <c r="Q23" s="232"/>
      <c r="R23" s="232"/>
      <c r="S23" s="232"/>
      <c r="T23" s="232"/>
      <c r="U23" s="232"/>
      <c r="V23" s="232"/>
      <c r="W23" s="232"/>
      <c r="X23" s="232"/>
      <c r="Y23" s="232">
        <v>120</v>
      </c>
      <c r="Z23" s="232"/>
      <c r="AA23" s="232"/>
      <c r="AB23" s="233">
        <f t="shared" si="18"/>
        <v>120</v>
      </c>
      <c r="AC23" s="232"/>
      <c r="AD23" s="232"/>
      <c r="AE23" s="232"/>
      <c r="AF23" s="232"/>
      <c r="AG23" s="232"/>
      <c r="AH23" s="232"/>
      <c r="AI23" s="232"/>
      <c r="AJ23" s="232"/>
      <c r="AK23" s="232"/>
      <c r="AL23" s="232"/>
      <c r="AM23" s="232"/>
      <c r="AN23" s="232"/>
      <c r="AO23" s="232">
        <f t="shared" si="19"/>
        <v>0</v>
      </c>
      <c r="AP23" s="232">
        <v>120</v>
      </c>
      <c r="AQ23" s="232"/>
      <c r="AR23" s="232"/>
      <c r="AS23" s="232"/>
      <c r="AT23" s="232"/>
      <c r="AU23" s="232"/>
      <c r="AV23" s="232"/>
      <c r="AW23" s="232"/>
      <c r="AX23" s="232"/>
      <c r="AY23" s="232"/>
      <c r="AZ23" s="232"/>
      <c r="BA23" s="232"/>
      <c r="BB23" s="232">
        <f t="shared" si="20"/>
        <v>120</v>
      </c>
      <c r="BC23" s="232"/>
      <c r="BD23" s="232"/>
      <c r="BE23" s="232"/>
      <c r="BF23" s="232"/>
      <c r="BG23" s="232"/>
      <c r="BH23" s="232"/>
      <c r="BI23" s="232"/>
      <c r="BJ23" s="232"/>
      <c r="BK23" s="232"/>
      <c r="BL23" s="232"/>
      <c r="BM23" s="232"/>
      <c r="BN23" s="232"/>
      <c r="BO23" s="232">
        <f t="shared" si="21"/>
        <v>0</v>
      </c>
      <c r="BP23" s="232"/>
      <c r="BQ23" s="232"/>
      <c r="BR23" s="232"/>
      <c r="BS23" s="232"/>
      <c r="BT23" s="232"/>
      <c r="BU23" s="232"/>
      <c r="BV23" s="232"/>
      <c r="BW23" s="232"/>
      <c r="BX23" s="232"/>
      <c r="BY23" s="232"/>
      <c r="BZ23" s="232"/>
      <c r="CA23" s="232"/>
      <c r="CB23" s="232">
        <f t="shared" si="22"/>
        <v>0</v>
      </c>
      <c r="CC23" s="279">
        <f t="shared" si="5"/>
        <v>240</v>
      </c>
      <c r="CD23" s="234"/>
      <c r="CE23" s="235"/>
      <c r="CF23" s="236" t="s">
        <v>71</v>
      </c>
      <c r="CG23" s="237"/>
      <c r="CH23" s="237"/>
      <c r="CI23" s="237"/>
      <c r="CJ23" s="237"/>
      <c r="CK23" s="237"/>
      <c r="CL23" s="237"/>
      <c r="CM23" s="237"/>
      <c r="CN23" s="237"/>
      <c r="CO23" s="237"/>
      <c r="CP23" s="237">
        <v>1</v>
      </c>
      <c r="CQ23" s="237"/>
      <c r="CR23" s="237"/>
      <c r="CS23" s="237">
        <f t="shared" si="6"/>
        <v>1</v>
      </c>
      <c r="CT23" s="237"/>
      <c r="CU23" s="237"/>
      <c r="CV23" s="237"/>
      <c r="CW23" s="237"/>
      <c r="CX23" s="237"/>
      <c r="CY23" s="237"/>
      <c r="CZ23" s="237"/>
      <c r="DA23" s="237"/>
      <c r="DB23" s="237"/>
      <c r="DC23" s="237"/>
      <c r="DD23" s="237"/>
      <c r="DE23" s="237"/>
      <c r="DF23" s="237">
        <f t="shared" si="7"/>
        <v>0</v>
      </c>
      <c r="DG23" s="237"/>
      <c r="DH23" s="237">
        <v>1</v>
      </c>
      <c r="DI23" s="237"/>
      <c r="DJ23" s="237"/>
      <c r="DK23" s="237"/>
      <c r="DL23" s="237"/>
      <c r="DM23" s="237"/>
      <c r="DN23" s="237"/>
      <c r="DO23" s="237"/>
      <c r="DP23" s="237"/>
      <c r="DQ23" s="237"/>
      <c r="DR23" s="237"/>
      <c r="DS23" s="237">
        <f t="shared" si="8"/>
        <v>1</v>
      </c>
      <c r="DT23" s="237">
        <v>1</v>
      </c>
      <c r="DU23" s="237"/>
      <c r="DV23" s="237"/>
      <c r="DW23" s="237"/>
      <c r="DX23" s="237"/>
      <c r="DY23" s="237"/>
      <c r="DZ23" s="237"/>
      <c r="EA23" s="237"/>
      <c r="EB23" s="237"/>
      <c r="EC23" s="237"/>
      <c r="ED23" s="237"/>
      <c r="EE23" s="237"/>
      <c r="EF23" s="237">
        <f t="shared" si="9"/>
        <v>1</v>
      </c>
      <c r="EG23" s="237"/>
      <c r="EH23" s="237"/>
      <c r="EI23" s="237"/>
      <c r="EJ23" s="237"/>
      <c r="EK23" s="237"/>
      <c r="EL23" s="237"/>
      <c r="EM23" s="237"/>
      <c r="EN23" s="237"/>
      <c r="EO23" s="237"/>
      <c r="EP23" s="237"/>
      <c r="EQ23" s="237"/>
      <c r="ER23" s="237"/>
      <c r="ES23" s="237">
        <f t="shared" si="10"/>
        <v>0</v>
      </c>
      <c r="ET23" s="238">
        <f t="shared" si="11"/>
        <v>3</v>
      </c>
      <c r="EU23" s="235"/>
      <c r="EV23" s="239"/>
      <c r="EW23" s="232"/>
      <c r="EX23" s="232"/>
      <c r="EY23" s="232"/>
      <c r="EZ23" s="232"/>
      <c r="FA23" s="232"/>
      <c r="FB23" s="232">
        <f t="shared" si="27"/>
        <v>0</v>
      </c>
      <c r="FC23" s="239"/>
      <c r="FD23" s="240"/>
      <c r="FE23" s="232"/>
      <c r="FF23" s="232"/>
      <c r="FG23" s="232"/>
      <c r="FH23" s="232"/>
      <c r="FI23" s="232"/>
      <c r="FJ23" s="232">
        <f t="shared" si="28"/>
        <v>0</v>
      </c>
      <c r="FK23" s="241"/>
      <c r="FL23" s="239"/>
      <c r="FM23" s="242"/>
      <c r="FN23" s="232"/>
      <c r="FO23" s="232"/>
      <c r="FP23" s="232"/>
      <c r="FQ23" s="232"/>
      <c r="FR23" s="232"/>
      <c r="FS23" s="232">
        <f t="shared" si="30"/>
        <v>0</v>
      </c>
      <c r="FT23" s="243"/>
      <c r="FU23" s="244">
        <v>0</v>
      </c>
      <c r="FV23" s="244">
        <v>0</v>
      </c>
      <c r="FW23" s="244">
        <f>IFERROR(VLOOKUP(G23,[3]CEI_032018!$A$1:$U$509,9,FALSE),0)</f>
        <v>0</v>
      </c>
      <c r="FX23" s="244">
        <f>IFERROR(VLOOKUP(G23,[3]CEI_042018!$A$1:$U$493,9,FALSE),0)</f>
        <v>0</v>
      </c>
      <c r="FY23" s="244"/>
      <c r="FZ23" s="244"/>
      <c r="GA23" s="244"/>
      <c r="GB23" s="244"/>
      <c r="GC23" s="244"/>
      <c r="GD23" s="244"/>
      <c r="GE23" s="244"/>
      <c r="GF23" s="244"/>
      <c r="GG23" s="244">
        <f t="shared" si="15"/>
        <v>0</v>
      </c>
      <c r="GH23" s="244">
        <f>IFERROR(VLOOKUP(G23,[3]CEI_042018!$A$1:$U$493,12,FALSE),0)</f>
        <v>0</v>
      </c>
      <c r="GI23" s="244">
        <f t="shared" si="16"/>
        <v>0</v>
      </c>
      <c r="GJ23" s="244">
        <f t="shared" si="17"/>
        <v>120</v>
      </c>
      <c r="GK23" s="244">
        <f>IFERROR(IF('[3]TESTE TESTE'!$Z$3=1,SUM(FU23),IF('[3]TESTE TESTE'!$Z$3=2,SUM(FU23:FV23),IF('[3]TESTE TESTE'!$Z$3=3,SUM(FU23:FW23),IF('[3]TESTE TESTE'!$Z$3=4,SUM(FU23:FX23),IF('[3]TESTE TESTE'!$Z$3=5,SUM(FU23:FY23),IF('[3]TESTE TESTE'!$Z$3=6,SUM(FU23:FZ23),IF('[3]TESTE TESTE'!$Z$3=7,SUM(FU23:GA23),IF('[3]TESTE TESTE'!$Z$3=8,SUM(FU23:GB23),IF('[3]TESTE TESTE'!$Z$3=9,SUM(FU23:GC23),IF('[3]TESTE TESTE'!$Z$3=10,SUM(FU23:GD23),IF('[3]TESTE TESTE'!$Z$3=11,SUM(FU23:GE23),IF('[3]TESTE TESTE'!$Z$3=12,SUM(FU23:GF23,))))))))))))),"")</f>
        <v>0</v>
      </c>
      <c r="GL23" s="244">
        <f>IFERROR(IF('[3]TESTE TESTE'!$Z$3=1,SUM(P23),IF('[3]TESTE TESTE'!$Z$3=2,SUM(P23:Q23),IF('[3]TESTE TESTE'!$Z$3=3,SUM(P23:R23),IF('[3]TESTE TESTE'!$Z$3=4,SUM(P23:S23),IF('[3]TESTE TESTE'!$Z$3=5,SUM(P23:T23),IF('[3]TESTE TESTE'!$Z$3=6,SUM(P23:U23),IF('[3]TESTE TESTE'!$Z$3=7,SUM(P23:V23),IF('[3]TESTE TESTE'!$Z$3=8,SUM(P23:W23),IF('[3]TESTE TESTE'!$Z$3=9,SUM(P23:X23),IF('[3]TESTE TESTE'!$Z$3=10,SUM(P23:Y23),IF('[3]TESTE TESTE'!$Z$3=11,SUM(P23:Z23),IF('[3]TESTE TESTE'!$Z$3=12,SUM(P23:AA23,))))))))))))),"")</f>
        <v>120</v>
      </c>
    </row>
    <row r="24" spans="1:194" s="248" customFormat="1" ht="26.25" thickBot="1" x14ac:dyDescent="0.3">
      <c r="A24" s="494" t="s">
        <v>1172</v>
      </c>
      <c r="B24" s="246" t="s">
        <v>52</v>
      </c>
      <c r="C24" s="246" t="s">
        <v>1431</v>
      </c>
      <c r="D24" s="246" t="s">
        <v>173</v>
      </c>
      <c r="E24" s="246" t="s">
        <v>63</v>
      </c>
      <c r="F24" s="246"/>
      <c r="G24" s="246" t="s">
        <v>1172</v>
      </c>
      <c r="H24" s="246" t="s">
        <v>1174</v>
      </c>
      <c r="I24" s="247" t="s">
        <v>1490</v>
      </c>
      <c r="AA24" s="248">
        <v>54</v>
      </c>
      <c r="AB24" s="249">
        <f t="shared" si="18"/>
        <v>54</v>
      </c>
      <c r="BB24" s="248">
        <f t="shared" si="20"/>
        <v>0</v>
      </c>
      <c r="BO24" s="248">
        <f t="shared" si="21"/>
        <v>0</v>
      </c>
      <c r="CB24" s="248">
        <v>0</v>
      </c>
      <c r="CC24" s="280">
        <f t="shared" si="5"/>
        <v>54</v>
      </c>
    </row>
    <row r="25" spans="1:194" s="248" customFormat="1" ht="15.75" thickBot="1" x14ac:dyDescent="0.3">
      <c r="A25" s="494"/>
      <c r="B25" s="246" t="s">
        <v>52</v>
      </c>
      <c r="C25" s="246" t="s">
        <v>1431</v>
      </c>
      <c r="D25" s="246" t="s">
        <v>173</v>
      </c>
      <c r="E25" s="246" t="s">
        <v>63</v>
      </c>
      <c r="F25" s="246"/>
      <c r="G25" s="246" t="s">
        <v>1172</v>
      </c>
      <c r="H25" s="246" t="s">
        <v>1174</v>
      </c>
      <c r="I25" s="250" t="s">
        <v>1491</v>
      </c>
      <c r="AA25" s="248">
        <v>60</v>
      </c>
      <c r="AB25" s="249">
        <f t="shared" si="18"/>
        <v>60</v>
      </c>
      <c r="BB25" s="248">
        <f t="shared" si="20"/>
        <v>0</v>
      </c>
      <c r="BO25" s="248">
        <f t="shared" si="21"/>
        <v>0</v>
      </c>
      <c r="CB25" s="248">
        <v>0</v>
      </c>
      <c r="CC25" s="280">
        <f t="shared" si="5"/>
        <v>60</v>
      </c>
    </row>
    <row r="26" spans="1:194" s="248" customFormat="1" ht="15.75" thickBot="1" x14ac:dyDescent="0.3">
      <c r="A26" s="494"/>
      <c r="B26" s="246" t="s">
        <v>52</v>
      </c>
      <c r="C26" s="246" t="s">
        <v>1431</v>
      </c>
      <c r="D26" s="246" t="s">
        <v>173</v>
      </c>
      <c r="E26" s="246" t="s">
        <v>63</v>
      </c>
      <c r="F26" s="246"/>
      <c r="G26" s="246" t="s">
        <v>1172</v>
      </c>
      <c r="H26" s="246" t="s">
        <v>1174</v>
      </c>
      <c r="I26" s="250" t="s">
        <v>1501</v>
      </c>
      <c r="AA26" s="248">
        <v>96</v>
      </c>
      <c r="AB26" s="249">
        <f t="shared" si="18"/>
        <v>96</v>
      </c>
      <c r="BB26" s="248">
        <f t="shared" si="20"/>
        <v>0</v>
      </c>
      <c r="BO26" s="248">
        <f t="shared" si="21"/>
        <v>0</v>
      </c>
      <c r="CB26" s="248">
        <v>0</v>
      </c>
      <c r="CC26" s="280">
        <f t="shared" si="5"/>
        <v>96</v>
      </c>
    </row>
    <row r="27" spans="1:194" s="248" customFormat="1" ht="15.75" thickBot="1" x14ac:dyDescent="0.3">
      <c r="A27" s="494"/>
      <c r="B27" s="246" t="s">
        <v>52</v>
      </c>
      <c r="C27" s="246" t="s">
        <v>1431</v>
      </c>
      <c r="D27" s="246" t="s">
        <v>173</v>
      </c>
      <c r="E27" s="246" t="s">
        <v>63</v>
      </c>
      <c r="F27" s="246"/>
      <c r="G27" s="246" t="s">
        <v>1172</v>
      </c>
      <c r="H27" s="246" t="s">
        <v>1174</v>
      </c>
      <c r="I27" s="250" t="s">
        <v>1492</v>
      </c>
      <c r="AA27" s="248">
        <v>19.2</v>
      </c>
      <c r="AB27" s="249">
        <f t="shared" si="18"/>
        <v>19.2</v>
      </c>
      <c r="BB27" s="248">
        <f t="shared" si="20"/>
        <v>0</v>
      </c>
      <c r="BO27" s="248">
        <f t="shared" si="21"/>
        <v>0</v>
      </c>
      <c r="CB27" s="248">
        <v>0</v>
      </c>
      <c r="CC27" s="280">
        <f t="shared" si="5"/>
        <v>19.2</v>
      </c>
    </row>
    <row r="28" spans="1:194" s="248" customFormat="1" ht="15.75" thickBot="1" x14ac:dyDescent="0.3">
      <c r="A28" s="494"/>
      <c r="B28" s="246" t="s">
        <v>52</v>
      </c>
      <c r="C28" s="246" t="s">
        <v>1431</v>
      </c>
      <c r="D28" s="246" t="s">
        <v>173</v>
      </c>
      <c r="E28" s="246" t="s">
        <v>63</v>
      </c>
      <c r="F28" s="246"/>
      <c r="G28" s="246" t="s">
        <v>1172</v>
      </c>
      <c r="H28" s="246" t="s">
        <v>1174</v>
      </c>
      <c r="I28" s="250" t="s">
        <v>1493</v>
      </c>
      <c r="AA28" s="248">
        <v>16</v>
      </c>
      <c r="AB28" s="249">
        <f t="shared" si="18"/>
        <v>16</v>
      </c>
      <c r="BB28" s="248">
        <f t="shared" si="20"/>
        <v>0</v>
      </c>
      <c r="BO28" s="248">
        <f t="shared" si="21"/>
        <v>0</v>
      </c>
      <c r="CB28" s="248">
        <v>0</v>
      </c>
      <c r="CC28" s="280">
        <f t="shared" si="5"/>
        <v>16</v>
      </c>
    </row>
    <row r="29" spans="1:194" s="248" customFormat="1" ht="15.75" thickBot="1" x14ac:dyDescent="0.3">
      <c r="A29" s="494"/>
      <c r="B29" s="246" t="s">
        <v>52</v>
      </c>
      <c r="C29" s="246" t="s">
        <v>1431</v>
      </c>
      <c r="D29" s="246" t="s">
        <v>173</v>
      </c>
      <c r="E29" s="246" t="s">
        <v>63</v>
      </c>
      <c r="F29" s="246"/>
      <c r="G29" s="246" t="s">
        <v>1172</v>
      </c>
      <c r="H29" s="246" t="s">
        <v>1174</v>
      </c>
      <c r="I29" s="250" t="s">
        <v>1494</v>
      </c>
      <c r="AA29" s="248">
        <v>14</v>
      </c>
      <c r="AB29" s="249">
        <f t="shared" si="18"/>
        <v>14</v>
      </c>
      <c r="BB29" s="248">
        <f t="shared" si="20"/>
        <v>0</v>
      </c>
      <c r="BO29" s="248">
        <f t="shared" si="21"/>
        <v>0</v>
      </c>
      <c r="CB29" s="248">
        <v>0</v>
      </c>
      <c r="CC29" s="280">
        <f t="shared" si="5"/>
        <v>14</v>
      </c>
    </row>
    <row r="30" spans="1:194" s="248" customFormat="1" ht="15.75" thickBot="1" x14ac:dyDescent="0.3">
      <c r="A30" s="494"/>
      <c r="B30" s="246" t="s">
        <v>52</v>
      </c>
      <c r="C30" s="246" t="s">
        <v>1431</v>
      </c>
      <c r="D30" s="246" t="s">
        <v>173</v>
      </c>
      <c r="E30" s="246" t="s">
        <v>63</v>
      </c>
      <c r="F30" s="246"/>
      <c r="G30" s="246" t="s">
        <v>1172</v>
      </c>
      <c r="H30" s="246" t="s">
        <v>1174</v>
      </c>
      <c r="I30" s="250" t="s">
        <v>1495</v>
      </c>
      <c r="AA30" s="248">
        <v>10</v>
      </c>
      <c r="AB30" s="249">
        <f t="shared" si="18"/>
        <v>10</v>
      </c>
      <c r="BB30" s="248">
        <f t="shared" si="20"/>
        <v>0</v>
      </c>
      <c r="BO30" s="248">
        <f t="shared" si="21"/>
        <v>0</v>
      </c>
      <c r="CB30" s="248">
        <v>0</v>
      </c>
      <c r="CC30" s="280">
        <f t="shared" si="5"/>
        <v>10</v>
      </c>
    </row>
    <row r="31" spans="1:194" s="173" customFormat="1" ht="51.75" thickBot="1" x14ac:dyDescent="0.3">
      <c r="A31" s="496" t="s">
        <v>1162</v>
      </c>
      <c r="B31" s="171" t="s">
        <v>52</v>
      </c>
      <c r="C31" s="171" t="s">
        <v>1431</v>
      </c>
      <c r="D31" s="171" t="s">
        <v>165</v>
      </c>
      <c r="E31" s="171" t="s">
        <v>63</v>
      </c>
      <c r="F31" s="171"/>
      <c r="G31" s="171"/>
      <c r="H31" s="171" t="s">
        <v>1164</v>
      </c>
      <c r="I31" s="172" t="s">
        <v>1497</v>
      </c>
      <c r="AA31" s="174">
        <v>89.497</v>
      </c>
      <c r="AB31" s="174">
        <f t="shared" si="18"/>
        <v>89.497</v>
      </c>
      <c r="BB31" s="173">
        <f t="shared" si="20"/>
        <v>0</v>
      </c>
      <c r="BO31" s="173">
        <f t="shared" si="21"/>
        <v>0</v>
      </c>
      <c r="CB31" s="173">
        <v>0</v>
      </c>
      <c r="CC31" s="281">
        <f t="shared" si="5"/>
        <v>89.497</v>
      </c>
    </row>
    <row r="32" spans="1:194" s="173" customFormat="1" ht="15.75" thickBot="1" x14ac:dyDescent="0.3">
      <c r="A32" s="496"/>
      <c r="B32" s="171" t="s">
        <v>52</v>
      </c>
      <c r="C32" s="171" t="s">
        <v>1431</v>
      </c>
      <c r="D32" s="171" t="s">
        <v>165</v>
      </c>
      <c r="E32" s="171" t="s">
        <v>63</v>
      </c>
      <c r="F32" s="171"/>
      <c r="G32" s="171"/>
      <c r="H32" s="171" t="s">
        <v>1164</v>
      </c>
      <c r="I32" s="172" t="s">
        <v>1498</v>
      </c>
      <c r="AA32" s="174">
        <v>70</v>
      </c>
      <c r="AB32" s="174">
        <f t="shared" si="18"/>
        <v>70</v>
      </c>
      <c r="BB32" s="173">
        <f t="shared" si="20"/>
        <v>0</v>
      </c>
      <c r="BO32" s="173">
        <f t="shared" si="21"/>
        <v>0</v>
      </c>
      <c r="CB32" s="173">
        <v>0</v>
      </c>
      <c r="CC32" s="281">
        <f t="shared" si="5"/>
        <v>70</v>
      </c>
    </row>
    <row r="33" spans="1:171" s="173" customFormat="1" ht="15.75" thickBot="1" x14ac:dyDescent="0.3">
      <c r="A33" s="496"/>
      <c r="B33" s="171" t="s">
        <v>52</v>
      </c>
      <c r="C33" s="171" t="s">
        <v>1431</v>
      </c>
      <c r="D33" s="171" t="s">
        <v>165</v>
      </c>
      <c r="E33" s="171" t="s">
        <v>63</v>
      </c>
      <c r="F33" s="171"/>
      <c r="G33" s="171"/>
      <c r="H33" s="171" t="s">
        <v>1164</v>
      </c>
      <c r="I33" s="172" t="s">
        <v>1499</v>
      </c>
      <c r="AA33" s="174">
        <v>4.5030000000000001</v>
      </c>
      <c r="AB33" s="174">
        <f t="shared" si="18"/>
        <v>4.5030000000000001</v>
      </c>
      <c r="BB33" s="173">
        <f t="shared" si="20"/>
        <v>0</v>
      </c>
      <c r="BO33" s="173">
        <f t="shared" si="21"/>
        <v>0</v>
      </c>
      <c r="CB33" s="173">
        <v>0</v>
      </c>
      <c r="CC33" s="281">
        <f t="shared" si="5"/>
        <v>4.5030000000000001</v>
      </c>
    </row>
    <row r="34" spans="1:171" s="173" customFormat="1" ht="15.75" thickBot="1" x14ac:dyDescent="0.3">
      <c r="A34" s="496"/>
      <c r="B34" s="171" t="s">
        <v>52</v>
      </c>
      <c r="C34" s="171" t="s">
        <v>1431</v>
      </c>
      <c r="D34" s="171" t="s">
        <v>165</v>
      </c>
      <c r="E34" s="171" t="s">
        <v>63</v>
      </c>
      <c r="F34" s="171"/>
      <c r="G34" s="171"/>
      <c r="H34" s="171" t="s">
        <v>1164</v>
      </c>
      <c r="I34" s="172" t="s">
        <v>1500</v>
      </c>
      <c r="AA34" s="174">
        <v>7</v>
      </c>
      <c r="AB34" s="174">
        <f t="shared" si="18"/>
        <v>7</v>
      </c>
      <c r="BB34" s="173">
        <f t="shared" si="20"/>
        <v>0</v>
      </c>
      <c r="BO34" s="173">
        <f t="shared" si="21"/>
        <v>0</v>
      </c>
      <c r="CB34" s="173">
        <v>0</v>
      </c>
      <c r="CC34" s="281">
        <f t="shared" si="5"/>
        <v>7</v>
      </c>
    </row>
    <row r="35" spans="1:171" s="273" customFormat="1" x14ac:dyDescent="0.25">
      <c r="A35" s="495" t="s">
        <v>1562</v>
      </c>
      <c r="B35" s="273" t="s">
        <v>52</v>
      </c>
      <c r="C35" s="273" t="s">
        <v>27</v>
      </c>
      <c r="D35" s="273" t="s">
        <v>107</v>
      </c>
      <c r="E35" s="273" t="s">
        <v>63</v>
      </c>
      <c r="F35" s="273" t="s">
        <v>108</v>
      </c>
      <c r="G35" s="273" t="s">
        <v>57</v>
      </c>
      <c r="I35" s="274" t="s">
        <v>1025</v>
      </c>
      <c r="J35" s="273" t="s">
        <v>109</v>
      </c>
      <c r="K35" s="273" t="s">
        <v>57</v>
      </c>
      <c r="L35" s="273" t="s">
        <v>110</v>
      </c>
      <c r="M35" s="273" t="s">
        <v>57</v>
      </c>
      <c r="S35" s="273">
        <v>0</v>
      </c>
      <c r="T35" s="273">
        <v>0</v>
      </c>
      <c r="U35" s="273">
        <v>0</v>
      </c>
      <c r="V35" s="273">
        <v>0</v>
      </c>
      <c r="W35" s="273">
        <v>0</v>
      </c>
      <c r="X35" s="273">
        <v>0</v>
      </c>
      <c r="Z35" s="273">
        <v>0</v>
      </c>
      <c r="AA35" s="273">
        <v>15</v>
      </c>
      <c r="AB35" s="273">
        <f t="shared" si="18"/>
        <v>15</v>
      </c>
      <c r="AC35" s="273">
        <v>0</v>
      </c>
      <c r="AD35" s="273">
        <v>0</v>
      </c>
      <c r="AE35" s="273">
        <v>0</v>
      </c>
      <c r="AF35" s="273">
        <v>0</v>
      </c>
      <c r="AG35" s="273">
        <v>0</v>
      </c>
      <c r="AH35" s="273">
        <v>0</v>
      </c>
      <c r="AI35" s="273">
        <v>0</v>
      </c>
      <c r="AK35" s="273">
        <v>0</v>
      </c>
      <c r="AL35" s="273">
        <v>0</v>
      </c>
      <c r="AM35" s="273">
        <v>0</v>
      </c>
      <c r="AN35" s="273">
        <v>0</v>
      </c>
      <c r="AO35" s="273">
        <v>0</v>
      </c>
      <c r="AP35" s="273">
        <v>0</v>
      </c>
      <c r="AQ35" s="273">
        <v>0</v>
      </c>
      <c r="AR35" s="273">
        <v>0</v>
      </c>
      <c r="AS35" s="273">
        <v>0</v>
      </c>
      <c r="AT35" s="273">
        <v>0</v>
      </c>
      <c r="AU35" s="273">
        <v>0</v>
      </c>
      <c r="AV35" s="273">
        <v>0</v>
      </c>
      <c r="AW35" s="273">
        <v>0</v>
      </c>
      <c r="AX35" s="273">
        <v>0</v>
      </c>
      <c r="AY35" s="273">
        <v>0</v>
      </c>
      <c r="AZ35" s="273">
        <v>0</v>
      </c>
      <c r="BA35" s="273">
        <v>0</v>
      </c>
      <c r="BB35" s="273">
        <f t="shared" si="20"/>
        <v>0</v>
      </c>
      <c r="BC35" s="273">
        <v>0</v>
      </c>
      <c r="BD35" s="273">
        <v>0</v>
      </c>
      <c r="BE35" s="273">
        <v>0</v>
      </c>
      <c r="BF35" s="273">
        <v>0</v>
      </c>
      <c r="BG35" s="273">
        <v>0</v>
      </c>
      <c r="BH35" s="273">
        <v>0</v>
      </c>
      <c r="BI35" s="273">
        <v>0</v>
      </c>
      <c r="BJ35" s="273">
        <v>0</v>
      </c>
      <c r="BK35" s="273">
        <v>0</v>
      </c>
      <c r="BL35" s="273">
        <v>0</v>
      </c>
      <c r="BM35" s="273">
        <v>0</v>
      </c>
      <c r="BN35" s="273">
        <v>0</v>
      </c>
      <c r="BO35" s="273">
        <f t="shared" si="21"/>
        <v>0</v>
      </c>
      <c r="BP35" s="273">
        <v>0</v>
      </c>
      <c r="BQ35" s="273">
        <v>0</v>
      </c>
      <c r="BR35" s="273">
        <v>0</v>
      </c>
      <c r="BS35" s="273">
        <v>0</v>
      </c>
      <c r="BT35" s="273">
        <v>0</v>
      </c>
      <c r="BU35" s="273">
        <v>0</v>
      </c>
      <c r="BV35" s="273">
        <v>0</v>
      </c>
      <c r="BW35" s="273">
        <v>0</v>
      </c>
      <c r="BX35" s="273">
        <v>0</v>
      </c>
      <c r="BY35" s="273">
        <v>0</v>
      </c>
      <c r="BZ35" s="273">
        <v>0</v>
      </c>
      <c r="CA35" s="273">
        <v>0</v>
      </c>
      <c r="CB35" s="273">
        <v>0</v>
      </c>
      <c r="CC35" s="282">
        <f t="shared" si="5"/>
        <v>15</v>
      </c>
      <c r="CD35" s="273" t="s">
        <v>71</v>
      </c>
      <c r="CP35" s="273">
        <v>3</v>
      </c>
      <c r="CQ35" s="273">
        <v>3</v>
      </c>
      <c r="CY35" s="273">
        <v>3</v>
      </c>
      <c r="DD35" s="273">
        <v>3</v>
      </c>
      <c r="DQ35" s="273">
        <v>0</v>
      </c>
      <c r="ED35" s="273">
        <v>0</v>
      </c>
      <c r="EQ35" s="273">
        <v>0</v>
      </c>
      <c r="ER35" s="273">
        <v>6</v>
      </c>
      <c r="ES35" s="273">
        <v>0</v>
      </c>
      <c r="ET35" s="273">
        <v>0</v>
      </c>
      <c r="EU35" s="273">
        <v>0</v>
      </c>
      <c r="EV35" s="273">
        <v>0</v>
      </c>
      <c r="EW35" s="273">
        <v>0</v>
      </c>
      <c r="FE35" s="273">
        <v>0</v>
      </c>
      <c r="FF35" s="273">
        <v>0</v>
      </c>
      <c r="FG35" s="273">
        <v>15</v>
      </c>
      <c r="FH35" s="273">
        <v>0</v>
      </c>
      <c r="FI35" s="273">
        <v>15</v>
      </c>
      <c r="FJ35" s="273">
        <v>15</v>
      </c>
      <c r="FK35" s="273">
        <v>0</v>
      </c>
      <c r="FL35" s="273">
        <v>0</v>
      </c>
      <c r="FM35" s="273">
        <v>0</v>
      </c>
      <c r="FN35" s="273">
        <v>0</v>
      </c>
      <c r="FO35" s="273">
        <v>15</v>
      </c>
    </row>
    <row r="36" spans="1:171" s="273" customFormat="1" x14ac:dyDescent="0.25">
      <c r="A36" s="495"/>
      <c r="B36" s="273" t="s">
        <v>52</v>
      </c>
      <c r="C36" s="273" t="s">
        <v>27</v>
      </c>
      <c r="D36" s="273" t="s">
        <v>107</v>
      </c>
      <c r="E36" s="273" t="s">
        <v>63</v>
      </c>
      <c r="F36" s="273" t="s">
        <v>108</v>
      </c>
      <c r="G36" s="273" t="s">
        <v>57</v>
      </c>
      <c r="I36" s="273" t="s">
        <v>1026</v>
      </c>
      <c r="J36" s="273" t="s">
        <v>113</v>
      </c>
      <c r="K36" s="273" t="s">
        <v>57</v>
      </c>
      <c r="L36" s="273" t="s">
        <v>114</v>
      </c>
      <c r="M36" s="273" t="s">
        <v>57</v>
      </c>
      <c r="S36" s="273">
        <v>0</v>
      </c>
      <c r="T36" s="273">
        <v>0</v>
      </c>
      <c r="U36" s="273">
        <v>0</v>
      </c>
      <c r="V36" s="273">
        <v>0</v>
      </c>
      <c r="X36" s="273">
        <v>0</v>
      </c>
      <c r="Y36" s="273">
        <v>0</v>
      </c>
      <c r="Z36" s="273">
        <v>0</v>
      </c>
      <c r="AA36" s="273">
        <v>7</v>
      </c>
      <c r="AB36" s="273">
        <f t="shared" si="18"/>
        <v>7</v>
      </c>
      <c r="AC36" s="273">
        <v>0</v>
      </c>
      <c r="AD36" s="273">
        <v>0</v>
      </c>
      <c r="AE36" s="273">
        <v>0</v>
      </c>
      <c r="AF36" s="273">
        <v>0</v>
      </c>
      <c r="AG36" s="273">
        <v>0</v>
      </c>
      <c r="AH36" s="273">
        <v>0</v>
      </c>
      <c r="AI36" s="273">
        <v>0</v>
      </c>
      <c r="AJ36" s="273">
        <v>0</v>
      </c>
      <c r="AK36" s="273">
        <v>0</v>
      </c>
      <c r="AL36" s="273">
        <v>0</v>
      </c>
      <c r="AM36" s="273">
        <v>0</v>
      </c>
      <c r="AN36" s="273">
        <v>0</v>
      </c>
      <c r="AO36" s="273">
        <v>0</v>
      </c>
      <c r="AP36" s="273">
        <v>0</v>
      </c>
      <c r="AQ36" s="273">
        <v>0</v>
      </c>
      <c r="AR36" s="273">
        <v>0</v>
      </c>
      <c r="AS36" s="273">
        <v>0</v>
      </c>
      <c r="AT36" s="273">
        <v>0</v>
      </c>
      <c r="AU36" s="273">
        <v>0</v>
      </c>
      <c r="AV36" s="273">
        <v>0</v>
      </c>
      <c r="AW36" s="273">
        <v>0</v>
      </c>
      <c r="AX36" s="273">
        <v>0</v>
      </c>
      <c r="AY36" s="273">
        <v>0</v>
      </c>
      <c r="AZ36" s="273">
        <v>0</v>
      </c>
      <c r="BA36" s="273">
        <v>0</v>
      </c>
      <c r="BB36" s="273">
        <f t="shared" si="20"/>
        <v>0</v>
      </c>
      <c r="BC36" s="273">
        <v>0</v>
      </c>
      <c r="BD36" s="273">
        <v>0</v>
      </c>
      <c r="BE36" s="273">
        <v>0</v>
      </c>
      <c r="BF36" s="273">
        <v>0</v>
      </c>
      <c r="BG36" s="273">
        <v>0</v>
      </c>
      <c r="BH36" s="273">
        <v>0</v>
      </c>
      <c r="BI36" s="273">
        <v>0</v>
      </c>
      <c r="BJ36" s="273">
        <v>0</v>
      </c>
      <c r="BK36" s="273">
        <v>0</v>
      </c>
      <c r="BL36" s="273">
        <v>0</v>
      </c>
      <c r="BM36" s="273">
        <v>0</v>
      </c>
      <c r="BN36" s="273">
        <v>0</v>
      </c>
      <c r="BO36" s="273">
        <f t="shared" si="21"/>
        <v>0</v>
      </c>
      <c r="BP36" s="273">
        <v>0</v>
      </c>
      <c r="BQ36" s="273">
        <v>0</v>
      </c>
      <c r="BR36" s="273">
        <v>0</v>
      </c>
      <c r="BS36" s="273">
        <v>0</v>
      </c>
      <c r="BT36" s="273">
        <v>0</v>
      </c>
      <c r="BU36" s="273">
        <v>0</v>
      </c>
      <c r="BV36" s="273">
        <v>0</v>
      </c>
      <c r="BW36" s="273">
        <v>0</v>
      </c>
      <c r="BX36" s="273">
        <v>0</v>
      </c>
      <c r="BY36" s="273">
        <v>0</v>
      </c>
      <c r="BZ36" s="273">
        <v>0</v>
      </c>
      <c r="CA36" s="273">
        <v>0</v>
      </c>
      <c r="CB36" s="273">
        <v>0</v>
      </c>
      <c r="CC36" s="282">
        <f t="shared" si="5"/>
        <v>7</v>
      </c>
      <c r="CD36" s="273" t="s">
        <v>71</v>
      </c>
      <c r="CP36" s="273">
        <v>1</v>
      </c>
      <c r="CQ36" s="273">
        <v>1</v>
      </c>
      <c r="DD36" s="273">
        <v>0</v>
      </c>
      <c r="DQ36" s="273">
        <v>0</v>
      </c>
      <c r="ED36" s="273">
        <v>0</v>
      </c>
      <c r="EQ36" s="273">
        <v>0</v>
      </c>
      <c r="ER36" s="273">
        <v>1</v>
      </c>
      <c r="ES36" s="273">
        <v>0</v>
      </c>
      <c r="ET36" s="273">
        <v>0</v>
      </c>
      <c r="EU36" s="273">
        <v>0</v>
      </c>
      <c r="EV36" s="273">
        <v>0</v>
      </c>
      <c r="EW36" s="273">
        <v>0</v>
      </c>
      <c r="FE36" s="273">
        <v>0</v>
      </c>
      <c r="FF36" s="273">
        <v>0</v>
      </c>
      <c r="FG36" s="273">
        <v>7</v>
      </c>
      <c r="FH36" s="273">
        <v>0</v>
      </c>
      <c r="FI36" s="273">
        <v>7</v>
      </c>
      <c r="FJ36" s="273">
        <v>7</v>
      </c>
      <c r="FK36" s="273">
        <v>0</v>
      </c>
      <c r="FL36" s="273">
        <v>0</v>
      </c>
      <c r="FM36" s="273">
        <v>0</v>
      </c>
      <c r="FN36" s="273">
        <v>0</v>
      </c>
      <c r="FO36" s="273">
        <v>7</v>
      </c>
    </row>
    <row r="37" spans="1:171" s="273" customFormat="1" x14ac:dyDescent="0.25">
      <c r="A37" s="495"/>
      <c r="B37" s="273" t="s">
        <v>52</v>
      </c>
      <c r="C37" s="273" t="s">
        <v>27</v>
      </c>
      <c r="D37" s="273" t="s">
        <v>155</v>
      </c>
      <c r="E37" s="273" t="s">
        <v>63</v>
      </c>
      <c r="F37" s="273" t="s">
        <v>156</v>
      </c>
      <c r="G37" s="273" t="s">
        <v>57</v>
      </c>
      <c r="I37" s="273" t="s">
        <v>622</v>
      </c>
      <c r="J37" s="273" t="s">
        <v>159</v>
      </c>
      <c r="K37" s="273" t="s">
        <v>57</v>
      </c>
      <c r="L37" s="273" t="s">
        <v>160</v>
      </c>
      <c r="M37" s="273" t="s">
        <v>57</v>
      </c>
      <c r="S37" s="273">
        <v>0</v>
      </c>
      <c r="T37" s="273">
        <v>0</v>
      </c>
      <c r="U37" s="273">
        <v>0</v>
      </c>
      <c r="V37" s="273">
        <v>0</v>
      </c>
      <c r="W37" s="273">
        <v>0</v>
      </c>
      <c r="X37" s="273">
        <v>0</v>
      </c>
      <c r="Y37" s="273">
        <v>7</v>
      </c>
      <c r="Z37" s="273">
        <v>0</v>
      </c>
      <c r="AA37" s="273">
        <v>0</v>
      </c>
      <c r="AB37" s="273">
        <f t="shared" si="18"/>
        <v>7</v>
      </c>
      <c r="AC37" s="273">
        <v>0</v>
      </c>
      <c r="AD37" s="273">
        <v>0</v>
      </c>
      <c r="AE37" s="273">
        <v>0</v>
      </c>
      <c r="AF37" s="273">
        <v>0</v>
      </c>
      <c r="AG37" s="273">
        <v>0</v>
      </c>
      <c r="AH37" s="273">
        <v>0</v>
      </c>
      <c r="AJ37" s="273">
        <v>0</v>
      </c>
      <c r="AK37" s="273">
        <v>0</v>
      </c>
      <c r="AL37" s="273">
        <v>0</v>
      </c>
      <c r="AM37" s="273">
        <v>0</v>
      </c>
      <c r="AN37" s="273">
        <v>0</v>
      </c>
      <c r="AO37" s="273">
        <v>0</v>
      </c>
      <c r="AP37" s="273">
        <v>0</v>
      </c>
      <c r="AQ37" s="273">
        <v>0</v>
      </c>
      <c r="AR37" s="273">
        <v>0</v>
      </c>
      <c r="AS37" s="273">
        <v>0</v>
      </c>
      <c r="AT37" s="273">
        <v>0</v>
      </c>
      <c r="AU37" s="273">
        <v>0</v>
      </c>
      <c r="AV37" s="273">
        <v>0</v>
      </c>
      <c r="AW37" s="273">
        <v>0</v>
      </c>
      <c r="AX37" s="273">
        <v>0</v>
      </c>
      <c r="AZ37" s="273">
        <v>0</v>
      </c>
      <c r="BA37" s="273">
        <v>0</v>
      </c>
      <c r="BB37" s="273">
        <f t="shared" si="20"/>
        <v>0</v>
      </c>
      <c r="BC37" s="273">
        <v>0</v>
      </c>
      <c r="BD37" s="273">
        <v>0</v>
      </c>
      <c r="BE37" s="273">
        <v>0</v>
      </c>
      <c r="BF37" s="273">
        <v>0</v>
      </c>
      <c r="BG37" s="273">
        <v>0</v>
      </c>
      <c r="BH37" s="273">
        <v>0</v>
      </c>
      <c r="BI37" s="273">
        <v>0</v>
      </c>
      <c r="BJ37" s="273">
        <v>0</v>
      </c>
      <c r="BK37" s="273">
        <v>0</v>
      </c>
      <c r="BM37" s="273">
        <v>0</v>
      </c>
      <c r="BN37" s="273">
        <v>0</v>
      </c>
      <c r="BO37" s="273">
        <f t="shared" si="21"/>
        <v>0</v>
      </c>
      <c r="BP37" s="273">
        <v>0</v>
      </c>
      <c r="BQ37" s="273">
        <v>0</v>
      </c>
      <c r="BR37" s="273">
        <v>0</v>
      </c>
      <c r="BS37" s="273">
        <v>0</v>
      </c>
      <c r="BT37" s="273">
        <v>0</v>
      </c>
      <c r="BU37" s="273">
        <v>0</v>
      </c>
      <c r="BV37" s="273">
        <v>0</v>
      </c>
      <c r="BW37" s="273">
        <v>0</v>
      </c>
      <c r="BX37" s="273">
        <v>0</v>
      </c>
      <c r="BY37" s="273">
        <v>0</v>
      </c>
      <c r="BZ37" s="273">
        <v>0</v>
      </c>
      <c r="CA37" s="273">
        <v>0</v>
      </c>
      <c r="CB37" s="273">
        <v>0</v>
      </c>
      <c r="CC37" s="282">
        <f t="shared" si="5"/>
        <v>7</v>
      </c>
      <c r="CD37" s="273" t="s">
        <v>71</v>
      </c>
      <c r="CN37" s="273">
        <v>1</v>
      </c>
      <c r="CQ37" s="273">
        <v>1</v>
      </c>
      <c r="DC37" s="273">
        <v>2</v>
      </c>
      <c r="DD37" s="273">
        <v>2</v>
      </c>
      <c r="DQ37" s="273">
        <v>0</v>
      </c>
      <c r="ED37" s="273">
        <v>0</v>
      </c>
      <c r="EQ37" s="273">
        <v>0</v>
      </c>
      <c r="ER37" s="273">
        <v>3</v>
      </c>
      <c r="ES37" s="273">
        <v>0</v>
      </c>
      <c r="ET37" s="273">
        <v>0</v>
      </c>
      <c r="EU37" s="273">
        <v>0</v>
      </c>
      <c r="EV37" s="273">
        <v>0</v>
      </c>
      <c r="EW37" s="273">
        <v>0</v>
      </c>
      <c r="FE37" s="273">
        <v>0</v>
      </c>
      <c r="FF37" s="273">
        <v>0</v>
      </c>
      <c r="FG37" s="273">
        <v>7</v>
      </c>
      <c r="FH37" s="273">
        <v>0</v>
      </c>
      <c r="FI37" s="273">
        <v>7</v>
      </c>
      <c r="FJ37" s="273">
        <v>7</v>
      </c>
      <c r="FK37" s="273">
        <v>0</v>
      </c>
      <c r="FL37" s="273">
        <v>0</v>
      </c>
      <c r="FM37" s="273">
        <v>0</v>
      </c>
      <c r="FN37" s="273">
        <v>0</v>
      </c>
      <c r="FO37" s="273">
        <v>7</v>
      </c>
    </row>
    <row r="38" spans="1:171" s="273" customFormat="1" x14ac:dyDescent="0.25">
      <c r="A38" s="495"/>
      <c r="B38" s="273" t="s">
        <v>52</v>
      </c>
      <c r="C38" s="273" t="s">
        <v>27</v>
      </c>
      <c r="D38" s="273" t="s">
        <v>107</v>
      </c>
      <c r="E38" s="273" t="s">
        <v>63</v>
      </c>
      <c r="F38" s="273" t="s">
        <v>108</v>
      </c>
      <c r="G38" s="273" t="s">
        <v>57</v>
      </c>
      <c r="I38" s="286" t="s">
        <v>621</v>
      </c>
      <c r="J38" s="273" t="s">
        <v>142</v>
      </c>
      <c r="K38" s="273" t="s">
        <v>57</v>
      </c>
      <c r="L38" s="273" t="s">
        <v>143</v>
      </c>
      <c r="M38" s="273" t="s">
        <v>57</v>
      </c>
      <c r="S38" s="273">
        <v>0</v>
      </c>
      <c r="T38" s="273">
        <v>0</v>
      </c>
      <c r="U38" s="273">
        <v>0</v>
      </c>
      <c r="V38" s="273">
        <v>0</v>
      </c>
      <c r="W38" s="273">
        <v>0</v>
      </c>
      <c r="X38" s="273">
        <v>0</v>
      </c>
      <c r="Y38" s="273">
        <v>0</v>
      </c>
      <c r="Z38" s="273">
        <v>0</v>
      </c>
      <c r="AA38" s="273">
        <v>4</v>
      </c>
      <c r="AB38" s="273">
        <f t="shared" si="18"/>
        <v>4</v>
      </c>
      <c r="AC38" s="273">
        <v>0</v>
      </c>
      <c r="AD38" s="273">
        <v>0</v>
      </c>
      <c r="AE38" s="273">
        <v>0</v>
      </c>
      <c r="AF38" s="273">
        <v>0</v>
      </c>
      <c r="AG38" s="273">
        <v>0</v>
      </c>
      <c r="AH38" s="273">
        <v>0</v>
      </c>
      <c r="AI38" s="273">
        <v>0</v>
      </c>
      <c r="AJ38" s="273">
        <v>0</v>
      </c>
      <c r="AK38" s="273">
        <v>0</v>
      </c>
      <c r="AL38" s="273">
        <v>0</v>
      </c>
      <c r="AM38" s="273">
        <v>0</v>
      </c>
      <c r="AN38" s="273">
        <v>0</v>
      </c>
      <c r="AO38" s="273">
        <v>0</v>
      </c>
      <c r="AP38" s="273">
        <v>0</v>
      </c>
      <c r="AQ38" s="273">
        <v>0</v>
      </c>
      <c r="AR38" s="273">
        <v>0</v>
      </c>
      <c r="AS38" s="273">
        <v>0</v>
      </c>
      <c r="AT38" s="273">
        <v>0</v>
      </c>
      <c r="AU38" s="273">
        <v>0</v>
      </c>
      <c r="AV38" s="273">
        <v>0</v>
      </c>
      <c r="AW38" s="273">
        <v>0</v>
      </c>
      <c r="AX38" s="273">
        <v>0</v>
      </c>
      <c r="AY38" s="273">
        <v>0</v>
      </c>
      <c r="AZ38" s="273">
        <v>0</v>
      </c>
      <c r="BA38" s="273">
        <v>0</v>
      </c>
      <c r="BB38" s="273">
        <f t="shared" si="20"/>
        <v>0</v>
      </c>
      <c r="BC38" s="273">
        <v>0</v>
      </c>
      <c r="BD38" s="273">
        <v>0</v>
      </c>
      <c r="BE38" s="273">
        <v>0</v>
      </c>
      <c r="BF38" s="273">
        <v>0</v>
      </c>
      <c r="BG38" s="273">
        <v>0</v>
      </c>
      <c r="BH38" s="273">
        <v>0</v>
      </c>
      <c r="BI38" s="273">
        <v>0</v>
      </c>
      <c r="BJ38" s="273">
        <v>0</v>
      </c>
      <c r="BK38" s="273">
        <v>0</v>
      </c>
      <c r="BL38" s="273">
        <v>0</v>
      </c>
      <c r="BM38" s="273">
        <v>0</v>
      </c>
      <c r="BN38" s="273">
        <v>0</v>
      </c>
      <c r="BO38" s="273">
        <f t="shared" si="21"/>
        <v>0</v>
      </c>
      <c r="BP38" s="273">
        <v>0</v>
      </c>
      <c r="BQ38" s="273">
        <v>0</v>
      </c>
      <c r="BR38" s="273">
        <v>0</v>
      </c>
      <c r="BS38" s="273">
        <v>0</v>
      </c>
      <c r="BT38" s="273">
        <v>0</v>
      </c>
      <c r="BU38" s="273">
        <v>0</v>
      </c>
      <c r="BV38" s="273">
        <v>0</v>
      </c>
      <c r="BW38" s="273">
        <v>0</v>
      </c>
      <c r="BX38" s="273">
        <v>0</v>
      </c>
      <c r="BY38" s="273">
        <v>0</v>
      </c>
      <c r="BZ38" s="273">
        <v>0</v>
      </c>
      <c r="CA38" s="273">
        <v>0</v>
      </c>
      <c r="CB38" s="273">
        <v>0</v>
      </c>
      <c r="CC38" s="282">
        <f t="shared" si="5"/>
        <v>4</v>
      </c>
      <c r="CD38" s="273" t="s">
        <v>71</v>
      </c>
      <c r="CP38" s="273">
        <v>1</v>
      </c>
      <c r="CQ38" s="273">
        <v>1</v>
      </c>
      <c r="DD38" s="273">
        <v>0</v>
      </c>
      <c r="DQ38" s="273">
        <v>0</v>
      </c>
      <c r="ED38" s="273">
        <v>0</v>
      </c>
      <c r="EQ38" s="273">
        <v>0</v>
      </c>
      <c r="ER38" s="273">
        <v>1</v>
      </c>
      <c r="ES38" s="273">
        <v>0</v>
      </c>
      <c r="ET38" s="273">
        <v>0</v>
      </c>
      <c r="EU38" s="273">
        <v>0</v>
      </c>
      <c r="EV38" s="273">
        <v>0</v>
      </c>
      <c r="EW38" s="273">
        <v>0</v>
      </c>
      <c r="FE38" s="273">
        <v>0</v>
      </c>
      <c r="FF38" s="273">
        <v>0</v>
      </c>
      <c r="FG38" s="273">
        <v>4</v>
      </c>
      <c r="FH38" s="273">
        <v>0</v>
      </c>
      <c r="FI38" s="273">
        <v>4</v>
      </c>
      <c r="FJ38" s="273">
        <v>4</v>
      </c>
      <c r="FK38" s="273">
        <v>0</v>
      </c>
      <c r="FL38" s="273">
        <v>0</v>
      </c>
      <c r="FM38" s="273">
        <v>0</v>
      </c>
      <c r="FN38" s="273">
        <v>0</v>
      </c>
      <c r="FO38" s="273">
        <v>4</v>
      </c>
    </row>
    <row r="39" spans="1:171" s="273" customFormat="1" x14ac:dyDescent="0.25">
      <c r="A39" s="495"/>
      <c r="B39" s="273" t="s">
        <v>52</v>
      </c>
      <c r="C39" s="273" t="s">
        <v>27</v>
      </c>
      <c r="D39" s="273" t="s">
        <v>101</v>
      </c>
      <c r="E39" s="273" t="s">
        <v>63</v>
      </c>
      <c r="F39" s="273" t="s">
        <v>102</v>
      </c>
      <c r="G39" s="273" t="s">
        <v>57</v>
      </c>
      <c r="I39" s="273" t="s">
        <v>1009</v>
      </c>
      <c r="J39" s="273" t="s">
        <v>618</v>
      </c>
      <c r="K39" s="273" t="s">
        <v>57</v>
      </c>
      <c r="L39" s="273" t="s">
        <v>105</v>
      </c>
      <c r="M39" s="273" t="s">
        <v>57</v>
      </c>
      <c r="S39" s="273">
        <v>0</v>
      </c>
      <c r="Y39" s="273">
        <f>4+9</f>
        <v>13</v>
      </c>
      <c r="AB39" s="273">
        <f t="shared" si="18"/>
        <v>13</v>
      </c>
      <c r="AO39" s="273">
        <v>0</v>
      </c>
      <c r="BB39" s="273">
        <f t="shared" si="20"/>
        <v>0</v>
      </c>
      <c r="BO39" s="273">
        <f t="shared" si="21"/>
        <v>0</v>
      </c>
      <c r="CB39" s="273">
        <v>0</v>
      </c>
      <c r="CC39" s="282">
        <f t="shared" si="5"/>
        <v>13</v>
      </c>
      <c r="CD39" s="273" t="s">
        <v>71</v>
      </c>
      <c r="CN39" s="273">
        <v>1</v>
      </c>
      <c r="CQ39" s="273">
        <v>1</v>
      </c>
      <c r="DD39" s="273">
        <v>0</v>
      </c>
      <c r="DQ39" s="273">
        <v>0</v>
      </c>
      <c r="ED39" s="273">
        <v>0</v>
      </c>
      <c r="EQ39" s="273">
        <v>0</v>
      </c>
      <c r="ER39" s="273">
        <v>1</v>
      </c>
      <c r="ES39" s="273">
        <v>0</v>
      </c>
      <c r="ET39" s="273">
        <v>0</v>
      </c>
      <c r="EU39" s="273">
        <v>0</v>
      </c>
      <c r="EV39" s="273">
        <v>0</v>
      </c>
      <c r="EW39" s="273">
        <v>0</v>
      </c>
      <c r="FE39" s="273">
        <v>0</v>
      </c>
      <c r="FF39" s="273">
        <v>0</v>
      </c>
      <c r="FG39" s="273">
        <v>4</v>
      </c>
      <c r="FH39" s="273">
        <v>0</v>
      </c>
      <c r="FI39" s="273">
        <v>4</v>
      </c>
      <c r="FJ39" s="273">
        <v>4</v>
      </c>
      <c r="FK39" s="273">
        <v>0</v>
      </c>
      <c r="FL39" s="273">
        <v>0</v>
      </c>
      <c r="FM39" s="273">
        <v>0</v>
      </c>
      <c r="FN39" s="273">
        <v>0</v>
      </c>
      <c r="FO39" s="273">
        <v>4</v>
      </c>
    </row>
    <row r="40" spans="1:171" s="283" customFormat="1" x14ac:dyDescent="0.25">
      <c r="A40" s="495"/>
      <c r="B40" s="283" t="s">
        <v>52</v>
      </c>
      <c r="C40" s="283" t="s">
        <v>27</v>
      </c>
      <c r="D40" s="283" t="s">
        <v>398</v>
      </c>
      <c r="E40" s="283" t="s">
        <v>63</v>
      </c>
      <c r="F40" s="283" t="s">
        <v>399</v>
      </c>
      <c r="G40" s="283" t="s">
        <v>57</v>
      </c>
      <c r="I40" s="283" t="s">
        <v>400</v>
      </c>
      <c r="J40" s="283" t="s">
        <v>401</v>
      </c>
      <c r="K40" s="284" t="s">
        <v>1559</v>
      </c>
      <c r="L40" s="283" t="s">
        <v>402</v>
      </c>
      <c r="M40" s="283" t="s">
        <v>57</v>
      </c>
      <c r="S40" s="283">
        <v>0</v>
      </c>
      <c r="Y40" s="283">
        <v>0</v>
      </c>
      <c r="AB40" s="283">
        <f t="shared" si="18"/>
        <v>0</v>
      </c>
      <c r="AO40" s="283">
        <v>0</v>
      </c>
      <c r="BB40" s="283">
        <f t="shared" si="20"/>
        <v>0</v>
      </c>
      <c r="BO40" s="283">
        <f t="shared" si="21"/>
        <v>0</v>
      </c>
      <c r="CB40" s="283">
        <v>0</v>
      </c>
      <c r="CC40" s="285">
        <f t="shared" si="5"/>
        <v>0</v>
      </c>
      <c r="CD40" s="283" t="s">
        <v>71</v>
      </c>
      <c r="CN40" s="283">
        <v>1</v>
      </c>
      <c r="CQ40" s="283">
        <v>1</v>
      </c>
      <c r="DD40" s="283">
        <v>0</v>
      </c>
      <c r="DK40" s="283">
        <v>1</v>
      </c>
      <c r="DQ40" s="283">
        <v>1</v>
      </c>
      <c r="ED40" s="283">
        <v>0</v>
      </c>
      <c r="EQ40" s="283">
        <v>0</v>
      </c>
      <c r="ER40" s="283">
        <v>2</v>
      </c>
      <c r="ES40" s="283">
        <v>0</v>
      </c>
      <c r="ET40" s="283">
        <v>0</v>
      </c>
      <c r="EU40" s="283">
        <v>0</v>
      </c>
      <c r="EV40" s="283">
        <v>0</v>
      </c>
      <c r="EW40" s="283">
        <v>0</v>
      </c>
      <c r="FE40" s="283">
        <v>0</v>
      </c>
      <c r="FF40" s="283">
        <v>0</v>
      </c>
      <c r="FG40" s="283">
        <v>3</v>
      </c>
      <c r="FH40" s="283">
        <v>0</v>
      </c>
      <c r="FI40" s="283">
        <v>3</v>
      </c>
      <c r="FJ40" s="283">
        <v>3</v>
      </c>
      <c r="FK40" s="283">
        <v>0</v>
      </c>
      <c r="FL40" s="283">
        <v>0</v>
      </c>
      <c r="FM40" s="283">
        <v>0</v>
      </c>
      <c r="FN40" s="283">
        <v>0</v>
      </c>
      <c r="FO40" s="283">
        <v>3</v>
      </c>
    </row>
    <row r="41" spans="1:171" s="283" customFormat="1" x14ac:dyDescent="0.25">
      <c r="A41" s="495"/>
      <c r="B41" s="283" t="s">
        <v>52</v>
      </c>
      <c r="C41" s="283" t="s">
        <v>27</v>
      </c>
      <c r="D41" s="283" t="s">
        <v>398</v>
      </c>
      <c r="E41" s="283" t="s">
        <v>63</v>
      </c>
      <c r="F41" s="283" t="s">
        <v>399</v>
      </c>
      <c r="G41" s="283" t="s">
        <v>57</v>
      </c>
      <c r="I41" s="283" t="s">
        <v>1010</v>
      </c>
      <c r="J41" s="283" t="s">
        <v>403</v>
      </c>
      <c r="K41" s="283" t="s">
        <v>57</v>
      </c>
      <c r="L41" s="283" t="s">
        <v>404</v>
      </c>
      <c r="M41" s="283" t="s">
        <v>57</v>
      </c>
      <c r="S41" s="283">
        <v>0</v>
      </c>
      <c r="Y41" s="283">
        <v>0</v>
      </c>
      <c r="AB41" s="283">
        <f t="shared" si="18"/>
        <v>0</v>
      </c>
      <c r="AO41" s="283">
        <v>0</v>
      </c>
      <c r="BB41" s="283">
        <f t="shared" si="20"/>
        <v>0</v>
      </c>
      <c r="BO41" s="283">
        <f t="shared" si="21"/>
        <v>0</v>
      </c>
      <c r="CB41" s="283">
        <v>0</v>
      </c>
      <c r="CC41" s="285">
        <f t="shared" si="5"/>
        <v>0</v>
      </c>
      <c r="CD41" s="283" t="s">
        <v>71</v>
      </c>
      <c r="CN41" s="283">
        <v>1</v>
      </c>
      <c r="CQ41" s="283">
        <v>1</v>
      </c>
      <c r="DD41" s="283">
        <v>0</v>
      </c>
      <c r="DK41" s="283">
        <v>1</v>
      </c>
      <c r="DQ41" s="283">
        <v>1</v>
      </c>
      <c r="ED41" s="283">
        <v>0</v>
      </c>
      <c r="EQ41" s="283">
        <v>0</v>
      </c>
      <c r="ER41" s="283">
        <v>2</v>
      </c>
      <c r="ES41" s="283">
        <v>0</v>
      </c>
      <c r="ET41" s="283">
        <v>0</v>
      </c>
      <c r="EU41" s="283">
        <v>0</v>
      </c>
      <c r="EV41" s="283">
        <v>0</v>
      </c>
      <c r="EW41" s="283">
        <v>0</v>
      </c>
      <c r="FE41" s="283">
        <v>0</v>
      </c>
      <c r="FF41" s="283">
        <v>0</v>
      </c>
      <c r="FG41" s="283">
        <v>3</v>
      </c>
      <c r="FH41" s="283">
        <v>0</v>
      </c>
      <c r="FI41" s="283">
        <v>3</v>
      </c>
      <c r="FJ41" s="283">
        <v>3</v>
      </c>
      <c r="FK41" s="283">
        <v>0</v>
      </c>
      <c r="FL41" s="283">
        <v>0</v>
      </c>
      <c r="FM41" s="283">
        <v>0</v>
      </c>
      <c r="FN41" s="283">
        <v>0</v>
      </c>
      <c r="FO41" s="283">
        <v>3</v>
      </c>
    </row>
    <row r="42" spans="1:171" s="283" customFormat="1" x14ac:dyDescent="0.25">
      <c r="A42" s="495"/>
      <c r="B42" s="283" t="s">
        <v>52</v>
      </c>
      <c r="C42" s="283" t="s">
        <v>27</v>
      </c>
      <c r="D42" s="283" t="s">
        <v>398</v>
      </c>
      <c r="E42" s="283" t="s">
        <v>63</v>
      </c>
      <c r="F42" s="283" t="s">
        <v>399</v>
      </c>
      <c r="G42" s="283" t="s">
        <v>57</v>
      </c>
      <c r="I42" s="283" t="s">
        <v>1011</v>
      </c>
      <c r="J42" s="283" t="s">
        <v>403</v>
      </c>
      <c r="K42" s="283" t="s">
        <v>57</v>
      </c>
      <c r="L42" s="283" t="s">
        <v>404</v>
      </c>
      <c r="M42" s="283" t="s">
        <v>57</v>
      </c>
      <c r="S42" s="283">
        <v>0</v>
      </c>
      <c r="Y42" s="283">
        <v>0</v>
      </c>
      <c r="AB42" s="283">
        <f t="shared" si="18"/>
        <v>0</v>
      </c>
      <c r="AO42" s="283">
        <v>0</v>
      </c>
      <c r="AW42" s="283">
        <v>0</v>
      </c>
      <c r="BB42" s="283">
        <f t="shared" si="20"/>
        <v>0</v>
      </c>
      <c r="BO42" s="283">
        <f t="shared" si="21"/>
        <v>0</v>
      </c>
      <c r="CB42" s="283">
        <v>0</v>
      </c>
      <c r="CC42" s="285">
        <f t="shared" si="5"/>
        <v>0</v>
      </c>
      <c r="CD42" s="283" t="s">
        <v>71</v>
      </c>
      <c r="CN42" s="283">
        <v>1</v>
      </c>
      <c r="CQ42" s="283">
        <v>1</v>
      </c>
      <c r="DC42" s="283">
        <v>1</v>
      </c>
      <c r="DD42" s="283">
        <v>1</v>
      </c>
      <c r="DQ42" s="283">
        <v>0</v>
      </c>
      <c r="ED42" s="283">
        <v>0</v>
      </c>
      <c r="EQ42" s="283">
        <v>0</v>
      </c>
      <c r="ER42" s="283">
        <v>2</v>
      </c>
      <c r="ES42" s="283">
        <v>0</v>
      </c>
      <c r="ET42" s="283">
        <v>0</v>
      </c>
      <c r="EU42" s="283">
        <v>0</v>
      </c>
      <c r="EV42" s="283">
        <v>0</v>
      </c>
      <c r="EW42" s="283">
        <v>0</v>
      </c>
      <c r="FE42" s="283">
        <v>0</v>
      </c>
      <c r="FF42" s="283">
        <v>0</v>
      </c>
      <c r="FG42" s="283">
        <v>3</v>
      </c>
      <c r="FH42" s="283">
        <v>0</v>
      </c>
      <c r="FI42" s="283">
        <v>3</v>
      </c>
      <c r="FJ42" s="283">
        <v>3</v>
      </c>
      <c r="FK42" s="283">
        <v>0</v>
      </c>
      <c r="FL42" s="283">
        <v>0</v>
      </c>
      <c r="FM42" s="283">
        <v>0</v>
      </c>
      <c r="FN42" s="283">
        <v>0</v>
      </c>
      <c r="FO42" s="283">
        <v>3</v>
      </c>
    </row>
    <row r="43" spans="1:171" s="273" customFormat="1" x14ac:dyDescent="0.25">
      <c r="A43" s="495"/>
      <c r="B43" s="273" t="s">
        <v>52</v>
      </c>
      <c r="C43" s="273" t="s">
        <v>27</v>
      </c>
      <c r="D43" s="273" t="s">
        <v>107</v>
      </c>
      <c r="E43" s="273" t="s">
        <v>63</v>
      </c>
      <c r="F43" s="273" t="s">
        <v>108</v>
      </c>
      <c r="G43" s="273" t="s">
        <v>57</v>
      </c>
      <c r="I43" s="273" t="s">
        <v>1027</v>
      </c>
      <c r="J43" s="273" t="s">
        <v>111</v>
      </c>
      <c r="K43" s="273" t="s">
        <v>57</v>
      </c>
      <c r="L43" s="273" t="s">
        <v>112</v>
      </c>
      <c r="M43" s="273" t="s">
        <v>57</v>
      </c>
      <c r="S43" s="273">
        <v>0</v>
      </c>
      <c r="T43" s="273">
        <v>0</v>
      </c>
      <c r="U43" s="273">
        <v>0</v>
      </c>
      <c r="V43" s="273">
        <v>0</v>
      </c>
      <c r="X43" s="273">
        <v>0</v>
      </c>
      <c r="Y43" s="273">
        <v>0</v>
      </c>
      <c r="Z43" s="273">
        <v>0</v>
      </c>
      <c r="AA43" s="273">
        <v>2.6</v>
      </c>
      <c r="AB43" s="273">
        <f t="shared" si="18"/>
        <v>2.6</v>
      </c>
      <c r="AC43" s="273">
        <v>0</v>
      </c>
      <c r="AD43" s="273">
        <v>0</v>
      </c>
      <c r="AE43" s="273">
        <v>0</v>
      </c>
      <c r="AF43" s="273">
        <v>0</v>
      </c>
      <c r="AG43" s="273">
        <v>0</v>
      </c>
      <c r="AH43" s="273">
        <v>0</v>
      </c>
      <c r="AI43" s="273">
        <v>0</v>
      </c>
      <c r="AJ43" s="273">
        <v>0</v>
      </c>
      <c r="AK43" s="273">
        <v>0</v>
      </c>
      <c r="AL43" s="273">
        <v>0</v>
      </c>
      <c r="AM43" s="273">
        <v>0</v>
      </c>
      <c r="AN43" s="273">
        <v>0</v>
      </c>
      <c r="AO43" s="273">
        <v>0</v>
      </c>
      <c r="AP43" s="273">
        <v>0</v>
      </c>
      <c r="AQ43" s="273">
        <v>0</v>
      </c>
      <c r="AR43" s="273">
        <v>0</v>
      </c>
      <c r="AS43" s="273">
        <v>0</v>
      </c>
      <c r="AT43" s="273">
        <v>0</v>
      </c>
      <c r="AU43" s="273">
        <v>0</v>
      </c>
      <c r="AV43" s="273">
        <v>0</v>
      </c>
      <c r="AW43" s="273">
        <v>0</v>
      </c>
      <c r="AX43" s="273">
        <v>0</v>
      </c>
      <c r="AY43" s="273">
        <v>0</v>
      </c>
      <c r="AZ43" s="273">
        <v>0</v>
      </c>
      <c r="BA43" s="273">
        <v>0</v>
      </c>
      <c r="BB43" s="273">
        <f t="shared" si="20"/>
        <v>0</v>
      </c>
      <c r="BC43" s="273">
        <v>0</v>
      </c>
      <c r="BD43" s="273">
        <v>0</v>
      </c>
      <c r="BE43" s="273">
        <v>0</v>
      </c>
      <c r="BF43" s="273">
        <v>0</v>
      </c>
      <c r="BG43" s="273">
        <v>0</v>
      </c>
      <c r="BH43" s="273">
        <v>0</v>
      </c>
      <c r="BI43" s="273">
        <v>0</v>
      </c>
      <c r="BJ43" s="273">
        <v>0</v>
      </c>
      <c r="BK43" s="273">
        <v>0</v>
      </c>
      <c r="BL43" s="273">
        <v>0</v>
      </c>
      <c r="BM43" s="273">
        <v>0</v>
      </c>
      <c r="BN43" s="273">
        <v>0</v>
      </c>
      <c r="BO43" s="273">
        <f t="shared" si="21"/>
        <v>0</v>
      </c>
      <c r="BP43" s="273">
        <v>0</v>
      </c>
      <c r="BQ43" s="273">
        <v>0</v>
      </c>
      <c r="BR43" s="273">
        <v>0</v>
      </c>
      <c r="BS43" s="273">
        <v>0</v>
      </c>
      <c r="BT43" s="273">
        <v>0</v>
      </c>
      <c r="BU43" s="273">
        <v>0</v>
      </c>
      <c r="BV43" s="273">
        <v>0</v>
      </c>
      <c r="BW43" s="273">
        <v>0</v>
      </c>
      <c r="BX43" s="273">
        <v>0</v>
      </c>
      <c r="BY43" s="273">
        <v>0</v>
      </c>
      <c r="BZ43" s="273">
        <v>0</v>
      </c>
      <c r="CA43" s="273">
        <v>0</v>
      </c>
      <c r="CB43" s="273">
        <v>0</v>
      </c>
      <c r="CC43" s="282">
        <f t="shared" si="5"/>
        <v>2.6</v>
      </c>
      <c r="CD43" s="273" t="s">
        <v>71</v>
      </c>
      <c r="CP43" s="273">
        <v>2</v>
      </c>
      <c r="CQ43" s="273">
        <v>2</v>
      </c>
      <c r="DD43" s="273">
        <v>0</v>
      </c>
      <c r="DQ43" s="273">
        <v>0</v>
      </c>
      <c r="ED43" s="273">
        <v>0</v>
      </c>
      <c r="EQ43" s="273">
        <v>0</v>
      </c>
      <c r="ER43" s="273">
        <v>2</v>
      </c>
      <c r="ES43" s="273">
        <v>0</v>
      </c>
      <c r="ET43" s="273">
        <v>0</v>
      </c>
      <c r="EU43" s="273">
        <v>0</v>
      </c>
      <c r="EV43" s="273">
        <v>0</v>
      </c>
      <c r="EW43" s="273">
        <v>0</v>
      </c>
      <c r="FE43" s="273">
        <v>0</v>
      </c>
      <c r="FF43" s="273">
        <v>0</v>
      </c>
      <c r="FG43" s="273">
        <v>2.6</v>
      </c>
      <c r="FH43" s="273">
        <v>0</v>
      </c>
      <c r="FI43" s="273">
        <v>2.6</v>
      </c>
      <c r="FJ43" s="273">
        <v>2.6</v>
      </c>
      <c r="FK43" s="273">
        <v>0</v>
      </c>
      <c r="FL43" s="273">
        <v>0</v>
      </c>
      <c r="FM43" s="273">
        <v>0</v>
      </c>
      <c r="FN43" s="273">
        <v>0</v>
      </c>
      <c r="FO43" s="273">
        <v>2.6</v>
      </c>
    </row>
    <row r="44" spans="1:171" s="273" customFormat="1" x14ac:dyDescent="0.25">
      <c r="A44" s="495"/>
      <c r="B44" s="273" t="s">
        <v>52</v>
      </c>
      <c r="C44" s="273" t="s">
        <v>27</v>
      </c>
      <c r="D44" s="273" t="s">
        <v>107</v>
      </c>
      <c r="E44" s="273" t="s">
        <v>63</v>
      </c>
      <c r="F44" s="273" t="s">
        <v>108</v>
      </c>
      <c r="G44" s="273" t="s">
        <v>57</v>
      </c>
      <c r="I44" s="273" t="s">
        <v>619</v>
      </c>
      <c r="J44" s="273" t="s">
        <v>116</v>
      </c>
      <c r="K44" s="273" t="s">
        <v>57</v>
      </c>
      <c r="L44" s="273" t="s">
        <v>117</v>
      </c>
      <c r="M44" s="273" t="s">
        <v>57</v>
      </c>
      <c r="S44" s="273">
        <v>0</v>
      </c>
      <c r="T44" s="273">
        <v>0</v>
      </c>
      <c r="U44" s="273">
        <v>0</v>
      </c>
      <c r="V44" s="273">
        <v>0</v>
      </c>
      <c r="W44" s="273">
        <v>0</v>
      </c>
      <c r="X44" s="273">
        <v>0</v>
      </c>
      <c r="Y44" s="273">
        <v>0</v>
      </c>
      <c r="Z44" s="273">
        <v>0</v>
      </c>
      <c r="AA44" s="273">
        <v>1.5</v>
      </c>
      <c r="AB44" s="273">
        <f t="shared" si="18"/>
        <v>1.5</v>
      </c>
      <c r="AC44" s="273">
        <v>0</v>
      </c>
      <c r="AD44" s="273">
        <v>0</v>
      </c>
      <c r="AE44" s="273">
        <v>0</v>
      </c>
      <c r="AF44" s="273">
        <v>0</v>
      </c>
      <c r="AG44" s="273">
        <v>0</v>
      </c>
      <c r="AH44" s="273">
        <v>0</v>
      </c>
      <c r="AI44" s="273">
        <v>0</v>
      </c>
      <c r="AJ44" s="273">
        <v>0</v>
      </c>
      <c r="AK44" s="273">
        <v>0</v>
      </c>
      <c r="AL44" s="273">
        <v>0</v>
      </c>
      <c r="AM44" s="273">
        <v>0</v>
      </c>
      <c r="AN44" s="273">
        <v>0</v>
      </c>
      <c r="AO44" s="273">
        <v>0</v>
      </c>
      <c r="AP44" s="273">
        <v>0</v>
      </c>
      <c r="AQ44" s="273">
        <v>0</v>
      </c>
      <c r="AR44" s="273">
        <v>0</v>
      </c>
      <c r="AS44" s="273">
        <v>0</v>
      </c>
      <c r="AT44" s="273">
        <v>0</v>
      </c>
      <c r="AU44" s="273">
        <v>0</v>
      </c>
      <c r="AV44" s="273">
        <v>0</v>
      </c>
      <c r="AW44" s="273">
        <v>0</v>
      </c>
      <c r="AX44" s="273">
        <v>0</v>
      </c>
      <c r="AY44" s="273">
        <v>0</v>
      </c>
      <c r="AZ44" s="273">
        <v>0</v>
      </c>
      <c r="BA44" s="273">
        <v>0</v>
      </c>
      <c r="BB44" s="273">
        <f t="shared" si="20"/>
        <v>0</v>
      </c>
      <c r="BC44" s="273">
        <v>0</v>
      </c>
      <c r="BD44" s="273">
        <v>0</v>
      </c>
      <c r="BE44" s="273">
        <v>0</v>
      </c>
      <c r="BF44" s="273">
        <v>0</v>
      </c>
      <c r="BG44" s="273">
        <v>0</v>
      </c>
      <c r="BH44" s="273">
        <v>0</v>
      </c>
      <c r="BI44" s="273">
        <v>0</v>
      </c>
      <c r="BJ44" s="273">
        <v>0</v>
      </c>
      <c r="BK44" s="273">
        <v>0</v>
      </c>
      <c r="BL44" s="273">
        <v>0</v>
      </c>
      <c r="BM44" s="273">
        <v>0</v>
      </c>
      <c r="BN44" s="273">
        <v>0</v>
      </c>
      <c r="BO44" s="273">
        <f t="shared" si="21"/>
        <v>0</v>
      </c>
      <c r="BP44" s="273">
        <v>0</v>
      </c>
      <c r="BQ44" s="273">
        <v>0</v>
      </c>
      <c r="BR44" s="273">
        <v>0</v>
      </c>
      <c r="BS44" s="273">
        <v>0</v>
      </c>
      <c r="BT44" s="273">
        <v>0</v>
      </c>
      <c r="BU44" s="273">
        <v>0</v>
      </c>
      <c r="BV44" s="273">
        <v>0</v>
      </c>
      <c r="BW44" s="273">
        <v>0</v>
      </c>
      <c r="BX44" s="273">
        <v>0</v>
      </c>
      <c r="BY44" s="273">
        <v>0</v>
      </c>
      <c r="BZ44" s="273">
        <v>0</v>
      </c>
      <c r="CA44" s="273">
        <v>0</v>
      </c>
      <c r="CB44" s="273">
        <v>0</v>
      </c>
      <c r="CC44" s="282">
        <f t="shared" si="5"/>
        <v>1.5</v>
      </c>
      <c r="CD44" s="273" t="s">
        <v>71</v>
      </c>
      <c r="CP44" s="273">
        <v>1</v>
      </c>
      <c r="CQ44" s="273">
        <v>1</v>
      </c>
      <c r="DD44" s="273">
        <v>0</v>
      </c>
      <c r="DQ44" s="273">
        <v>0</v>
      </c>
      <c r="ED44" s="273">
        <v>0</v>
      </c>
      <c r="EQ44" s="273">
        <v>0</v>
      </c>
      <c r="ER44" s="273">
        <v>1</v>
      </c>
      <c r="ES44" s="273">
        <v>0</v>
      </c>
      <c r="ET44" s="273">
        <v>0</v>
      </c>
      <c r="EU44" s="273">
        <v>0</v>
      </c>
      <c r="EV44" s="273">
        <v>0</v>
      </c>
      <c r="EW44" s="273">
        <v>0</v>
      </c>
      <c r="FE44" s="273">
        <v>0</v>
      </c>
      <c r="FF44" s="273">
        <v>0</v>
      </c>
      <c r="FG44" s="273">
        <v>1.5</v>
      </c>
      <c r="FH44" s="273">
        <v>0</v>
      </c>
      <c r="FI44" s="273">
        <v>1.5</v>
      </c>
      <c r="FJ44" s="273">
        <v>1.5</v>
      </c>
      <c r="FK44" s="273">
        <v>0</v>
      </c>
      <c r="FL44" s="273">
        <v>0</v>
      </c>
      <c r="FM44" s="273">
        <v>0</v>
      </c>
      <c r="FN44" s="273">
        <v>0</v>
      </c>
      <c r="FO44" s="273">
        <v>1.5</v>
      </c>
    </row>
    <row r="45" spans="1:171" s="273" customFormat="1" x14ac:dyDescent="0.25">
      <c r="A45" s="495"/>
      <c r="B45" s="273" t="s">
        <v>52</v>
      </c>
      <c r="C45" s="273" t="s">
        <v>27</v>
      </c>
      <c r="D45" s="273" t="s">
        <v>107</v>
      </c>
      <c r="E45" s="273" t="s">
        <v>63</v>
      </c>
      <c r="F45" s="273" t="s">
        <v>108</v>
      </c>
      <c r="G45" s="273" t="s">
        <v>57</v>
      </c>
      <c r="I45" s="273" t="s">
        <v>620</v>
      </c>
      <c r="J45" s="273" t="s">
        <v>115</v>
      </c>
      <c r="K45" s="273" t="s">
        <v>57</v>
      </c>
      <c r="L45" s="273" t="s">
        <v>114</v>
      </c>
      <c r="M45" s="273" t="s">
        <v>57</v>
      </c>
      <c r="S45" s="273">
        <v>0</v>
      </c>
      <c r="T45" s="273">
        <v>0</v>
      </c>
      <c r="U45" s="273">
        <v>0</v>
      </c>
      <c r="V45" s="273">
        <v>0</v>
      </c>
      <c r="X45" s="273">
        <v>0</v>
      </c>
      <c r="Y45" s="273">
        <v>0</v>
      </c>
      <c r="Z45" s="273">
        <v>0</v>
      </c>
      <c r="AA45" s="273">
        <v>1.3</v>
      </c>
      <c r="AB45" s="273">
        <f t="shared" si="18"/>
        <v>1.3</v>
      </c>
      <c r="AC45" s="273">
        <v>0</v>
      </c>
      <c r="AD45" s="273">
        <v>0</v>
      </c>
      <c r="AE45" s="273">
        <v>0</v>
      </c>
      <c r="AF45" s="273">
        <v>0</v>
      </c>
      <c r="AG45" s="273">
        <v>0</v>
      </c>
      <c r="AH45" s="273">
        <v>0</v>
      </c>
      <c r="AI45" s="273">
        <v>0</v>
      </c>
      <c r="AJ45" s="273">
        <v>0</v>
      </c>
      <c r="AK45" s="273">
        <v>0</v>
      </c>
      <c r="AL45" s="273">
        <v>0</v>
      </c>
      <c r="AM45" s="273">
        <v>0</v>
      </c>
      <c r="AN45" s="273">
        <v>0</v>
      </c>
      <c r="AO45" s="273">
        <v>0</v>
      </c>
      <c r="AP45" s="273">
        <v>0</v>
      </c>
      <c r="AQ45" s="273">
        <v>0</v>
      </c>
      <c r="AR45" s="273">
        <v>0</v>
      </c>
      <c r="AS45" s="273">
        <v>0</v>
      </c>
      <c r="AT45" s="273">
        <v>0</v>
      </c>
      <c r="AU45" s="273">
        <v>0</v>
      </c>
      <c r="AV45" s="273">
        <v>0</v>
      </c>
      <c r="AW45" s="273">
        <v>0</v>
      </c>
      <c r="AX45" s="273">
        <v>0</v>
      </c>
      <c r="AY45" s="273">
        <v>0</v>
      </c>
      <c r="AZ45" s="273">
        <v>0</v>
      </c>
      <c r="BA45" s="273">
        <v>0</v>
      </c>
      <c r="BB45" s="273">
        <f t="shared" si="20"/>
        <v>0</v>
      </c>
      <c r="BC45" s="273">
        <v>0</v>
      </c>
      <c r="BD45" s="273">
        <v>0</v>
      </c>
      <c r="BE45" s="273">
        <v>0</v>
      </c>
      <c r="BF45" s="273">
        <v>0</v>
      </c>
      <c r="BG45" s="273">
        <v>0</v>
      </c>
      <c r="BH45" s="273">
        <v>0</v>
      </c>
      <c r="BI45" s="273">
        <v>0</v>
      </c>
      <c r="BJ45" s="273">
        <v>0</v>
      </c>
      <c r="BK45" s="273">
        <v>0</v>
      </c>
      <c r="BL45" s="273">
        <v>0</v>
      </c>
      <c r="BM45" s="273">
        <v>0</v>
      </c>
      <c r="BN45" s="273">
        <v>0</v>
      </c>
      <c r="BO45" s="273">
        <f t="shared" si="21"/>
        <v>0</v>
      </c>
      <c r="BP45" s="273">
        <v>0</v>
      </c>
      <c r="BQ45" s="273">
        <v>0</v>
      </c>
      <c r="BR45" s="273">
        <v>0</v>
      </c>
      <c r="BS45" s="273">
        <v>0</v>
      </c>
      <c r="BT45" s="273">
        <v>0</v>
      </c>
      <c r="BU45" s="273">
        <v>0</v>
      </c>
      <c r="BV45" s="273">
        <v>0</v>
      </c>
      <c r="BW45" s="273">
        <v>0</v>
      </c>
      <c r="BX45" s="273">
        <v>0</v>
      </c>
      <c r="BY45" s="273">
        <v>0</v>
      </c>
      <c r="BZ45" s="273">
        <v>0</v>
      </c>
      <c r="CA45" s="273">
        <v>0</v>
      </c>
      <c r="CB45" s="273">
        <v>0</v>
      </c>
      <c r="CC45" s="282">
        <f t="shared" si="5"/>
        <v>1.3</v>
      </c>
      <c r="CD45" s="273" t="s">
        <v>71</v>
      </c>
      <c r="CP45" s="273">
        <v>1</v>
      </c>
      <c r="CQ45" s="273">
        <v>1</v>
      </c>
      <c r="DD45" s="273">
        <v>0</v>
      </c>
      <c r="DQ45" s="273">
        <v>0</v>
      </c>
      <c r="ED45" s="273">
        <v>0</v>
      </c>
      <c r="EQ45" s="273">
        <v>0</v>
      </c>
      <c r="ER45" s="273">
        <v>1</v>
      </c>
      <c r="ES45" s="273">
        <v>0</v>
      </c>
      <c r="ET45" s="273">
        <v>0</v>
      </c>
      <c r="EU45" s="273">
        <v>0</v>
      </c>
      <c r="EV45" s="273">
        <v>0</v>
      </c>
      <c r="EW45" s="273">
        <v>0</v>
      </c>
      <c r="FE45" s="273">
        <v>0</v>
      </c>
      <c r="FF45" s="273">
        <v>0</v>
      </c>
      <c r="FG45" s="273">
        <v>1.3</v>
      </c>
      <c r="FH45" s="273">
        <v>0</v>
      </c>
      <c r="FI45" s="273">
        <v>1.3</v>
      </c>
      <c r="FJ45" s="273">
        <v>1.3</v>
      </c>
      <c r="FK45" s="273">
        <v>0</v>
      </c>
      <c r="FL45" s="273">
        <v>0</v>
      </c>
      <c r="FM45" s="273">
        <v>0</v>
      </c>
      <c r="FN45" s="273">
        <v>0</v>
      </c>
      <c r="FO45" s="273">
        <v>1.3</v>
      </c>
    </row>
    <row r="46" spans="1:171" s="298" customFormat="1" ht="15.75" customHeight="1" x14ac:dyDescent="0.25">
      <c r="A46" s="490" t="s">
        <v>1804</v>
      </c>
      <c r="B46" s="298" t="s">
        <v>55</v>
      </c>
      <c r="C46" s="298" t="s">
        <v>38</v>
      </c>
      <c r="D46" s="298" t="s">
        <v>455</v>
      </c>
      <c r="E46" s="298" t="s">
        <v>60</v>
      </c>
      <c r="F46" s="298" t="s">
        <v>456</v>
      </c>
      <c r="G46" s="298" t="s">
        <v>57</v>
      </c>
      <c r="H46" s="298" t="s">
        <v>1803</v>
      </c>
      <c r="I46" s="298" t="s">
        <v>458</v>
      </c>
      <c r="S46" s="298">
        <v>0</v>
      </c>
      <c r="T46" s="298">
        <v>0</v>
      </c>
      <c r="U46" s="298">
        <v>0</v>
      </c>
      <c r="V46" s="298">
        <v>0</v>
      </c>
      <c r="W46" s="298">
        <v>0</v>
      </c>
      <c r="X46" s="298">
        <v>0</v>
      </c>
      <c r="Y46" s="298">
        <v>0</v>
      </c>
      <c r="Z46" s="298">
        <v>50</v>
      </c>
      <c r="AA46" s="298">
        <v>0</v>
      </c>
      <c r="AB46" s="298">
        <f t="shared" si="18"/>
        <v>50</v>
      </c>
      <c r="AC46" s="298">
        <v>0</v>
      </c>
      <c r="AD46" s="298">
        <v>0</v>
      </c>
      <c r="AE46" s="298">
        <v>0</v>
      </c>
      <c r="AF46" s="298">
        <v>0</v>
      </c>
      <c r="AG46" s="298">
        <v>0</v>
      </c>
      <c r="AH46" s="298">
        <v>0</v>
      </c>
      <c r="AI46" s="298">
        <v>0</v>
      </c>
      <c r="AJ46" s="298">
        <v>0</v>
      </c>
      <c r="AK46" s="298">
        <v>0</v>
      </c>
      <c r="AL46" s="298">
        <v>0</v>
      </c>
      <c r="AM46" s="298">
        <v>0</v>
      </c>
      <c r="AN46" s="298">
        <v>0</v>
      </c>
      <c r="AO46" s="298">
        <f>SUM(AC46:AN46)</f>
        <v>0</v>
      </c>
      <c r="BB46" s="298">
        <f t="shared" ref="BB46:BB53" si="31">SUM(AP46:BA46)</f>
        <v>0</v>
      </c>
      <c r="BC46" s="298">
        <v>0</v>
      </c>
      <c r="BD46" s="298">
        <v>0</v>
      </c>
      <c r="BE46" s="298">
        <v>0</v>
      </c>
      <c r="BF46" s="298">
        <v>0</v>
      </c>
      <c r="BG46" s="298">
        <v>0</v>
      </c>
      <c r="BH46" s="298">
        <v>0</v>
      </c>
      <c r="BI46" s="298">
        <v>0</v>
      </c>
      <c r="BJ46" s="298">
        <v>0</v>
      </c>
      <c r="BK46" s="298">
        <v>0</v>
      </c>
      <c r="BL46" s="298">
        <v>0</v>
      </c>
      <c r="BM46" s="298">
        <v>0</v>
      </c>
      <c r="BN46" s="298">
        <v>0</v>
      </c>
      <c r="BO46" s="298">
        <f t="shared" ref="BO46:BO53" si="32">SUM(BC46:BN46)</f>
        <v>0</v>
      </c>
      <c r="BP46" s="298">
        <v>0</v>
      </c>
      <c r="BQ46" s="298">
        <v>0</v>
      </c>
      <c r="BR46" s="298">
        <v>0</v>
      </c>
      <c r="BS46" s="298">
        <v>0</v>
      </c>
      <c r="BT46" s="298">
        <v>0</v>
      </c>
      <c r="BU46" s="298">
        <v>0</v>
      </c>
      <c r="BV46" s="298">
        <v>0</v>
      </c>
      <c r="BW46" s="298">
        <v>0</v>
      </c>
      <c r="BX46" s="298">
        <v>0</v>
      </c>
      <c r="BY46" s="298">
        <v>0</v>
      </c>
      <c r="BZ46" s="298">
        <v>0</v>
      </c>
      <c r="CA46" s="298">
        <v>0</v>
      </c>
      <c r="CB46" s="298">
        <v>0</v>
      </c>
      <c r="CC46" s="299">
        <f t="shared" si="5"/>
        <v>50</v>
      </c>
      <c r="CD46" s="298" t="s">
        <v>106</v>
      </c>
      <c r="CS46" s="298">
        <f t="shared" ref="CS46:CS53" si="33">SUM(CG46:CR46)</f>
        <v>0</v>
      </c>
    </row>
    <row r="47" spans="1:171" s="298" customFormat="1" x14ac:dyDescent="0.25">
      <c r="A47" s="490"/>
      <c r="B47" s="298" t="s">
        <v>55</v>
      </c>
      <c r="C47" s="298" t="s">
        <v>38</v>
      </c>
      <c r="D47" s="298" t="s">
        <v>455</v>
      </c>
      <c r="E47" s="298" t="s">
        <v>60</v>
      </c>
      <c r="F47" s="298" t="s">
        <v>456</v>
      </c>
      <c r="G47" s="298" t="s">
        <v>57</v>
      </c>
      <c r="H47" s="298" t="s">
        <v>1803</v>
      </c>
      <c r="I47" s="298" t="s">
        <v>457</v>
      </c>
      <c r="S47" s="298">
        <v>0</v>
      </c>
      <c r="T47" s="298">
        <v>0</v>
      </c>
      <c r="U47" s="298">
        <v>0</v>
      </c>
      <c r="V47" s="298">
        <v>0</v>
      </c>
      <c r="W47" s="298">
        <v>0</v>
      </c>
      <c r="X47" s="298">
        <v>0</v>
      </c>
      <c r="Y47" s="298">
        <v>0</v>
      </c>
      <c r="Z47" s="298">
        <v>15</v>
      </c>
      <c r="AA47" s="298">
        <v>0</v>
      </c>
      <c r="AB47" s="298">
        <f t="shared" si="18"/>
        <v>15</v>
      </c>
      <c r="AC47" s="298">
        <v>0</v>
      </c>
      <c r="AD47" s="298">
        <v>0</v>
      </c>
      <c r="AE47" s="298">
        <v>0</v>
      </c>
      <c r="AF47" s="298">
        <v>0</v>
      </c>
      <c r="AG47" s="298">
        <v>0</v>
      </c>
      <c r="AH47" s="298">
        <v>0</v>
      </c>
      <c r="AI47" s="298">
        <v>0</v>
      </c>
      <c r="AJ47" s="298">
        <v>0</v>
      </c>
      <c r="AK47" s="298">
        <v>0</v>
      </c>
      <c r="AL47" s="298">
        <v>0</v>
      </c>
      <c r="AM47" s="298">
        <v>0</v>
      </c>
      <c r="AN47" s="298">
        <v>0</v>
      </c>
      <c r="AO47" s="298">
        <f t="shared" ref="AO47:AO69" si="34">SUM(AC47:AN47)</f>
        <v>0</v>
      </c>
      <c r="BB47" s="298">
        <f t="shared" si="31"/>
        <v>0</v>
      </c>
      <c r="BC47" s="298">
        <v>0</v>
      </c>
      <c r="BD47" s="298">
        <v>0</v>
      </c>
      <c r="BE47" s="298">
        <v>0</v>
      </c>
      <c r="BF47" s="298">
        <v>0</v>
      </c>
      <c r="BG47" s="298">
        <v>0</v>
      </c>
      <c r="BH47" s="298">
        <v>0</v>
      </c>
      <c r="BI47" s="298">
        <v>0</v>
      </c>
      <c r="BJ47" s="298">
        <v>0</v>
      </c>
      <c r="BK47" s="298">
        <v>0</v>
      </c>
      <c r="BL47" s="298">
        <v>0</v>
      </c>
      <c r="BM47" s="298">
        <v>0</v>
      </c>
      <c r="BN47" s="298">
        <v>0</v>
      </c>
      <c r="BO47" s="298">
        <f t="shared" si="32"/>
        <v>0</v>
      </c>
      <c r="BP47" s="298">
        <v>0</v>
      </c>
      <c r="BQ47" s="298">
        <v>0</v>
      </c>
      <c r="BR47" s="298">
        <v>0</v>
      </c>
      <c r="BS47" s="298">
        <v>0</v>
      </c>
      <c r="BT47" s="298">
        <v>0</v>
      </c>
      <c r="BU47" s="298">
        <v>0</v>
      </c>
      <c r="BV47" s="298">
        <v>0</v>
      </c>
      <c r="BW47" s="298">
        <v>0</v>
      </c>
      <c r="BX47" s="298">
        <v>0</v>
      </c>
      <c r="BY47" s="298">
        <v>0</v>
      </c>
      <c r="BZ47" s="298">
        <v>0</v>
      </c>
      <c r="CA47" s="298">
        <v>0</v>
      </c>
      <c r="CB47" s="298">
        <v>0</v>
      </c>
      <c r="CC47" s="299">
        <f t="shared" si="5"/>
        <v>15</v>
      </c>
      <c r="CD47" s="298" t="s">
        <v>106</v>
      </c>
      <c r="CS47" s="298">
        <f t="shared" si="33"/>
        <v>0</v>
      </c>
    </row>
    <row r="48" spans="1:171" s="298" customFormat="1" x14ac:dyDescent="0.25">
      <c r="A48" s="490"/>
      <c r="B48" s="298" t="s">
        <v>55</v>
      </c>
      <c r="C48" s="298" t="s">
        <v>38</v>
      </c>
      <c r="D48" s="298" t="s">
        <v>461</v>
      </c>
      <c r="E48" s="298" t="s">
        <v>60</v>
      </c>
      <c r="F48" s="298" t="s">
        <v>462</v>
      </c>
      <c r="G48" s="298" t="s">
        <v>57</v>
      </c>
      <c r="H48" s="298" t="s">
        <v>1803</v>
      </c>
      <c r="I48" s="298" t="s">
        <v>487</v>
      </c>
      <c r="S48" s="298">
        <v>0</v>
      </c>
      <c r="T48" s="298">
        <v>0</v>
      </c>
      <c r="U48" s="298">
        <v>0</v>
      </c>
      <c r="V48" s="298">
        <v>0</v>
      </c>
      <c r="W48" s="298">
        <v>0</v>
      </c>
      <c r="X48" s="298">
        <v>0</v>
      </c>
      <c r="Y48" s="298">
        <v>10</v>
      </c>
      <c r="Z48" s="298">
        <v>0</v>
      </c>
      <c r="AA48" s="298">
        <v>0</v>
      </c>
      <c r="AB48" s="298">
        <f t="shared" si="18"/>
        <v>10</v>
      </c>
      <c r="AC48" s="298">
        <v>0</v>
      </c>
      <c r="AD48" s="298">
        <v>0</v>
      </c>
      <c r="AE48" s="298">
        <v>0</v>
      </c>
      <c r="AF48" s="298">
        <v>0</v>
      </c>
      <c r="AG48" s="298">
        <v>0</v>
      </c>
      <c r="AH48" s="298">
        <v>0</v>
      </c>
      <c r="AI48" s="298">
        <v>0</v>
      </c>
      <c r="AJ48" s="298">
        <v>0</v>
      </c>
      <c r="AK48" s="298">
        <v>0</v>
      </c>
      <c r="AL48" s="298">
        <v>0</v>
      </c>
      <c r="AM48" s="298">
        <v>0</v>
      </c>
      <c r="AN48" s="298">
        <v>0</v>
      </c>
      <c r="AO48" s="298">
        <f t="shared" si="34"/>
        <v>0</v>
      </c>
      <c r="BB48" s="298">
        <f t="shared" si="31"/>
        <v>0</v>
      </c>
      <c r="BC48" s="298">
        <v>0</v>
      </c>
      <c r="BD48" s="298">
        <v>0</v>
      </c>
      <c r="BE48" s="298">
        <v>0</v>
      </c>
      <c r="BF48" s="298">
        <v>0</v>
      </c>
      <c r="BG48" s="298">
        <v>0</v>
      </c>
      <c r="BH48" s="298">
        <v>0</v>
      </c>
      <c r="BI48" s="298">
        <v>0</v>
      </c>
      <c r="BJ48" s="298">
        <v>0</v>
      </c>
      <c r="BK48" s="298">
        <v>0</v>
      </c>
      <c r="BL48" s="298">
        <v>0</v>
      </c>
      <c r="BM48" s="298">
        <v>0</v>
      </c>
      <c r="BN48" s="298">
        <v>0</v>
      </c>
      <c r="BO48" s="298">
        <f t="shared" si="32"/>
        <v>0</v>
      </c>
      <c r="BP48" s="298">
        <v>0</v>
      </c>
      <c r="BQ48" s="298">
        <v>0</v>
      </c>
      <c r="BR48" s="298">
        <v>0</v>
      </c>
      <c r="BS48" s="298">
        <v>0</v>
      </c>
      <c r="BT48" s="298">
        <v>0</v>
      </c>
      <c r="BU48" s="298">
        <v>0</v>
      </c>
      <c r="BV48" s="298">
        <v>0</v>
      </c>
      <c r="BW48" s="298">
        <v>0</v>
      </c>
      <c r="BX48" s="298">
        <v>0</v>
      </c>
      <c r="BY48" s="298">
        <v>0</v>
      </c>
      <c r="BZ48" s="298">
        <v>0</v>
      </c>
      <c r="CA48" s="298">
        <v>0</v>
      </c>
      <c r="CB48" s="298">
        <v>0</v>
      </c>
      <c r="CC48" s="299">
        <f t="shared" si="5"/>
        <v>10</v>
      </c>
      <c r="CD48" s="298" t="s">
        <v>106</v>
      </c>
      <c r="CS48" s="298">
        <f t="shared" si="33"/>
        <v>0</v>
      </c>
    </row>
    <row r="49" spans="1:97" s="298" customFormat="1" x14ac:dyDescent="0.25">
      <c r="A49" s="490"/>
      <c r="B49" s="298" t="s">
        <v>55</v>
      </c>
      <c r="C49" s="298" t="s">
        <v>38</v>
      </c>
      <c r="D49" s="298" t="s">
        <v>459</v>
      </c>
      <c r="E49" s="298" t="s">
        <v>60</v>
      </c>
      <c r="F49" s="298" t="s">
        <v>460</v>
      </c>
      <c r="G49" s="298" t="s">
        <v>57</v>
      </c>
      <c r="H49" s="298" t="s">
        <v>1803</v>
      </c>
      <c r="I49" s="298" t="s">
        <v>993</v>
      </c>
      <c r="S49" s="298">
        <v>0</v>
      </c>
      <c r="T49" s="298">
        <v>0</v>
      </c>
      <c r="U49" s="298">
        <v>0</v>
      </c>
      <c r="V49" s="298">
        <v>0</v>
      </c>
      <c r="W49" s="298">
        <v>0</v>
      </c>
      <c r="X49" s="298">
        <v>0</v>
      </c>
      <c r="Y49" s="298">
        <v>4.8</v>
      </c>
      <c r="Z49" s="298">
        <v>0</v>
      </c>
      <c r="AA49" s="298">
        <v>2.4</v>
      </c>
      <c r="AB49" s="298">
        <f t="shared" si="18"/>
        <v>7.1999999999999993</v>
      </c>
      <c r="AC49" s="298">
        <v>0</v>
      </c>
      <c r="AD49" s="298">
        <v>0</v>
      </c>
      <c r="AE49" s="298">
        <v>0</v>
      </c>
      <c r="AF49" s="298">
        <v>0</v>
      </c>
      <c r="AG49" s="298">
        <v>0</v>
      </c>
      <c r="AH49" s="298">
        <v>0</v>
      </c>
      <c r="AI49" s="298">
        <v>0</v>
      </c>
      <c r="AJ49" s="298">
        <v>0</v>
      </c>
      <c r="AK49" s="298">
        <v>0</v>
      </c>
      <c r="AL49" s="298">
        <v>0</v>
      </c>
      <c r="AM49" s="298">
        <v>0</v>
      </c>
      <c r="AN49" s="298">
        <v>0</v>
      </c>
      <c r="AO49" s="298">
        <f t="shared" si="34"/>
        <v>0</v>
      </c>
      <c r="BB49" s="298">
        <f t="shared" si="31"/>
        <v>0</v>
      </c>
      <c r="BC49" s="298">
        <v>0</v>
      </c>
      <c r="BD49" s="298">
        <v>0</v>
      </c>
      <c r="BE49" s="298">
        <v>0</v>
      </c>
      <c r="BF49" s="298">
        <v>0</v>
      </c>
      <c r="BG49" s="298">
        <v>0</v>
      </c>
      <c r="BH49" s="298">
        <v>0</v>
      </c>
      <c r="BI49" s="298">
        <v>0</v>
      </c>
      <c r="BJ49" s="298">
        <v>0</v>
      </c>
      <c r="BK49" s="298">
        <v>0</v>
      </c>
      <c r="BL49" s="298">
        <v>0</v>
      </c>
      <c r="BM49" s="298">
        <v>0</v>
      </c>
      <c r="BN49" s="298">
        <v>0</v>
      </c>
      <c r="BO49" s="298">
        <f t="shared" si="32"/>
        <v>0</v>
      </c>
      <c r="BP49" s="298">
        <v>0</v>
      </c>
      <c r="BQ49" s="298">
        <v>0</v>
      </c>
      <c r="BR49" s="298">
        <v>0</v>
      </c>
      <c r="BS49" s="298">
        <v>0</v>
      </c>
      <c r="BT49" s="298">
        <v>0</v>
      </c>
      <c r="BU49" s="298">
        <v>0</v>
      </c>
      <c r="BV49" s="298">
        <v>0</v>
      </c>
      <c r="BW49" s="298">
        <v>0</v>
      </c>
      <c r="BX49" s="298">
        <v>0</v>
      </c>
      <c r="BY49" s="298">
        <v>0</v>
      </c>
      <c r="BZ49" s="298">
        <v>0</v>
      </c>
      <c r="CA49" s="298">
        <v>0</v>
      </c>
      <c r="CB49" s="298">
        <v>0</v>
      </c>
      <c r="CC49" s="299">
        <f t="shared" si="5"/>
        <v>7.1999999999999993</v>
      </c>
      <c r="CD49" s="298" t="s">
        <v>106</v>
      </c>
      <c r="CS49" s="298">
        <f t="shared" si="33"/>
        <v>0</v>
      </c>
    </row>
    <row r="50" spans="1:97" s="298" customFormat="1" x14ac:dyDescent="0.25">
      <c r="A50" s="490"/>
      <c r="B50" s="298" t="s">
        <v>55</v>
      </c>
      <c r="C50" s="298" t="s">
        <v>38</v>
      </c>
      <c r="D50" s="298" t="s">
        <v>461</v>
      </c>
      <c r="E50" s="298" t="s">
        <v>60</v>
      </c>
      <c r="F50" s="298" t="s">
        <v>462</v>
      </c>
      <c r="G50" s="298" t="s">
        <v>57</v>
      </c>
      <c r="H50" s="298" t="s">
        <v>1803</v>
      </c>
      <c r="I50" s="298" t="s">
        <v>484</v>
      </c>
      <c r="S50" s="298">
        <v>0</v>
      </c>
      <c r="T50" s="298">
        <v>0</v>
      </c>
      <c r="U50" s="298">
        <v>0</v>
      </c>
      <c r="V50" s="298">
        <v>0</v>
      </c>
      <c r="W50" s="298">
        <v>0</v>
      </c>
      <c r="X50" s="298">
        <v>0</v>
      </c>
      <c r="Y50" s="298">
        <v>6.8</v>
      </c>
      <c r="Z50" s="298">
        <v>0</v>
      </c>
      <c r="AA50" s="298">
        <v>0</v>
      </c>
      <c r="AB50" s="298">
        <f t="shared" si="18"/>
        <v>6.8</v>
      </c>
      <c r="AC50" s="298">
        <v>0</v>
      </c>
      <c r="AD50" s="298">
        <v>0</v>
      </c>
      <c r="AE50" s="298">
        <v>0</v>
      </c>
      <c r="AF50" s="298">
        <v>0</v>
      </c>
      <c r="AG50" s="298">
        <v>0</v>
      </c>
      <c r="AH50" s="298">
        <v>0</v>
      </c>
      <c r="AI50" s="298">
        <v>0</v>
      </c>
      <c r="AJ50" s="298">
        <v>0</v>
      </c>
      <c r="AK50" s="298">
        <v>0</v>
      </c>
      <c r="AL50" s="298">
        <v>0</v>
      </c>
      <c r="AM50" s="298">
        <v>0</v>
      </c>
      <c r="AN50" s="298">
        <v>0</v>
      </c>
      <c r="AO50" s="298">
        <f t="shared" si="34"/>
        <v>0</v>
      </c>
      <c r="BB50" s="298">
        <f t="shared" si="31"/>
        <v>0</v>
      </c>
      <c r="BC50" s="298">
        <v>0</v>
      </c>
      <c r="BD50" s="298">
        <v>0</v>
      </c>
      <c r="BE50" s="298">
        <v>0</v>
      </c>
      <c r="BF50" s="298">
        <v>0</v>
      </c>
      <c r="BG50" s="298">
        <v>0</v>
      </c>
      <c r="BH50" s="298">
        <v>0</v>
      </c>
      <c r="BI50" s="298">
        <v>0</v>
      </c>
      <c r="BJ50" s="298">
        <v>0</v>
      </c>
      <c r="BK50" s="298">
        <v>0</v>
      </c>
      <c r="BL50" s="298">
        <v>0</v>
      </c>
      <c r="BM50" s="298">
        <v>0</v>
      </c>
      <c r="BN50" s="298">
        <v>0</v>
      </c>
      <c r="BO50" s="298">
        <f t="shared" si="32"/>
        <v>0</v>
      </c>
      <c r="BP50" s="298">
        <v>0</v>
      </c>
      <c r="BQ50" s="298">
        <v>0</v>
      </c>
      <c r="BR50" s="298">
        <v>0</v>
      </c>
      <c r="BS50" s="298">
        <v>0</v>
      </c>
      <c r="BT50" s="298">
        <v>0</v>
      </c>
      <c r="BU50" s="298">
        <v>0</v>
      </c>
      <c r="BV50" s="298">
        <v>0</v>
      </c>
      <c r="BW50" s="298">
        <v>0</v>
      </c>
      <c r="BX50" s="298">
        <v>0</v>
      </c>
      <c r="BY50" s="298">
        <v>0</v>
      </c>
      <c r="BZ50" s="298">
        <v>0</v>
      </c>
      <c r="CA50" s="298">
        <v>0</v>
      </c>
      <c r="CB50" s="298">
        <v>0</v>
      </c>
      <c r="CC50" s="299">
        <f t="shared" si="5"/>
        <v>6.8</v>
      </c>
      <c r="CD50" s="298" t="s">
        <v>106</v>
      </c>
      <c r="CS50" s="298">
        <f t="shared" si="33"/>
        <v>0</v>
      </c>
    </row>
    <row r="51" spans="1:97" s="298" customFormat="1" x14ac:dyDescent="0.25">
      <c r="A51" s="490"/>
      <c r="B51" s="298" t="s">
        <v>55</v>
      </c>
      <c r="C51" s="298" t="s">
        <v>38</v>
      </c>
      <c r="D51" s="298" t="s">
        <v>461</v>
      </c>
      <c r="E51" s="298" t="s">
        <v>60</v>
      </c>
      <c r="F51" s="298" t="s">
        <v>462</v>
      </c>
      <c r="G51" s="298" t="s">
        <v>57</v>
      </c>
      <c r="H51" s="298" t="s">
        <v>1803</v>
      </c>
      <c r="I51" s="298" t="s">
        <v>649</v>
      </c>
      <c r="S51" s="298">
        <v>0</v>
      </c>
      <c r="T51" s="298">
        <v>0</v>
      </c>
      <c r="U51" s="298">
        <v>0</v>
      </c>
      <c r="V51" s="298">
        <v>0</v>
      </c>
      <c r="W51" s="298">
        <v>0</v>
      </c>
      <c r="X51" s="298">
        <v>0</v>
      </c>
      <c r="Y51" s="298">
        <v>5</v>
      </c>
      <c r="Z51" s="298">
        <v>0</v>
      </c>
      <c r="AA51" s="298">
        <v>0</v>
      </c>
      <c r="AB51" s="298">
        <f t="shared" si="18"/>
        <v>5</v>
      </c>
      <c r="AC51" s="298">
        <v>0</v>
      </c>
      <c r="AD51" s="298">
        <v>0</v>
      </c>
      <c r="AE51" s="298">
        <v>0</v>
      </c>
      <c r="AF51" s="298">
        <v>0</v>
      </c>
      <c r="AG51" s="298">
        <v>0</v>
      </c>
      <c r="AH51" s="298">
        <v>0</v>
      </c>
      <c r="AI51" s="298">
        <v>0</v>
      </c>
      <c r="AJ51" s="298">
        <v>0</v>
      </c>
      <c r="AK51" s="298">
        <v>0</v>
      </c>
      <c r="AL51" s="298">
        <v>0</v>
      </c>
      <c r="AM51" s="298">
        <v>0</v>
      </c>
      <c r="AN51" s="298">
        <v>0</v>
      </c>
      <c r="AO51" s="298">
        <f t="shared" si="34"/>
        <v>0</v>
      </c>
      <c r="BB51" s="298">
        <f t="shared" si="31"/>
        <v>0</v>
      </c>
      <c r="BC51" s="298">
        <v>0</v>
      </c>
      <c r="BD51" s="298">
        <v>0</v>
      </c>
      <c r="BE51" s="298">
        <v>0</v>
      </c>
      <c r="BF51" s="298">
        <v>0</v>
      </c>
      <c r="BG51" s="298">
        <v>0</v>
      </c>
      <c r="BH51" s="298">
        <v>0</v>
      </c>
      <c r="BI51" s="298">
        <v>0</v>
      </c>
      <c r="BJ51" s="298">
        <v>0</v>
      </c>
      <c r="BK51" s="298">
        <v>0</v>
      </c>
      <c r="BL51" s="298">
        <v>0</v>
      </c>
      <c r="BM51" s="298">
        <v>0</v>
      </c>
      <c r="BN51" s="298">
        <v>0</v>
      </c>
      <c r="BO51" s="298">
        <f t="shared" si="32"/>
        <v>0</v>
      </c>
      <c r="BP51" s="298">
        <v>0</v>
      </c>
      <c r="BQ51" s="298">
        <v>0</v>
      </c>
      <c r="BR51" s="298">
        <v>0</v>
      </c>
      <c r="BS51" s="298">
        <v>0</v>
      </c>
      <c r="BT51" s="298">
        <v>0</v>
      </c>
      <c r="BU51" s="298">
        <v>0</v>
      </c>
      <c r="BV51" s="298">
        <v>0</v>
      </c>
      <c r="BW51" s="298">
        <v>0</v>
      </c>
      <c r="BX51" s="298">
        <v>0</v>
      </c>
      <c r="BY51" s="298">
        <v>0</v>
      </c>
      <c r="BZ51" s="298">
        <v>0</v>
      </c>
      <c r="CA51" s="298">
        <v>0</v>
      </c>
      <c r="CB51" s="298">
        <v>0</v>
      </c>
      <c r="CC51" s="299">
        <f t="shared" si="5"/>
        <v>5</v>
      </c>
      <c r="CD51" s="298" t="s">
        <v>106</v>
      </c>
      <c r="CS51" s="298">
        <f t="shared" si="33"/>
        <v>0</v>
      </c>
    </row>
    <row r="52" spans="1:97" s="173" customFormat="1" x14ac:dyDescent="0.25">
      <c r="A52" s="300" t="s">
        <v>1811</v>
      </c>
      <c r="B52" s="173" t="s">
        <v>55</v>
      </c>
      <c r="C52" s="173" t="s">
        <v>38</v>
      </c>
      <c r="D52" s="173" t="s">
        <v>1586</v>
      </c>
      <c r="E52" s="173" t="s">
        <v>60</v>
      </c>
      <c r="F52" s="173" t="s">
        <v>466</v>
      </c>
      <c r="G52" s="173" t="s">
        <v>57</v>
      </c>
      <c r="H52" s="173" t="s">
        <v>1810</v>
      </c>
      <c r="I52" s="173" t="s">
        <v>467</v>
      </c>
      <c r="Y52" s="173">
        <v>125</v>
      </c>
      <c r="AB52" s="173">
        <f t="shared" si="18"/>
        <v>125</v>
      </c>
      <c r="AO52" s="173">
        <f>AO54</f>
        <v>183.80963500000001</v>
      </c>
      <c r="BB52" s="173">
        <f t="shared" si="31"/>
        <v>0</v>
      </c>
      <c r="BO52" s="173">
        <f t="shared" si="32"/>
        <v>0</v>
      </c>
      <c r="CB52" s="173">
        <f>SUM(BP52:CA52)</f>
        <v>0</v>
      </c>
      <c r="CC52" s="301">
        <f t="shared" si="5"/>
        <v>308.80963500000001</v>
      </c>
      <c r="CD52" s="173" t="s">
        <v>106</v>
      </c>
      <c r="CP52" s="173">
        <v>25</v>
      </c>
      <c r="CS52" s="173">
        <f t="shared" si="33"/>
        <v>25</v>
      </c>
    </row>
    <row r="53" spans="1:97" s="173" customFormat="1" x14ac:dyDescent="0.25">
      <c r="A53" s="300"/>
      <c r="B53" s="173" t="s">
        <v>55</v>
      </c>
      <c r="C53" s="173" t="s">
        <v>38</v>
      </c>
      <c r="D53" s="173" t="s">
        <v>1585</v>
      </c>
      <c r="E53" s="173" t="s">
        <v>60</v>
      </c>
      <c r="F53" s="173" t="s">
        <v>466</v>
      </c>
      <c r="G53" s="173" t="s">
        <v>57</v>
      </c>
      <c r="H53" s="173" t="s">
        <v>1810</v>
      </c>
      <c r="I53" s="173" t="s">
        <v>468</v>
      </c>
      <c r="Z53" s="173">
        <v>48</v>
      </c>
      <c r="AB53" s="173">
        <f t="shared" si="18"/>
        <v>48</v>
      </c>
      <c r="AO53" s="173">
        <f t="shared" si="34"/>
        <v>0</v>
      </c>
      <c r="BB53" s="173">
        <f t="shared" si="31"/>
        <v>0</v>
      </c>
      <c r="BO53" s="173">
        <f t="shared" si="32"/>
        <v>0</v>
      </c>
      <c r="CB53" s="173">
        <f>SUM(BP53:CA53)</f>
        <v>0</v>
      </c>
      <c r="CC53" s="301">
        <f t="shared" si="5"/>
        <v>48</v>
      </c>
      <c r="CD53" s="173" t="s">
        <v>106</v>
      </c>
      <c r="CO53" s="173">
        <v>1</v>
      </c>
      <c r="CS53" s="173">
        <f t="shared" si="33"/>
        <v>1</v>
      </c>
    </row>
    <row r="54" spans="1:97" s="298" customFormat="1" x14ac:dyDescent="0.25">
      <c r="A54" s="490" t="s">
        <v>1921</v>
      </c>
      <c r="B54" s="298" t="s">
        <v>52</v>
      </c>
      <c r="C54" s="298" t="s">
        <v>1431</v>
      </c>
      <c r="D54" s="298" t="s">
        <v>107</v>
      </c>
      <c r="E54" s="298" t="s">
        <v>63</v>
      </c>
      <c r="F54" s="298" t="s">
        <v>1742</v>
      </c>
      <c r="G54" s="298" t="s">
        <v>57</v>
      </c>
      <c r="H54" s="334" t="s">
        <v>1922</v>
      </c>
      <c r="I54" s="298" t="s">
        <v>119</v>
      </c>
      <c r="J54" s="298" t="s">
        <v>120</v>
      </c>
      <c r="K54" s="298" t="s">
        <v>57</v>
      </c>
      <c r="L54" s="298" t="s">
        <v>118</v>
      </c>
      <c r="M54" s="298" t="s">
        <v>57</v>
      </c>
      <c r="AE54" s="335">
        <v>183.80963500000001</v>
      </c>
      <c r="AO54" s="335">
        <f t="shared" si="34"/>
        <v>183.80963500000001</v>
      </c>
      <c r="CC54" s="299">
        <f t="shared" si="5"/>
        <v>183.80963500000001</v>
      </c>
    </row>
    <row r="55" spans="1:97" s="298" customFormat="1" x14ac:dyDescent="0.25">
      <c r="A55" s="490"/>
      <c r="B55" s="298" t="s">
        <v>52</v>
      </c>
      <c r="C55" s="298" t="s">
        <v>1431</v>
      </c>
      <c r="D55" s="298" t="s">
        <v>1599</v>
      </c>
      <c r="E55" s="298" t="s">
        <v>63</v>
      </c>
      <c r="F55" s="298" t="s">
        <v>1742</v>
      </c>
      <c r="G55" s="298" t="s">
        <v>57</v>
      </c>
      <c r="H55" s="334" t="s">
        <v>1922</v>
      </c>
      <c r="I55" s="298" t="s">
        <v>611</v>
      </c>
      <c r="J55" s="298" t="s">
        <v>147</v>
      </c>
      <c r="K55" s="298" t="s">
        <v>57</v>
      </c>
      <c r="L55" s="298" t="s">
        <v>148</v>
      </c>
      <c r="M55" s="298" t="s">
        <v>57</v>
      </c>
      <c r="AE55" s="335">
        <v>44.39452</v>
      </c>
      <c r="AO55" s="335">
        <f t="shared" si="34"/>
        <v>44.39452</v>
      </c>
      <c r="CC55" s="299">
        <f t="shared" si="5"/>
        <v>44.39452</v>
      </c>
    </row>
    <row r="56" spans="1:97" s="298" customFormat="1" x14ac:dyDescent="0.25">
      <c r="A56" s="490"/>
      <c r="B56" s="298" t="s">
        <v>52</v>
      </c>
      <c r="C56" s="298" t="s">
        <v>1431</v>
      </c>
      <c r="D56" s="298" t="s">
        <v>1599</v>
      </c>
      <c r="E56" s="298" t="s">
        <v>63</v>
      </c>
      <c r="F56" s="298" t="s">
        <v>1742</v>
      </c>
      <c r="G56" s="298" t="s">
        <v>57</v>
      </c>
      <c r="H56" s="334" t="s">
        <v>1922</v>
      </c>
      <c r="I56" s="298" t="s">
        <v>814</v>
      </c>
      <c r="J56" s="298" t="s">
        <v>814</v>
      </c>
      <c r="K56" s="298" t="s">
        <v>57</v>
      </c>
      <c r="L56" s="298" t="s">
        <v>815</v>
      </c>
      <c r="M56" s="298" t="s">
        <v>57</v>
      </c>
      <c r="AE56" s="335">
        <v>32.434899999999999</v>
      </c>
      <c r="AO56" s="335">
        <f t="shared" si="34"/>
        <v>32.434899999999999</v>
      </c>
      <c r="CC56" s="299">
        <f t="shared" si="5"/>
        <v>32.434899999999999</v>
      </c>
    </row>
    <row r="57" spans="1:97" s="298" customFormat="1" x14ac:dyDescent="0.25">
      <c r="A57" s="490"/>
      <c r="B57" s="298" t="s">
        <v>52</v>
      </c>
      <c r="C57" s="298" t="s">
        <v>1431</v>
      </c>
      <c r="D57" s="298" t="s">
        <v>107</v>
      </c>
      <c r="E57" s="298" t="s">
        <v>63</v>
      </c>
      <c r="F57" s="298" t="s">
        <v>1742</v>
      </c>
      <c r="G57" s="298" t="s">
        <v>57</v>
      </c>
      <c r="H57" s="334" t="s">
        <v>1922</v>
      </c>
      <c r="I57" s="298" t="s">
        <v>610</v>
      </c>
      <c r="J57" s="298" t="s">
        <v>145</v>
      </c>
      <c r="K57" s="298" t="s">
        <v>57</v>
      </c>
      <c r="L57" s="298" t="s">
        <v>137</v>
      </c>
      <c r="M57" s="298" t="s">
        <v>57</v>
      </c>
      <c r="AE57" s="335">
        <v>31.924571428571397</v>
      </c>
      <c r="AO57" s="335">
        <f t="shared" si="34"/>
        <v>31.924571428571397</v>
      </c>
      <c r="CC57" s="299">
        <f t="shared" si="5"/>
        <v>31.924571428571397</v>
      </c>
    </row>
    <row r="58" spans="1:97" s="298" customFormat="1" x14ac:dyDescent="0.25">
      <c r="A58" s="490"/>
      <c r="B58" s="298" t="s">
        <v>52</v>
      </c>
      <c r="C58" s="298" t="s">
        <v>1431</v>
      </c>
      <c r="D58" s="298" t="s">
        <v>107</v>
      </c>
      <c r="E58" s="298" t="s">
        <v>63</v>
      </c>
      <c r="F58" s="298" t="s">
        <v>1742</v>
      </c>
      <c r="G58" s="298" t="s">
        <v>57</v>
      </c>
      <c r="H58" s="334" t="s">
        <v>1922</v>
      </c>
      <c r="I58" s="298" t="s">
        <v>609</v>
      </c>
      <c r="J58" s="298" t="s">
        <v>144</v>
      </c>
      <c r="K58" s="298" t="s">
        <v>57</v>
      </c>
      <c r="L58" s="298" t="s">
        <v>137</v>
      </c>
      <c r="M58" s="298" t="s">
        <v>57</v>
      </c>
      <c r="AE58" s="335">
        <v>31.766669999999998</v>
      </c>
      <c r="AO58" s="335">
        <f t="shared" si="34"/>
        <v>31.766669999999998</v>
      </c>
      <c r="CC58" s="299">
        <f t="shared" si="5"/>
        <v>31.766669999999998</v>
      </c>
    </row>
    <row r="59" spans="1:97" s="298" customFormat="1" x14ac:dyDescent="0.25">
      <c r="A59" s="490"/>
      <c r="B59" s="298" t="s">
        <v>52</v>
      </c>
      <c r="C59" s="298" t="s">
        <v>1431</v>
      </c>
      <c r="D59" s="298" t="s">
        <v>107</v>
      </c>
      <c r="E59" s="298" t="s">
        <v>63</v>
      </c>
      <c r="F59" s="298" t="s">
        <v>1742</v>
      </c>
      <c r="G59" s="298" t="s">
        <v>57</v>
      </c>
      <c r="H59" s="334" t="s">
        <v>1922</v>
      </c>
      <c r="I59" s="298" t="s">
        <v>812</v>
      </c>
      <c r="J59" s="298" t="s">
        <v>813</v>
      </c>
      <c r="K59" s="298" t="s">
        <v>57</v>
      </c>
      <c r="L59" s="298" t="s">
        <v>137</v>
      </c>
      <c r="M59" s="298" t="s">
        <v>57</v>
      </c>
      <c r="AE59" s="335">
        <v>28.64</v>
      </c>
      <c r="AO59" s="335">
        <f t="shared" si="34"/>
        <v>28.64</v>
      </c>
      <c r="CC59" s="299">
        <f t="shared" si="5"/>
        <v>28.64</v>
      </c>
    </row>
    <row r="60" spans="1:97" s="298" customFormat="1" x14ac:dyDescent="0.25">
      <c r="A60" s="490"/>
      <c r="B60" s="298" t="s">
        <v>52</v>
      </c>
      <c r="C60" s="298" t="s">
        <v>1431</v>
      </c>
      <c r="D60" s="298" t="s">
        <v>155</v>
      </c>
      <c r="E60" s="298" t="s">
        <v>63</v>
      </c>
      <c r="F60" s="298" t="s">
        <v>1742</v>
      </c>
      <c r="G60" s="298" t="s">
        <v>57</v>
      </c>
      <c r="H60" s="334" t="s">
        <v>1922</v>
      </c>
      <c r="I60" s="298" t="s">
        <v>617</v>
      </c>
      <c r="J60" s="298" t="s">
        <v>157</v>
      </c>
      <c r="K60" s="298" t="s">
        <v>57</v>
      </c>
      <c r="L60" s="298" t="s">
        <v>158</v>
      </c>
      <c r="M60" s="298" t="s">
        <v>57</v>
      </c>
      <c r="AE60" s="335">
        <v>12</v>
      </c>
      <c r="AO60" s="335">
        <f t="shared" si="34"/>
        <v>12</v>
      </c>
      <c r="CC60" s="299">
        <f t="shared" si="5"/>
        <v>12</v>
      </c>
    </row>
    <row r="61" spans="1:97" s="298" customFormat="1" x14ac:dyDescent="0.25">
      <c r="A61" s="490"/>
      <c r="B61" s="298" t="s">
        <v>52</v>
      </c>
      <c r="C61" s="298" t="s">
        <v>1431</v>
      </c>
      <c r="D61" s="298" t="s">
        <v>1599</v>
      </c>
      <c r="E61" s="298" t="s">
        <v>63</v>
      </c>
      <c r="F61" s="298" t="s">
        <v>1742</v>
      </c>
      <c r="G61" s="298" t="s">
        <v>57</v>
      </c>
      <c r="H61" s="334" t="s">
        <v>1922</v>
      </c>
      <c r="I61" s="298" t="s">
        <v>1859</v>
      </c>
      <c r="J61" s="298" t="s">
        <v>1861</v>
      </c>
      <c r="K61" s="298" t="s">
        <v>57</v>
      </c>
      <c r="M61" s="298" t="s">
        <v>57</v>
      </c>
      <c r="AE61" s="335">
        <v>10.908915</v>
      </c>
      <c r="AO61" s="335">
        <f t="shared" si="34"/>
        <v>10.908915</v>
      </c>
      <c r="CC61" s="299">
        <f t="shared" si="5"/>
        <v>10.908915</v>
      </c>
    </row>
    <row r="62" spans="1:97" s="298" customFormat="1" x14ac:dyDescent="0.25">
      <c r="A62" s="490"/>
      <c r="B62" s="298" t="s">
        <v>52</v>
      </c>
      <c r="C62" s="298" t="s">
        <v>1431</v>
      </c>
      <c r="D62" s="298" t="s">
        <v>165</v>
      </c>
      <c r="E62" s="298" t="s">
        <v>63</v>
      </c>
      <c r="F62" s="298" t="s">
        <v>1742</v>
      </c>
      <c r="G62" s="298" t="s">
        <v>57</v>
      </c>
      <c r="H62" s="334" t="s">
        <v>1922</v>
      </c>
      <c r="I62" s="298" t="s">
        <v>612</v>
      </c>
      <c r="J62" s="298" t="s">
        <v>613</v>
      </c>
      <c r="K62" s="298" t="s">
        <v>57</v>
      </c>
      <c r="L62" s="298" t="s">
        <v>167</v>
      </c>
      <c r="M62" s="298" t="s">
        <v>57</v>
      </c>
      <c r="AE62" s="335">
        <v>10</v>
      </c>
      <c r="AO62" s="335">
        <f t="shared" si="34"/>
        <v>10</v>
      </c>
      <c r="CC62" s="299">
        <f t="shared" si="5"/>
        <v>10</v>
      </c>
    </row>
    <row r="63" spans="1:97" s="298" customFormat="1" x14ac:dyDescent="0.25">
      <c r="A63" s="490"/>
      <c r="B63" s="298" t="s">
        <v>52</v>
      </c>
      <c r="C63" s="298" t="s">
        <v>1431</v>
      </c>
      <c r="D63" s="298" t="s">
        <v>107</v>
      </c>
      <c r="E63" s="298" t="s">
        <v>63</v>
      </c>
      <c r="F63" s="298" t="s">
        <v>1742</v>
      </c>
      <c r="G63" s="298" t="s">
        <v>57</v>
      </c>
      <c r="H63" s="334" t="s">
        <v>1922</v>
      </c>
      <c r="I63" s="298" t="s">
        <v>134</v>
      </c>
      <c r="J63" s="298" t="s">
        <v>135</v>
      </c>
      <c r="K63" s="298" t="s">
        <v>57</v>
      </c>
      <c r="L63" s="298" t="s">
        <v>136</v>
      </c>
      <c r="M63" s="298" t="s">
        <v>57</v>
      </c>
      <c r="AE63" s="335">
        <v>8.4492000000000012</v>
      </c>
      <c r="AO63" s="335">
        <f t="shared" si="34"/>
        <v>8.4492000000000012</v>
      </c>
      <c r="CC63" s="299">
        <f t="shared" si="5"/>
        <v>8.4492000000000012</v>
      </c>
    </row>
    <row r="64" spans="1:97" s="298" customFormat="1" x14ac:dyDescent="0.25">
      <c r="A64" s="490"/>
      <c r="B64" s="298" t="s">
        <v>52</v>
      </c>
      <c r="C64" s="298" t="s">
        <v>1431</v>
      </c>
      <c r="D64" s="298" t="s">
        <v>107</v>
      </c>
      <c r="E64" s="298" t="s">
        <v>63</v>
      </c>
      <c r="F64" s="298" t="s">
        <v>1742</v>
      </c>
      <c r="G64" s="298" t="s">
        <v>57</v>
      </c>
      <c r="H64" s="334" t="s">
        <v>1922</v>
      </c>
      <c r="I64" s="298" t="s">
        <v>608</v>
      </c>
      <c r="J64" s="298" t="s">
        <v>141</v>
      </c>
      <c r="K64" s="298" t="s">
        <v>57</v>
      </c>
      <c r="L64" s="298" t="s">
        <v>138</v>
      </c>
      <c r="M64" s="298" t="s">
        <v>57</v>
      </c>
      <c r="AE64" s="335">
        <v>5.6</v>
      </c>
      <c r="AO64" s="335">
        <f t="shared" si="34"/>
        <v>5.6</v>
      </c>
      <c r="CC64" s="299">
        <f t="shared" si="5"/>
        <v>5.6</v>
      </c>
    </row>
    <row r="65" spans="1:81" s="298" customFormat="1" x14ac:dyDescent="0.25">
      <c r="A65" s="490"/>
      <c r="B65" s="298" t="s">
        <v>52</v>
      </c>
      <c r="C65" s="298" t="s">
        <v>1431</v>
      </c>
      <c r="D65" s="298" t="s">
        <v>107</v>
      </c>
      <c r="E65" s="298" t="s">
        <v>63</v>
      </c>
      <c r="F65" s="298" t="s">
        <v>1742</v>
      </c>
      <c r="G65" s="298" t="s">
        <v>57</v>
      </c>
      <c r="H65" s="334" t="s">
        <v>1922</v>
      </c>
      <c r="I65" s="298" t="s">
        <v>606</v>
      </c>
      <c r="J65" s="298" t="s">
        <v>139</v>
      </c>
      <c r="K65" s="298" t="s">
        <v>57</v>
      </c>
      <c r="L65" s="298" t="s">
        <v>138</v>
      </c>
      <c r="M65" s="298" t="s">
        <v>57</v>
      </c>
      <c r="AE65" s="335">
        <v>4.8520000000000003</v>
      </c>
      <c r="AO65" s="335">
        <f t="shared" si="34"/>
        <v>4.8520000000000003</v>
      </c>
      <c r="CC65" s="299">
        <f t="shared" si="5"/>
        <v>4.8520000000000003</v>
      </c>
    </row>
    <row r="66" spans="1:81" s="298" customFormat="1" x14ac:dyDescent="0.25">
      <c r="A66" s="490"/>
      <c r="B66" s="298" t="s">
        <v>52</v>
      </c>
      <c r="C66" s="298" t="s">
        <v>1431</v>
      </c>
      <c r="D66" s="298" t="s">
        <v>107</v>
      </c>
      <c r="E66" s="298" t="s">
        <v>63</v>
      </c>
      <c r="F66" s="298" t="s">
        <v>1742</v>
      </c>
      <c r="G66" s="298" t="s">
        <v>57</v>
      </c>
      <c r="H66" s="334" t="s">
        <v>1922</v>
      </c>
      <c r="I66" s="298" t="s">
        <v>607</v>
      </c>
      <c r="J66" s="298" t="s">
        <v>140</v>
      </c>
      <c r="K66" s="298" t="s">
        <v>57</v>
      </c>
      <c r="L66" s="298" t="s">
        <v>138</v>
      </c>
      <c r="M66" s="298" t="s">
        <v>57</v>
      </c>
      <c r="AE66" s="335">
        <v>2.4</v>
      </c>
      <c r="AO66" s="335">
        <f t="shared" si="34"/>
        <v>2.4</v>
      </c>
      <c r="CC66" s="299">
        <f t="shared" si="5"/>
        <v>2.4</v>
      </c>
    </row>
    <row r="67" spans="1:81" s="298" customFormat="1" x14ac:dyDescent="0.25">
      <c r="A67" s="490"/>
      <c r="B67" s="298" t="s">
        <v>52</v>
      </c>
      <c r="C67" s="298" t="s">
        <v>1431</v>
      </c>
      <c r="D67" s="298" t="s">
        <v>1599</v>
      </c>
      <c r="E67" s="298" t="s">
        <v>63</v>
      </c>
      <c r="F67" s="298" t="s">
        <v>1742</v>
      </c>
      <c r="G67" s="298" t="s">
        <v>57</v>
      </c>
      <c r="H67" s="334" t="s">
        <v>1922</v>
      </c>
      <c r="I67" s="298" t="s">
        <v>1858</v>
      </c>
      <c r="J67" s="298" t="s">
        <v>1860</v>
      </c>
      <c r="K67" s="298" t="s">
        <v>57</v>
      </c>
      <c r="M67" s="298" t="s">
        <v>57</v>
      </c>
      <c r="AE67" s="335">
        <v>2</v>
      </c>
      <c r="AO67" s="335">
        <f t="shared" si="34"/>
        <v>2</v>
      </c>
      <c r="CC67" s="299">
        <f t="shared" si="5"/>
        <v>2</v>
      </c>
    </row>
    <row r="68" spans="1:81" s="298" customFormat="1" x14ac:dyDescent="0.25">
      <c r="A68" s="490"/>
      <c r="B68" s="298" t="s">
        <v>52</v>
      </c>
      <c r="C68" s="298" t="s">
        <v>1431</v>
      </c>
      <c r="D68" s="298" t="s">
        <v>101</v>
      </c>
      <c r="E68" s="298" t="s">
        <v>63</v>
      </c>
      <c r="F68" s="298" t="s">
        <v>1742</v>
      </c>
      <c r="G68" s="298" t="s">
        <v>57</v>
      </c>
      <c r="H68" s="334" t="s">
        <v>1922</v>
      </c>
      <c r="I68" s="298" t="s">
        <v>605</v>
      </c>
      <c r="J68" s="298" t="s">
        <v>103</v>
      </c>
      <c r="K68" s="298" t="s">
        <v>57</v>
      </c>
      <c r="L68" s="298" t="s">
        <v>104</v>
      </c>
      <c r="M68" s="298" t="s">
        <v>57</v>
      </c>
      <c r="AE68" s="335">
        <v>2</v>
      </c>
      <c r="AO68" s="335">
        <f t="shared" si="34"/>
        <v>2</v>
      </c>
      <c r="CC68" s="299">
        <f t="shared" ref="CC68:CC69" si="35">SUM(CB68,BO68,BB68,AO68,AB68)</f>
        <v>2</v>
      </c>
    </row>
    <row r="69" spans="1:81" s="298" customFormat="1" x14ac:dyDescent="0.25">
      <c r="A69" s="490"/>
      <c r="B69" s="298" t="s">
        <v>52</v>
      </c>
      <c r="C69" s="298" t="s">
        <v>1431</v>
      </c>
      <c r="D69" s="298" t="s">
        <v>165</v>
      </c>
      <c r="E69" s="298" t="s">
        <v>63</v>
      </c>
      <c r="F69" s="298" t="s">
        <v>1742</v>
      </c>
      <c r="G69" s="298" t="s">
        <v>57</v>
      </c>
      <c r="H69" s="334" t="s">
        <v>1922</v>
      </c>
      <c r="I69" s="298" t="s">
        <v>816</v>
      </c>
      <c r="J69" s="298" t="s">
        <v>817</v>
      </c>
      <c r="K69" s="298" t="s">
        <v>57</v>
      </c>
      <c r="L69" s="298" t="s">
        <v>166</v>
      </c>
      <c r="M69" s="298" t="s">
        <v>57</v>
      </c>
      <c r="AE69" s="335">
        <v>1.736</v>
      </c>
      <c r="AO69" s="335">
        <f t="shared" si="34"/>
        <v>1.736</v>
      </c>
      <c r="CC69" s="299">
        <f t="shared" si="35"/>
        <v>1.736</v>
      </c>
    </row>
  </sheetData>
  <autoFilter ref="A3:XAQ3"/>
  <mergeCells count="10">
    <mergeCell ref="A54:A69"/>
    <mergeCell ref="A4:A5"/>
    <mergeCell ref="A6:A8"/>
    <mergeCell ref="A22:A23"/>
    <mergeCell ref="A24:A30"/>
    <mergeCell ref="A46:A51"/>
    <mergeCell ref="A35:A45"/>
    <mergeCell ref="A31:A34"/>
    <mergeCell ref="A9:A16"/>
    <mergeCell ref="A17:A21"/>
  </mergeCells>
  <dataValidations count="4">
    <dataValidation type="list" allowBlank="1" showInputMessage="1" showErrorMessage="1" sqref="FT4:FT5 FK4:FK5 FT8 FT17:FT18">
      <formula1>#REF!</formula1>
    </dataValidation>
    <dataValidation type="list" allowBlank="1" showInputMessage="1" showErrorMessage="1" sqref="B4:B23 B46:B69">
      <formula1>"Geração,Transmissão,Distribuição,Holding"</formula1>
    </dataValidation>
    <dataValidation type="list" allowBlank="1" showInputMessage="1" showErrorMessage="1" sqref="FM4:FM5 FM9:FM10 FM16">
      <formula1>"Recorrente,Não Recorrente"</formula1>
    </dataValidation>
    <dataValidation type="list" allowBlank="1" showInputMessage="1" showErrorMessage="1" sqref="FC4:FD5 EV4:EV5 FL4:FL5 FD6:FD18 FC9:FC11 EV9:EV11 FL9:FL11 EV22:EV23 FC22:FC23">
      <formula1>"Aplicável,Não aplicável"</formula1>
    </dataValidation>
  </dataValidations>
  <pageMargins left="0.511811024" right="0.511811024" top="0.78740157499999996" bottom="0.78740157499999996" header="0.31496062000000002" footer="0.31496062000000002"/>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[4]Processos!#REF!</xm:f>
          </x14:formula1>
          <xm:sqref>FT9:FT10 FK9:FK10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A34"/>
  <sheetViews>
    <sheetView showGridLines="0" topLeftCell="A16" workbookViewId="0">
      <selection activeCell="F28" sqref="F28"/>
    </sheetView>
  </sheetViews>
  <sheetFormatPr defaultRowHeight="15" x14ac:dyDescent="0.25"/>
  <cols>
    <col min="1" max="1" width="53.140625" customWidth="1"/>
    <col min="2" max="6" width="18.140625" bestFit="1" customWidth="1"/>
    <col min="7" max="7" width="21.85546875" bestFit="1" customWidth="1"/>
  </cols>
  <sheetData>
    <row r="11" spans="1:1" x14ac:dyDescent="0.25">
      <c r="A11" s="271" t="s">
        <v>1558</v>
      </c>
    </row>
    <row r="12" spans="1:1" x14ac:dyDescent="0.25">
      <c r="A12" s="272" t="s">
        <v>52</v>
      </c>
    </row>
    <row r="13" spans="1:1" x14ac:dyDescent="0.25">
      <c r="A13" s="61" t="s">
        <v>27</v>
      </c>
    </row>
    <row r="14" spans="1:1" x14ac:dyDescent="0.25">
      <c r="A14" s="61" t="s">
        <v>28</v>
      </c>
    </row>
    <row r="15" spans="1:1" x14ac:dyDescent="0.25">
      <c r="A15" s="61" t="s">
        <v>29</v>
      </c>
    </row>
    <row r="16" spans="1:1" x14ac:dyDescent="0.25">
      <c r="A16" s="61" t="s">
        <v>30</v>
      </c>
    </row>
    <row r="17" spans="1:1" x14ac:dyDescent="0.25">
      <c r="A17" s="61" t="s">
        <v>31</v>
      </c>
    </row>
    <row r="18" spans="1:1" x14ac:dyDescent="0.25">
      <c r="A18" s="61" t="s">
        <v>1431</v>
      </c>
    </row>
    <row r="19" spans="1:1" x14ac:dyDescent="0.25">
      <c r="A19" s="272" t="s">
        <v>61</v>
      </c>
    </row>
    <row r="20" spans="1:1" x14ac:dyDescent="0.25">
      <c r="A20" s="61" t="s">
        <v>33</v>
      </c>
    </row>
    <row r="21" spans="1:1" x14ac:dyDescent="0.25">
      <c r="A21" s="61" t="s">
        <v>34</v>
      </c>
    </row>
    <row r="22" spans="1:1" x14ac:dyDescent="0.25">
      <c r="A22" s="61" t="s">
        <v>35</v>
      </c>
    </row>
    <row r="23" spans="1:1" x14ac:dyDescent="0.25">
      <c r="A23" s="61" t="s">
        <v>36</v>
      </c>
    </row>
    <row r="24" spans="1:1" x14ac:dyDescent="0.25">
      <c r="A24" s="61" t="s">
        <v>37</v>
      </c>
    </row>
    <row r="25" spans="1:1" x14ac:dyDescent="0.25">
      <c r="A25" s="61" t="s">
        <v>1432</v>
      </c>
    </row>
    <row r="26" spans="1:1" x14ac:dyDescent="0.25">
      <c r="A26" s="272" t="s">
        <v>55</v>
      </c>
    </row>
    <row r="27" spans="1:1" x14ac:dyDescent="0.25">
      <c r="A27" s="61" t="s">
        <v>38</v>
      </c>
    </row>
    <row r="28" spans="1:1" x14ac:dyDescent="0.25">
      <c r="A28" s="61" t="s">
        <v>39</v>
      </c>
    </row>
    <row r="29" spans="1:1" x14ac:dyDescent="0.25">
      <c r="A29" s="61" t="s">
        <v>40</v>
      </c>
    </row>
    <row r="30" spans="1:1" x14ac:dyDescent="0.25">
      <c r="A30" s="61" t="s">
        <v>41</v>
      </c>
    </row>
    <row r="31" spans="1:1" x14ac:dyDescent="0.25">
      <c r="A31" s="61" t="s">
        <v>42</v>
      </c>
    </row>
    <row r="32" spans="1:1" x14ac:dyDescent="0.25">
      <c r="A32" s="61" t="s">
        <v>43</v>
      </c>
    </row>
    <row r="33" spans="1:1" x14ac:dyDescent="0.25">
      <c r="A33" s="272" t="s">
        <v>381</v>
      </c>
    </row>
    <row r="34" spans="1:1" x14ac:dyDescent="0.25">
      <c r="A34" s="272" t="s">
        <v>428</v>
      </c>
    </row>
  </sheetData>
  <pageMargins left="0.511811024" right="0.511811024" top="0.78740157499999996" bottom="0.78740157499999996" header="0.31496062000000002" footer="0.31496062000000002"/>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8"/>
  <sheetViews>
    <sheetView workbookViewId="0"/>
  </sheetViews>
  <sheetFormatPr defaultRowHeight="15" x14ac:dyDescent="0.25"/>
  <cols>
    <col min="1" max="1" width="4" customWidth="1"/>
    <col min="2" max="2" width="31.28515625" customWidth="1"/>
    <col min="3" max="3" width="107.140625" customWidth="1"/>
  </cols>
  <sheetData>
    <row r="2" spans="2:3" ht="18" x14ac:dyDescent="0.25">
      <c r="B2" s="136" t="s">
        <v>1367</v>
      </c>
    </row>
    <row r="3" spans="2:3" ht="5.25" customHeight="1" x14ac:dyDescent="0.25">
      <c r="B3" s="136"/>
    </row>
    <row r="4" spans="2:3" ht="28.5" customHeight="1" x14ac:dyDescent="0.25">
      <c r="B4" s="499" t="s">
        <v>1368</v>
      </c>
      <c r="C4" s="499"/>
    </row>
    <row r="5" spans="2:3" ht="5.25" customHeight="1" x14ac:dyDescent="0.25">
      <c r="B5" s="137"/>
      <c r="C5" s="137"/>
    </row>
    <row r="6" spans="2:3" ht="20.25" customHeight="1" x14ac:dyDescent="0.25">
      <c r="B6" s="138" t="s">
        <v>1369</v>
      </c>
      <c r="C6" s="138" t="s">
        <v>1370</v>
      </c>
    </row>
    <row r="7" spans="2:3" ht="114.75" x14ac:dyDescent="0.25">
      <c r="B7" s="139" t="s">
        <v>1371</v>
      </c>
      <c r="C7" s="140" t="s">
        <v>1372</v>
      </c>
    </row>
    <row r="8" spans="2:3" ht="114.75" x14ac:dyDescent="0.25">
      <c r="B8" s="139" t="s">
        <v>1373</v>
      </c>
      <c r="C8" s="140" t="s">
        <v>1374</v>
      </c>
    </row>
    <row r="9" spans="2:3" ht="25.5" x14ac:dyDescent="0.25">
      <c r="B9" s="139" t="s">
        <v>1375</v>
      </c>
      <c r="C9" s="141" t="s">
        <v>1376</v>
      </c>
    </row>
    <row r="10" spans="2:3" ht="63.75" x14ac:dyDescent="0.25">
      <c r="B10" s="139" t="s">
        <v>1377</v>
      </c>
      <c r="C10" s="140" t="s">
        <v>1378</v>
      </c>
    </row>
    <row r="11" spans="2:3" ht="51" x14ac:dyDescent="0.25">
      <c r="B11" s="139" t="s">
        <v>1379</v>
      </c>
      <c r="C11" s="140" t="s">
        <v>1380</v>
      </c>
    </row>
    <row r="12" spans="2:3" ht="51" x14ac:dyDescent="0.25">
      <c r="B12" s="139" t="s">
        <v>1381</v>
      </c>
      <c r="C12" s="140" t="s">
        <v>1382</v>
      </c>
    </row>
    <row r="52" spans="2:2" x14ac:dyDescent="0.25">
      <c r="B52" s="3">
        <v>43101</v>
      </c>
    </row>
    <row r="53" spans="2:2" x14ac:dyDescent="0.25">
      <c r="B53" s="3">
        <v>43132</v>
      </c>
    </row>
    <row r="54" spans="2:2" x14ac:dyDescent="0.25">
      <c r="B54" s="3">
        <v>43160</v>
      </c>
    </row>
    <row r="55" spans="2:2" x14ac:dyDescent="0.25">
      <c r="B55" s="3">
        <v>43191</v>
      </c>
    </row>
    <row r="56" spans="2:2" x14ac:dyDescent="0.25">
      <c r="B56" s="3">
        <v>43221</v>
      </c>
    </row>
    <row r="57" spans="2:2" x14ac:dyDescent="0.25">
      <c r="B57" s="3">
        <v>43252</v>
      </c>
    </row>
    <row r="58" spans="2:2" x14ac:dyDescent="0.25">
      <c r="B58" s="3">
        <v>43282</v>
      </c>
    </row>
    <row r="59" spans="2:2" x14ac:dyDescent="0.25">
      <c r="B59" s="3">
        <v>43313</v>
      </c>
    </row>
    <row r="60" spans="2:2" x14ac:dyDescent="0.25">
      <c r="B60" s="3">
        <v>43344</v>
      </c>
    </row>
    <row r="61" spans="2:2" x14ac:dyDescent="0.25">
      <c r="B61" s="3">
        <v>43374</v>
      </c>
    </row>
    <row r="62" spans="2:2" x14ac:dyDescent="0.25">
      <c r="B62" s="3">
        <v>43405</v>
      </c>
    </row>
    <row r="63" spans="2:2" x14ac:dyDescent="0.25">
      <c r="B63" s="3">
        <v>43435</v>
      </c>
    </row>
    <row r="64" spans="2:2" x14ac:dyDescent="0.25">
      <c r="B64" s="3">
        <v>43466</v>
      </c>
    </row>
    <row r="65" spans="2:2" x14ac:dyDescent="0.25">
      <c r="B65" s="3">
        <v>43497</v>
      </c>
    </row>
    <row r="66" spans="2:2" x14ac:dyDescent="0.25">
      <c r="B66" s="3">
        <v>43525</v>
      </c>
    </row>
    <row r="67" spans="2:2" x14ac:dyDescent="0.25">
      <c r="B67" s="3">
        <v>43556</v>
      </c>
    </row>
    <row r="68" spans="2:2" x14ac:dyDescent="0.25">
      <c r="B68" s="3">
        <v>43586</v>
      </c>
    </row>
    <row r="69" spans="2:2" x14ac:dyDescent="0.25">
      <c r="B69" s="3">
        <v>43617</v>
      </c>
    </row>
    <row r="70" spans="2:2" x14ac:dyDescent="0.25">
      <c r="B70" s="3">
        <v>43647</v>
      </c>
    </row>
    <row r="71" spans="2:2" x14ac:dyDescent="0.25">
      <c r="B71" s="3">
        <v>43678</v>
      </c>
    </row>
    <row r="72" spans="2:2" x14ac:dyDescent="0.25">
      <c r="B72" s="3">
        <v>43709</v>
      </c>
    </row>
    <row r="73" spans="2:2" x14ac:dyDescent="0.25">
      <c r="B73" s="3">
        <v>43739</v>
      </c>
    </row>
    <row r="74" spans="2:2" x14ac:dyDescent="0.25">
      <c r="B74" s="3">
        <v>43770</v>
      </c>
    </row>
    <row r="75" spans="2:2" x14ac:dyDescent="0.25">
      <c r="B75" s="3">
        <v>43800</v>
      </c>
    </row>
    <row r="76" spans="2:2" x14ac:dyDescent="0.25">
      <c r="B76" s="3">
        <v>43831</v>
      </c>
    </row>
    <row r="77" spans="2:2" x14ac:dyDescent="0.25">
      <c r="B77" s="3">
        <v>43862</v>
      </c>
    </row>
    <row r="78" spans="2:2" x14ac:dyDescent="0.25">
      <c r="B78" s="3">
        <v>43891</v>
      </c>
    </row>
    <row r="79" spans="2:2" x14ac:dyDescent="0.25">
      <c r="B79" s="3">
        <v>43922</v>
      </c>
    </row>
    <row r="80" spans="2:2" x14ac:dyDescent="0.25">
      <c r="B80" s="3">
        <v>43952</v>
      </c>
    </row>
    <row r="81" spans="2:2" x14ac:dyDescent="0.25">
      <c r="B81" s="3">
        <v>43983</v>
      </c>
    </row>
    <row r="82" spans="2:2" x14ac:dyDescent="0.25">
      <c r="B82" s="3">
        <v>44013</v>
      </c>
    </row>
    <row r="83" spans="2:2" x14ac:dyDescent="0.25">
      <c r="B83" s="3">
        <v>44044</v>
      </c>
    </row>
    <row r="84" spans="2:2" x14ac:dyDescent="0.25">
      <c r="B84" s="3">
        <v>44075</v>
      </c>
    </row>
    <row r="85" spans="2:2" x14ac:dyDescent="0.25">
      <c r="B85" s="3">
        <v>44105</v>
      </c>
    </row>
    <row r="86" spans="2:2" x14ac:dyDescent="0.25">
      <c r="B86" s="3">
        <v>44136</v>
      </c>
    </row>
    <row r="87" spans="2:2" x14ac:dyDescent="0.25">
      <c r="B87" s="3">
        <v>44166</v>
      </c>
    </row>
    <row r="88" spans="2:2" x14ac:dyDescent="0.25">
      <c r="B88" s="3">
        <v>44197</v>
      </c>
    </row>
    <row r="89" spans="2:2" x14ac:dyDescent="0.25">
      <c r="B89" s="3">
        <v>44228</v>
      </c>
    </row>
    <row r="90" spans="2:2" x14ac:dyDescent="0.25">
      <c r="B90" s="3">
        <v>44256</v>
      </c>
    </row>
    <row r="91" spans="2:2" x14ac:dyDescent="0.25">
      <c r="B91" s="3">
        <v>44287</v>
      </c>
    </row>
    <row r="92" spans="2:2" x14ac:dyDescent="0.25">
      <c r="B92" s="3">
        <v>44317</v>
      </c>
    </row>
    <row r="93" spans="2:2" x14ac:dyDescent="0.25">
      <c r="B93" s="3">
        <v>44348</v>
      </c>
    </row>
    <row r="94" spans="2:2" x14ac:dyDescent="0.25">
      <c r="B94" s="3">
        <v>44378</v>
      </c>
    </row>
    <row r="95" spans="2:2" x14ac:dyDescent="0.25">
      <c r="B95" s="3">
        <v>44409</v>
      </c>
    </row>
    <row r="96" spans="2:2" x14ac:dyDescent="0.25">
      <c r="B96" s="3">
        <v>44440</v>
      </c>
    </row>
    <row r="97" spans="2:2" x14ac:dyDescent="0.25">
      <c r="B97" s="3">
        <v>44470</v>
      </c>
    </row>
    <row r="98" spans="2:2" x14ac:dyDescent="0.25">
      <c r="B98" s="3">
        <v>44501</v>
      </c>
    </row>
    <row r="99" spans="2:2" x14ac:dyDescent="0.25">
      <c r="B99" s="3">
        <v>44531</v>
      </c>
    </row>
    <row r="100" spans="2:2" x14ac:dyDescent="0.25">
      <c r="B100" s="3">
        <v>44562</v>
      </c>
    </row>
    <row r="101" spans="2:2" x14ac:dyDescent="0.25">
      <c r="B101" s="3">
        <v>44593</v>
      </c>
    </row>
    <row r="102" spans="2:2" x14ac:dyDescent="0.25">
      <c r="B102" s="3">
        <v>44621</v>
      </c>
    </row>
    <row r="103" spans="2:2" x14ac:dyDescent="0.25">
      <c r="B103" s="3">
        <v>44652</v>
      </c>
    </row>
    <row r="104" spans="2:2" x14ac:dyDescent="0.25">
      <c r="B104" s="3">
        <v>44682</v>
      </c>
    </row>
    <row r="105" spans="2:2" x14ac:dyDescent="0.25">
      <c r="B105" s="3">
        <v>44713</v>
      </c>
    </row>
    <row r="106" spans="2:2" x14ac:dyDescent="0.25">
      <c r="B106" s="3">
        <v>44743</v>
      </c>
    </row>
    <row r="107" spans="2:2" x14ac:dyDescent="0.25">
      <c r="B107" s="3">
        <v>44774</v>
      </c>
    </row>
    <row r="108" spans="2:2" x14ac:dyDescent="0.25">
      <c r="B108" s="3">
        <v>44805</v>
      </c>
    </row>
    <row r="109" spans="2:2" x14ac:dyDescent="0.25">
      <c r="B109" s="3">
        <v>44835</v>
      </c>
    </row>
    <row r="110" spans="2:2" x14ac:dyDescent="0.25">
      <c r="B110" s="3">
        <v>44866</v>
      </c>
    </row>
    <row r="111" spans="2:2" x14ac:dyDescent="0.25">
      <c r="B111" s="3">
        <v>44896</v>
      </c>
    </row>
    <row r="112" spans="2:2" x14ac:dyDescent="0.25">
      <c r="B112" s="3"/>
    </row>
    <row r="113" spans="2:2" x14ac:dyDescent="0.25">
      <c r="B113" s="3"/>
    </row>
    <row r="114" spans="2:2" x14ac:dyDescent="0.25">
      <c r="B114" s="3"/>
    </row>
    <row r="115" spans="2:2" x14ac:dyDescent="0.25">
      <c r="B115" s="3"/>
    </row>
    <row r="116" spans="2:2" x14ac:dyDescent="0.25">
      <c r="B116" s="3"/>
    </row>
    <row r="117" spans="2:2" x14ac:dyDescent="0.25">
      <c r="B117" s="3"/>
    </row>
    <row r="118" spans="2:2" x14ac:dyDescent="0.25">
      <c r="B118" s="3"/>
    </row>
    <row r="119" spans="2:2" x14ac:dyDescent="0.25">
      <c r="B119" s="3"/>
    </row>
    <row r="120" spans="2:2" x14ac:dyDescent="0.25">
      <c r="B120" s="3"/>
    </row>
    <row r="121" spans="2:2" x14ac:dyDescent="0.25">
      <c r="B121" s="3"/>
    </row>
    <row r="122" spans="2:2" x14ac:dyDescent="0.25">
      <c r="B122" s="3"/>
    </row>
    <row r="123" spans="2:2" x14ac:dyDescent="0.25">
      <c r="B123" s="3"/>
    </row>
    <row r="124" spans="2:2" x14ac:dyDescent="0.25">
      <c r="B124" s="3"/>
    </row>
    <row r="125" spans="2:2" x14ac:dyDescent="0.25">
      <c r="B125" s="3"/>
    </row>
    <row r="126" spans="2:2" x14ac:dyDescent="0.25">
      <c r="B126" s="3"/>
    </row>
    <row r="127" spans="2:2" x14ac:dyDescent="0.25">
      <c r="B127" s="3"/>
    </row>
    <row r="128" spans="2:2" x14ac:dyDescent="0.25">
      <c r="B128" s="3"/>
    </row>
    <row r="129" spans="2:2" x14ac:dyDescent="0.25">
      <c r="B129" s="3"/>
    </row>
    <row r="130" spans="2:2" x14ac:dyDescent="0.25">
      <c r="B130" s="3"/>
    </row>
    <row r="131" spans="2:2" x14ac:dyDescent="0.25">
      <c r="B131" s="3"/>
    </row>
    <row r="132" spans="2:2" x14ac:dyDescent="0.25">
      <c r="B132" s="3"/>
    </row>
    <row r="133" spans="2:2" x14ac:dyDescent="0.25">
      <c r="B133" s="3"/>
    </row>
    <row r="134" spans="2:2" x14ac:dyDescent="0.25">
      <c r="B134" s="3"/>
    </row>
    <row r="135" spans="2:2" x14ac:dyDescent="0.25">
      <c r="B135" s="3"/>
    </row>
    <row r="136" spans="2:2" x14ac:dyDescent="0.25">
      <c r="B136" s="3"/>
    </row>
    <row r="137" spans="2:2" x14ac:dyDescent="0.25">
      <c r="B137" s="3"/>
    </row>
    <row r="138" spans="2:2" x14ac:dyDescent="0.25">
      <c r="B138" s="3"/>
    </row>
    <row r="139" spans="2:2" x14ac:dyDescent="0.25">
      <c r="B139" s="3"/>
    </row>
    <row r="140" spans="2:2" x14ac:dyDescent="0.25">
      <c r="B140" s="3"/>
    </row>
    <row r="141" spans="2:2" x14ac:dyDescent="0.25">
      <c r="B141" s="3"/>
    </row>
    <row r="142" spans="2:2" x14ac:dyDescent="0.25">
      <c r="B142" s="3"/>
    </row>
    <row r="143" spans="2:2" x14ac:dyDescent="0.25">
      <c r="B143" s="3"/>
    </row>
    <row r="144" spans="2:2" x14ac:dyDescent="0.25">
      <c r="B144" s="3"/>
    </row>
    <row r="145" spans="2:2" x14ac:dyDescent="0.25">
      <c r="B145" s="3"/>
    </row>
    <row r="146" spans="2:2" x14ac:dyDescent="0.25">
      <c r="B146" s="3"/>
    </row>
    <row r="147" spans="2:2" x14ac:dyDescent="0.25">
      <c r="B147" s="3"/>
    </row>
    <row r="148" spans="2:2" x14ac:dyDescent="0.25">
      <c r="B148" s="3"/>
    </row>
    <row r="149" spans="2:2" x14ac:dyDescent="0.25">
      <c r="B149" s="3"/>
    </row>
    <row r="150" spans="2:2" x14ac:dyDescent="0.25">
      <c r="B150" s="3"/>
    </row>
    <row r="151" spans="2:2" x14ac:dyDescent="0.25">
      <c r="B151" s="3"/>
    </row>
    <row r="152" spans="2:2" x14ac:dyDescent="0.25">
      <c r="B152" s="3"/>
    </row>
    <row r="153" spans="2:2" x14ac:dyDescent="0.25">
      <c r="B153" s="3"/>
    </row>
    <row r="154" spans="2:2" x14ac:dyDescent="0.25">
      <c r="B154" s="3"/>
    </row>
    <row r="155" spans="2:2" x14ac:dyDescent="0.25">
      <c r="B155" s="3"/>
    </row>
    <row r="156" spans="2:2" x14ac:dyDescent="0.25">
      <c r="B156" s="3"/>
    </row>
    <row r="157" spans="2:2" x14ac:dyDescent="0.25">
      <c r="B157" s="3"/>
    </row>
    <row r="158" spans="2:2" x14ac:dyDescent="0.25">
      <c r="B158" s="3"/>
    </row>
    <row r="159" spans="2:2" x14ac:dyDescent="0.25">
      <c r="B159" s="3"/>
    </row>
    <row r="160" spans="2:2" x14ac:dyDescent="0.25">
      <c r="B160" s="3"/>
    </row>
    <row r="161" spans="2:2" x14ac:dyDescent="0.25">
      <c r="B161" s="3"/>
    </row>
    <row r="162" spans="2:2" x14ac:dyDescent="0.25">
      <c r="B162" s="3"/>
    </row>
    <row r="163" spans="2:2" x14ac:dyDescent="0.25">
      <c r="B163" s="3"/>
    </row>
    <row r="164" spans="2:2" x14ac:dyDescent="0.25">
      <c r="B164" s="3"/>
    </row>
    <row r="165" spans="2:2" x14ac:dyDescent="0.25">
      <c r="B165" s="3"/>
    </row>
    <row r="166" spans="2:2" x14ac:dyDescent="0.25">
      <c r="B166" s="3"/>
    </row>
    <row r="167" spans="2:2" x14ac:dyDescent="0.25">
      <c r="B167" s="3"/>
    </row>
    <row r="168" spans="2:2" x14ac:dyDescent="0.25">
      <c r="B168" s="3"/>
    </row>
    <row r="169" spans="2:2" x14ac:dyDescent="0.25">
      <c r="B169" s="3"/>
    </row>
    <row r="170" spans="2:2" x14ac:dyDescent="0.25">
      <c r="B170" s="3"/>
    </row>
    <row r="171" spans="2:2" x14ac:dyDescent="0.25">
      <c r="B171" s="3"/>
    </row>
    <row r="172" spans="2:2" x14ac:dyDescent="0.25">
      <c r="B172" s="3"/>
    </row>
    <row r="173" spans="2:2" x14ac:dyDescent="0.25">
      <c r="B173" s="3"/>
    </row>
    <row r="174" spans="2:2" x14ac:dyDescent="0.25">
      <c r="B174" s="3"/>
    </row>
    <row r="175" spans="2:2" x14ac:dyDescent="0.25">
      <c r="B175" s="3"/>
    </row>
    <row r="176" spans="2:2" x14ac:dyDescent="0.25">
      <c r="B176" s="3"/>
    </row>
    <row r="177" spans="2:2" x14ac:dyDescent="0.25">
      <c r="B177" s="3"/>
    </row>
    <row r="178" spans="2:2" x14ac:dyDescent="0.25">
      <c r="B178" s="3"/>
    </row>
    <row r="179" spans="2:2" x14ac:dyDescent="0.25">
      <c r="B179" s="3"/>
    </row>
    <row r="180" spans="2:2" x14ac:dyDescent="0.25">
      <c r="B180" s="3"/>
    </row>
    <row r="181" spans="2:2" x14ac:dyDescent="0.25">
      <c r="B181" s="3"/>
    </row>
    <row r="182" spans="2:2" x14ac:dyDescent="0.25">
      <c r="B182" s="3"/>
    </row>
    <row r="183" spans="2:2" x14ac:dyDescent="0.25">
      <c r="B183" s="3"/>
    </row>
    <row r="184" spans="2:2" x14ac:dyDescent="0.25">
      <c r="B184" s="3"/>
    </row>
    <row r="185" spans="2:2" x14ac:dyDescent="0.25">
      <c r="B185" s="3"/>
    </row>
    <row r="186" spans="2:2" x14ac:dyDescent="0.25">
      <c r="B186" s="3"/>
    </row>
    <row r="187" spans="2:2" x14ac:dyDescent="0.25">
      <c r="B187" s="3"/>
    </row>
    <row r="188" spans="2:2" x14ac:dyDescent="0.25">
      <c r="B188" s="3"/>
    </row>
    <row r="189" spans="2:2" x14ac:dyDescent="0.25">
      <c r="B189" s="3"/>
    </row>
    <row r="190" spans="2:2" x14ac:dyDescent="0.25">
      <c r="B190" s="3"/>
    </row>
    <row r="191" spans="2:2" x14ac:dyDescent="0.25">
      <c r="B191" s="3"/>
    </row>
    <row r="192" spans="2:2" x14ac:dyDescent="0.25">
      <c r="B192" s="3"/>
    </row>
    <row r="193" spans="2:2" x14ac:dyDescent="0.25">
      <c r="B193" s="3"/>
    </row>
    <row r="194" spans="2:2" x14ac:dyDescent="0.25">
      <c r="B194" s="3"/>
    </row>
    <row r="195" spans="2:2" x14ac:dyDescent="0.25">
      <c r="B195" s="3"/>
    </row>
    <row r="196" spans="2:2" x14ac:dyDescent="0.25">
      <c r="B196" s="3"/>
    </row>
    <row r="197" spans="2:2" x14ac:dyDescent="0.25">
      <c r="B197" s="3"/>
    </row>
    <row r="198" spans="2:2" x14ac:dyDescent="0.25">
      <c r="B198" s="3"/>
    </row>
    <row r="199" spans="2:2" x14ac:dyDescent="0.25">
      <c r="B199" s="3"/>
    </row>
    <row r="200" spans="2:2" x14ac:dyDescent="0.25">
      <c r="B200" s="3"/>
    </row>
    <row r="201" spans="2:2" x14ac:dyDescent="0.25">
      <c r="B201" s="3"/>
    </row>
    <row r="202" spans="2:2" x14ac:dyDescent="0.25">
      <c r="B202" s="3"/>
    </row>
    <row r="203" spans="2:2" x14ac:dyDescent="0.25">
      <c r="B203" s="3"/>
    </row>
    <row r="204" spans="2:2" x14ac:dyDescent="0.25">
      <c r="B204" s="3"/>
    </row>
    <row r="205" spans="2:2" x14ac:dyDescent="0.25">
      <c r="B205" s="3"/>
    </row>
    <row r="206" spans="2:2" x14ac:dyDescent="0.25">
      <c r="B206" s="3"/>
    </row>
    <row r="207" spans="2:2" x14ac:dyDescent="0.25">
      <c r="B207" s="3"/>
    </row>
    <row r="208" spans="2:2" x14ac:dyDescent="0.25">
      <c r="B208" s="3"/>
    </row>
    <row r="209" spans="2:2" x14ac:dyDescent="0.25">
      <c r="B209" s="3"/>
    </row>
    <row r="210" spans="2:2" x14ac:dyDescent="0.25">
      <c r="B210" s="3"/>
    </row>
    <row r="211" spans="2:2" x14ac:dyDescent="0.25">
      <c r="B211" s="3"/>
    </row>
    <row r="212" spans="2:2" x14ac:dyDescent="0.25">
      <c r="B212" s="3"/>
    </row>
    <row r="213" spans="2:2" x14ac:dyDescent="0.25">
      <c r="B213" s="3"/>
    </row>
    <row r="214" spans="2:2" x14ac:dyDescent="0.25">
      <c r="B214" s="3"/>
    </row>
    <row r="215" spans="2:2" x14ac:dyDescent="0.25">
      <c r="B215" s="3"/>
    </row>
    <row r="216" spans="2:2" x14ac:dyDescent="0.25">
      <c r="B216" s="3"/>
    </row>
    <row r="217" spans="2:2" x14ac:dyDescent="0.25">
      <c r="B217" s="3"/>
    </row>
    <row r="218" spans="2:2" x14ac:dyDescent="0.25">
      <c r="B218" s="3"/>
    </row>
    <row r="219" spans="2:2" x14ac:dyDescent="0.25">
      <c r="B219" s="3"/>
    </row>
    <row r="220" spans="2:2" x14ac:dyDescent="0.25">
      <c r="B220" s="3"/>
    </row>
    <row r="221" spans="2:2" x14ac:dyDescent="0.25">
      <c r="B221" s="3"/>
    </row>
    <row r="222" spans="2:2" x14ac:dyDescent="0.25">
      <c r="B222" s="3"/>
    </row>
    <row r="223" spans="2:2" x14ac:dyDescent="0.25">
      <c r="B223" s="3"/>
    </row>
    <row r="224" spans="2:2" x14ac:dyDescent="0.25">
      <c r="B224" s="3"/>
    </row>
    <row r="225" spans="2:2" x14ac:dyDescent="0.25">
      <c r="B225" s="3"/>
    </row>
    <row r="226" spans="2:2" x14ac:dyDescent="0.25">
      <c r="B226" s="3"/>
    </row>
    <row r="227" spans="2:2" x14ac:dyDescent="0.25">
      <c r="B227" s="3"/>
    </row>
    <row r="228" spans="2:2" x14ac:dyDescent="0.25">
      <c r="B228" s="3"/>
    </row>
    <row r="229" spans="2:2" x14ac:dyDescent="0.25">
      <c r="B229" s="3"/>
    </row>
    <row r="230" spans="2:2" x14ac:dyDescent="0.25">
      <c r="B230" s="3"/>
    </row>
    <row r="231" spans="2:2" x14ac:dyDescent="0.25">
      <c r="B231" s="3"/>
    </row>
    <row r="232" spans="2:2" x14ac:dyDescent="0.25">
      <c r="B232" s="3"/>
    </row>
    <row r="233" spans="2:2" x14ac:dyDescent="0.25">
      <c r="B233" s="3"/>
    </row>
    <row r="234" spans="2:2" x14ac:dyDescent="0.25">
      <c r="B234" s="3"/>
    </row>
    <row r="235" spans="2:2" x14ac:dyDescent="0.25">
      <c r="B235" s="3"/>
    </row>
    <row r="236" spans="2:2" x14ac:dyDescent="0.25">
      <c r="B236" s="3"/>
    </row>
    <row r="237" spans="2:2" x14ac:dyDescent="0.25">
      <c r="B237" s="3"/>
    </row>
    <row r="238" spans="2:2" x14ac:dyDescent="0.25">
      <c r="B238" s="3"/>
    </row>
    <row r="239" spans="2:2" x14ac:dyDescent="0.25">
      <c r="B239" s="3"/>
    </row>
    <row r="240" spans="2:2" x14ac:dyDescent="0.25">
      <c r="B240" s="3"/>
    </row>
    <row r="241" spans="2:2" x14ac:dyDescent="0.25">
      <c r="B241" s="3"/>
    </row>
    <row r="242" spans="2:2" x14ac:dyDescent="0.25">
      <c r="B242" s="3"/>
    </row>
    <row r="243" spans="2:2" x14ac:dyDescent="0.25">
      <c r="B243" s="3"/>
    </row>
    <row r="244" spans="2:2" x14ac:dyDescent="0.25">
      <c r="B244" s="3"/>
    </row>
    <row r="245" spans="2:2" x14ac:dyDescent="0.25">
      <c r="B245" s="3"/>
    </row>
    <row r="246" spans="2:2" x14ac:dyDescent="0.25">
      <c r="B246" s="3"/>
    </row>
    <row r="247" spans="2:2" x14ac:dyDescent="0.25">
      <c r="B247" s="3"/>
    </row>
    <row r="248" spans="2:2" x14ac:dyDescent="0.25">
      <c r="B248" s="3"/>
    </row>
    <row r="249" spans="2:2" x14ac:dyDescent="0.25">
      <c r="B249" s="3"/>
    </row>
    <row r="250" spans="2:2" x14ac:dyDescent="0.25">
      <c r="B250" s="3"/>
    </row>
    <row r="251" spans="2:2" x14ac:dyDescent="0.25">
      <c r="B251" s="3"/>
    </row>
    <row r="252" spans="2:2" x14ac:dyDescent="0.25">
      <c r="B252" s="3"/>
    </row>
    <row r="253" spans="2:2" x14ac:dyDescent="0.25">
      <c r="B253" s="3"/>
    </row>
    <row r="254" spans="2:2" x14ac:dyDescent="0.25">
      <c r="B254" s="3"/>
    </row>
    <row r="255" spans="2:2" x14ac:dyDescent="0.25">
      <c r="B255" s="3"/>
    </row>
    <row r="256" spans="2:2" x14ac:dyDescent="0.25">
      <c r="B256" s="3"/>
    </row>
    <row r="257" spans="2:2" x14ac:dyDescent="0.25">
      <c r="B257" s="3"/>
    </row>
    <row r="258" spans="2:2" x14ac:dyDescent="0.25">
      <c r="B258" s="3"/>
    </row>
  </sheetData>
  <mergeCells count="1">
    <mergeCell ref="B4:C4"/>
  </mergeCells>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33"/>
  <sheetViews>
    <sheetView workbookViewId="0"/>
  </sheetViews>
  <sheetFormatPr defaultRowHeight="15" x14ac:dyDescent="0.25"/>
  <cols>
    <col min="1" max="1" width="3.28515625" customWidth="1"/>
    <col min="2" max="2" width="3.7109375" customWidth="1"/>
    <col min="3" max="3" width="48.7109375" customWidth="1"/>
    <col min="4" max="4" width="17.140625" customWidth="1"/>
    <col min="5" max="5" width="16.7109375" customWidth="1"/>
    <col min="6" max="8" width="15.7109375" customWidth="1"/>
    <col min="9" max="9" width="15.140625" customWidth="1"/>
    <col min="10" max="10" width="14.7109375" customWidth="1"/>
  </cols>
  <sheetData>
    <row r="1" spans="3:5" x14ac:dyDescent="0.25">
      <c r="C1" s="67"/>
    </row>
    <row r="2" spans="3:5" ht="16.5" x14ac:dyDescent="0.3">
      <c r="C2" s="26" t="s">
        <v>1069</v>
      </c>
      <c r="D2" s="26"/>
      <c r="E2" s="104" t="s">
        <v>1070</v>
      </c>
    </row>
    <row r="3" spans="3:5" ht="16.5" x14ac:dyDescent="0.3">
      <c r="C3" s="99" t="s">
        <v>1071</v>
      </c>
      <c r="D3" s="105"/>
      <c r="E3" s="100">
        <f>195.4*5*1000</f>
        <v>977000</v>
      </c>
    </row>
    <row r="4" spans="3:5" ht="16.5" x14ac:dyDescent="0.3">
      <c r="C4" s="106" t="s">
        <v>1072</v>
      </c>
      <c r="D4" s="106"/>
      <c r="E4" s="107">
        <v>781695</v>
      </c>
    </row>
    <row r="5" spans="3:5" ht="16.5" x14ac:dyDescent="0.3">
      <c r="C5" s="501" t="s">
        <v>1073</v>
      </c>
      <c r="D5" s="501"/>
      <c r="E5" s="101">
        <f>E4/E3</f>
        <v>0.80009723643807573</v>
      </c>
    </row>
    <row r="6" spans="3:5" x14ac:dyDescent="0.25">
      <c r="C6" s="67"/>
    </row>
    <row r="7" spans="3:5" ht="16.5" x14ac:dyDescent="0.3">
      <c r="C7" s="26" t="s">
        <v>1062</v>
      </c>
      <c r="D7" s="26"/>
      <c r="E7" s="104" t="s">
        <v>1070</v>
      </c>
    </row>
    <row r="8" spans="3:5" ht="16.5" x14ac:dyDescent="0.3">
      <c r="C8" s="99" t="s">
        <v>1065</v>
      </c>
      <c r="D8" s="99"/>
      <c r="E8" s="100">
        <v>1580686</v>
      </c>
    </row>
    <row r="9" spans="3:5" ht="16.5" x14ac:dyDescent="0.3">
      <c r="C9" s="96" t="s">
        <v>1059</v>
      </c>
      <c r="D9" s="27"/>
      <c r="E9" s="31">
        <v>403360</v>
      </c>
    </row>
    <row r="10" spans="3:5" ht="16.5" x14ac:dyDescent="0.3">
      <c r="C10" s="96" t="s">
        <v>1060</v>
      </c>
      <c r="D10" s="27"/>
      <c r="E10" s="28" t="e">
        <f>GETPIVOTDATA(" Total
2018/22",Resumo!$B$4,"Negócio","Distribuição")</f>
        <v>#REF!</v>
      </c>
    </row>
    <row r="11" spans="3:5" ht="16.5" x14ac:dyDescent="0.3">
      <c r="C11" s="99" t="s">
        <v>1063</v>
      </c>
      <c r="D11" s="99"/>
      <c r="E11" s="100" t="e">
        <f>SUM(E9:E10)</f>
        <v>#REF!</v>
      </c>
    </row>
    <row r="12" spans="3:5" ht="16.5" x14ac:dyDescent="0.3">
      <c r="C12" s="97" t="s">
        <v>1061</v>
      </c>
      <c r="D12" s="97"/>
      <c r="E12" s="98" t="e">
        <f>E8-E9-E10</f>
        <v>#REF!</v>
      </c>
    </row>
    <row r="14" spans="3:5" ht="16.5" x14ac:dyDescent="0.3">
      <c r="C14" s="26"/>
      <c r="D14" s="26"/>
      <c r="E14" s="104" t="s">
        <v>1070</v>
      </c>
    </row>
    <row r="15" spans="3:5" ht="16.5" x14ac:dyDescent="0.3">
      <c r="C15" s="99" t="s">
        <v>1066</v>
      </c>
      <c r="D15" s="99"/>
      <c r="E15" s="100">
        <f>195.4*5*1000</f>
        <v>977000</v>
      </c>
    </row>
    <row r="16" spans="3:5" ht="16.5" x14ac:dyDescent="0.3">
      <c r="C16" s="99" t="s">
        <v>1064</v>
      </c>
      <c r="D16" s="99"/>
      <c r="E16" s="100" t="e">
        <f>E11</f>
        <v>#REF!</v>
      </c>
    </row>
    <row r="17" spans="3:5" ht="30.75" customHeight="1" x14ac:dyDescent="0.25">
      <c r="C17" s="500" t="s">
        <v>1067</v>
      </c>
      <c r="D17" s="500"/>
      <c r="E17" s="101" t="e">
        <f>E16/E15</f>
        <v>#REF!</v>
      </c>
    </row>
    <row r="21" spans="3:5" x14ac:dyDescent="0.25">
      <c r="C21" s="32" t="s">
        <v>50</v>
      </c>
    </row>
    <row r="24" spans="3:5" x14ac:dyDescent="0.25">
      <c r="E24" s="92"/>
    </row>
    <row r="25" spans="3:5" x14ac:dyDescent="0.25">
      <c r="C25" s="91"/>
      <c r="D25" s="3"/>
      <c r="E25" s="94"/>
    </row>
    <row r="26" spans="3:5" x14ac:dyDescent="0.25">
      <c r="C26" s="93"/>
      <c r="D26" s="3"/>
      <c r="E26" s="94"/>
    </row>
    <row r="27" spans="3:5" x14ac:dyDescent="0.25">
      <c r="C27" s="93"/>
    </row>
    <row r="30" spans="3:5" x14ac:dyDescent="0.25">
      <c r="E30" s="92"/>
    </row>
    <row r="31" spans="3:5" x14ac:dyDescent="0.25">
      <c r="C31" s="91"/>
      <c r="D31" s="3"/>
      <c r="E31" s="94"/>
    </row>
    <row r="32" spans="3:5" x14ac:dyDescent="0.25">
      <c r="C32" s="93"/>
      <c r="D32" s="3"/>
      <c r="E32" s="94"/>
    </row>
    <row r="33" spans="3:3" x14ac:dyDescent="0.25">
      <c r="C33" s="93"/>
    </row>
  </sheetData>
  <mergeCells count="2">
    <mergeCell ref="C17:D17"/>
    <mergeCell ref="C5:D5"/>
  </mergeCells>
  <pageMargins left="0.511811024" right="0.511811024" top="0.78740157499999996" bottom="0.78740157499999996" header="0.31496062000000002" footer="0.31496062000000002"/>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opLeftCell="A7" workbookViewId="0"/>
  </sheetViews>
  <sheetFormatPr defaultRowHeight="16.5" x14ac:dyDescent="0.3"/>
  <cols>
    <col min="1" max="1" width="9.140625" style="27"/>
    <col min="2" max="2" width="21.7109375" style="27" customWidth="1"/>
    <col min="3" max="3" width="73.140625" style="27" customWidth="1"/>
    <col min="4" max="4" width="70.7109375" style="27" customWidth="1"/>
    <col min="5" max="16384" width="9.140625" style="27"/>
  </cols>
  <sheetData>
    <row r="2" spans="2:4" ht="32.25" customHeight="1" x14ac:dyDescent="0.3">
      <c r="B2" s="85" t="s">
        <v>1029</v>
      </c>
      <c r="C2" s="85" t="s">
        <v>1030</v>
      </c>
      <c r="D2" s="85" t="s">
        <v>1047</v>
      </c>
    </row>
    <row r="3" spans="2:4" x14ac:dyDescent="0.3">
      <c r="B3" s="82">
        <v>42877</v>
      </c>
      <c r="C3" s="83" t="s">
        <v>1031</v>
      </c>
      <c r="D3" s="84" t="s">
        <v>1032</v>
      </c>
    </row>
    <row r="4" spans="2:4" ht="99" x14ac:dyDescent="0.3">
      <c r="B4" s="86" t="s">
        <v>1033</v>
      </c>
      <c r="C4" s="76" t="s">
        <v>1034</v>
      </c>
      <c r="D4" s="78" t="s">
        <v>1036</v>
      </c>
    </row>
    <row r="5" spans="2:4" x14ac:dyDescent="0.3">
      <c r="B5" s="75">
        <v>43069</v>
      </c>
      <c r="C5" s="76" t="s">
        <v>1035</v>
      </c>
      <c r="D5" s="77"/>
    </row>
    <row r="6" spans="2:4" ht="82.5" x14ac:dyDescent="0.3">
      <c r="B6" s="75">
        <v>43083</v>
      </c>
      <c r="C6" s="76" t="s">
        <v>1037</v>
      </c>
      <c r="D6" s="77" t="s">
        <v>1044</v>
      </c>
    </row>
    <row r="7" spans="2:4" ht="198" x14ac:dyDescent="0.3">
      <c r="B7" s="75">
        <v>43090</v>
      </c>
      <c r="C7" s="76" t="s">
        <v>1038</v>
      </c>
      <c r="D7" s="77" t="s">
        <v>1045</v>
      </c>
    </row>
    <row r="8" spans="2:4" ht="33" x14ac:dyDescent="0.3">
      <c r="B8" s="75" t="s">
        <v>1039</v>
      </c>
      <c r="C8" s="77" t="s">
        <v>1040</v>
      </c>
      <c r="D8" s="77" t="s">
        <v>1041</v>
      </c>
    </row>
    <row r="9" spans="2:4" ht="33" x14ac:dyDescent="0.3">
      <c r="B9" s="75">
        <v>43109</v>
      </c>
      <c r="C9" s="76" t="s">
        <v>1046</v>
      </c>
      <c r="D9" s="77" t="s">
        <v>1042</v>
      </c>
    </row>
    <row r="10" spans="2:4" ht="82.5" x14ac:dyDescent="0.3">
      <c r="B10" s="75">
        <v>43109</v>
      </c>
      <c r="C10" s="76" t="s">
        <v>1043</v>
      </c>
      <c r="D10" s="77" t="s">
        <v>1054</v>
      </c>
    </row>
    <row r="11" spans="2:4" ht="82.5" x14ac:dyDescent="0.3">
      <c r="B11" s="75">
        <v>43112</v>
      </c>
      <c r="C11" s="76" t="s">
        <v>1056</v>
      </c>
      <c r="D11" s="77" t="s">
        <v>1055</v>
      </c>
    </row>
    <row r="12" spans="2:4" x14ac:dyDescent="0.3">
      <c r="B12" s="75"/>
      <c r="C12" s="76"/>
      <c r="D12" s="77"/>
    </row>
    <row r="13" spans="2:4" x14ac:dyDescent="0.3">
      <c r="B13" s="75"/>
      <c r="C13" s="76"/>
      <c r="D13" s="77"/>
    </row>
    <row r="14" spans="2:4" x14ac:dyDescent="0.3">
      <c r="B14" s="75"/>
      <c r="C14" s="76"/>
      <c r="D14" s="77"/>
    </row>
    <row r="15" spans="2:4" x14ac:dyDescent="0.3">
      <c r="B15" s="75"/>
      <c r="C15" s="76"/>
      <c r="D15" s="77"/>
    </row>
    <row r="16" spans="2:4" x14ac:dyDescent="0.3">
      <c r="B16" s="75"/>
      <c r="C16" s="76"/>
      <c r="D16" s="77"/>
    </row>
    <row r="17" spans="2:4" x14ac:dyDescent="0.3">
      <c r="B17" s="75"/>
      <c r="C17" s="76"/>
      <c r="D17" s="77"/>
    </row>
    <row r="18" spans="2:4" x14ac:dyDescent="0.3">
      <c r="B18" s="75"/>
      <c r="C18" s="76"/>
      <c r="D18" s="77"/>
    </row>
    <row r="19" spans="2:4" x14ac:dyDescent="0.3">
      <c r="B19" s="75"/>
      <c r="C19" s="76"/>
      <c r="D19" s="77"/>
    </row>
    <row r="20" spans="2:4" x14ac:dyDescent="0.3">
      <c r="B20" s="75"/>
      <c r="C20" s="76"/>
      <c r="D20" s="77"/>
    </row>
    <row r="21" spans="2:4" x14ac:dyDescent="0.3">
      <c r="B21" s="75"/>
      <c r="C21" s="76"/>
      <c r="D21" s="77"/>
    </row>
    <row r="22" spans="2:4" x14ac:dyDescent="0.3">
      <c r="B22" s="75"/>
      <c r="C22" s="76"/>
      <c r="D22" s="77"/>
    </row>
    <row r="23" spans="2:4" x14ac:dyDescent="0.3">
      <c r="B23" s="75"/>
      <c r="C23" s="76"/>
      <c r="D23" s="77"/>
    </row>
    <row r="24" spans="2:4" x14ac:dyDescent="0.3">
      <c r="B24" s="75"/>
      <c r="C24" s="76"/>
      <c r="D24" s="77"/>
    </row>
    <row r="25" spans="2:4" x14ac:dyDescent="0.3">
      <c r="B25" s="75"/>
      <c r="C25" s="76"/>
      <c r="D25" s="77"/>
    </row>
    <row r="26" spans="2:4" x14ac:dyDescent="0.3">
      <c r="B26" s="75"/>
      <c r="C26" s="76"/>
      <c r="D26" s="77"/>
    </row>
    <row r="27" spans="2:4" x14ac:dyDescent="0.3">
      <c r="B27" s="75"/>
      <c r="C27" s="76"/>
      <c r="D27" s="77"/>
    </row>
    <row r="28" spans="2:4" x14ac:dyDescent="0.3">
      <c r="B28" s="79"/>
      <c r="C28" s="76"/>
      <c r="D28" s="76"/>
    </row>
    <row r="29" spans="2:4" x14ac:dyDescent="0.3">
      <c r="B29" s="79"/>
      <c r="C29" s="76"/>
      <c r="D29" s="76"/>
    </row>
    <row r="30" spans="2:4" x14ac:dyDescent="0.3">
      <c r="B30" s="80"/>
      <c r="C30" s="81"/>
      <c r="D30" s="81"/>
    </row>
  </sheetData>
  <pageMargins left="0.511811024" right="0.511811024" top="0.78740157499999996" bottom="0.78740157499999996" header="0.31496062000000002" footer="0.31496062000000002"/>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4"/>
  <sheetViews>
    <sheetView showGridLines="0" topLeftCell="A4" workbookViewId="0"/>
  </sheetViews>
  <sheetFormatPr defaultRowHeight="16.5" x14ac:dyDescent="0.3"/>
  <cols>
    <col min="1" max="1" width="9.140625" style="27"/>
    <col min="2" max="2" width="38" style="27" customWidth="1"/>
    <col min="3" max="3" width="86.42578125" style="27" customWidth="1"/>
    <col min="4" max="4" width="11.28515625" style="27" customWidth="1"/>
    <col min="5" max="16384" width="9.140625" style="27"/>
  </cols>
  <sheetData>
    <row r="2" spans="2:4" x14ac:dyDescent="0.3">
      <c r="B2" s="29" t="s">
        <v>835</v>
      </c>
    </row>
    <row r="4" spans="2:4" x14ac:dyDescent="0.3">
      <c r="B4" s="35" t="s">
        <v>831</v>
      </c>
      <c r="C4" s="35" t="s">
        <v>832</v>
      </c>
      <c r="D4" s="35" t="s">
        <v>830</v>
      </c>
    </row>
    <row r="5" spans="2:4" ht="33" x14ac:dyDescent="0.3">
      <c r="B5" s="36" t="s">
        <v>100</v>
      </c>
      <c r="C5" s="36" t="s">
        <v>858</v>
      </c>
      <c r="D5" s="37">
        <f>SUMIF(Projetos_Ciclo!$J$3:$J$95,'Projetos x Riscos Não Execução'!B5,Projetos_Ciclo!$CA$3:$CA$95)</f>
        <v>0</v>
      </c>
    </row>
    <row r="6" spans="2:4" ht="33" x14ac:dyDescent="0.3">
      <c r="B6" s="36" t="s">
        <v>469</v>
      </c>
      <c r="C6" s="44" t="s">
        <v>860</v>
      </c>
      <c r="D6" s="37">
        <f>SUMIF(Projetos_Ciclo!$J$3:$J$95,'Projetos x Riscos Não Execução'!B6,Projetos_Ciclo!$CA$3:$CA$95)</f>
        <v>1000</v>
      </c>
    </row>
    <row r="7" spans="2:4" ht="66" x14ac:dyDescent="0.3">
      <c r="B7" s="36" t="s">
        <v>464</v>
      </c>
      <c r="C7" s="36" t="s">
        <v>859</v>
      </c>
      <c r="D7" s="37">
        <f>SUMIF(Projetos_Ciclo!$J$3:$J$95,'Projetos x Riscos Não Execução'!B7,Projetos_Ciclo!$CA$3:$CA$95)</f>
        <v>0</v>
      </c>
    </row>
    <row r="8" spans="2:4" x14ac:dyDescent="0.3">
      <c r="B8" s="26" t="s">
        <v>834</v>
      </c>
      <c r="C8" s="26"/>
      <c r="D8" s="30">
        <f>SUM(D5:D7)</f>
        <v>1000</v>
      </c>
    </row>
    <row r="9" spans="2:4" x14ac:dyDescent="0.3">
      <c r="B9" s="33" t="s">
        <v>833</v>
      </c>
      <c r="C9" s="26"/>
      <c r="D9" s="34">
        <v>14083.552</v>
      </c>
    </row>
    <row r="13" spans="2:4" x14ac:dyDescent="0.3">
      <c r="B13" s="29" t="s">
        <v>836</v>
      </c>
    </row>
    <row r="15" spans="2:4" x14ac:dyDescent="0.3">
      <c r="B15" s="35" t="s">
        <v>831</v>
      </c>
      <c r="C15" s="35" t="s">
        <v>832</v>
      </c>
      <c r="D15" s="35" t="s">
        <v>830</v>
      </c>
    </row>
    <row r="16" spans="2:4" ht="44.25" customHeight="1" x14ac:dyDescent="0.3">
      <c r="B16" s="41" t="s">
        <v>837</v>
      </c>
      <c r="C16" s="47" t="s">
        <v>889</v>
      </c>
      <c r="D16" s="37">
        <v>11311</v>
      </c>
    </row>
    <row r="17" spans="2:4" ht="44.25" customHeight="1" x14ac:dyDescent="0.3">
      <c r="B17" s="38" t="s">
        <v>572</v>
      </c>
      <c r="C17" s="45" t="s">
        <v>861</v>
      </c>
      <c r="D17" s="37">
        <f>SUMIF(Projetos_Ciclo!$J$3:$J$95,'Projetos x Riscos Não Execução'!B17,Projetos_Ciclo!$CA$3:$CA$95)</f>
        <v>0</v>
      </c>
    </row>
    <row r="18" spans="2:4" ht="45" customHeight="1" x14ac:dyDescent="0.3">
      <c r="B18" s="39" t="s">
        <v>548</v>
      </c>
      <c r="C18" s="46" t="s">
        <v>866</v>
      </c>
      <c r="D18" s="37">
        <f>SUMIF(Projetos_Ciclo!$J$3:$J$95,'Projetos x Riscos Não Execução'!B18,Projetos_Ciclo!$CA$3:$CA$95)</f>
        <v>3030</v>
      </c>
    </row>
    <row r="19" spans="2:4" ht="38.25" x14ac:dyDescent="0.3">
      <c r="B19" s="38" t="s">
        <v>571</v>
      </c>
      <c r="C19" s="45" t="s">
        <v>862</v>
      </c>
      <c r="D19" s="37">
        <f>SUMIF(Projetos_Ciclo!$J$3:$J$95,'Projetos x Riscos Não Execução'!B19,Projetos_Ciclo!$CA$3:$CA$95)</f>
        <v>0</v>
      </c>
    </row>
    <row r="20" spans="2:4" ht="38.25" x14ac:dyDescent="0.3">
      <c r="B20" s="40" t="s">
        <v>570</v>
      </c>
      <c r="C20" s="45" t="s">
        <v>863</v>
      </c>
      <c r="D20" s="37">
        <f>SUMIF(Projetos_Ciclo!$J$3:$J$95,'Projetos x Riscos Não Execução'!B20,Projetos_Ciclo!$CA$3:$CA$95)</f>
        <v>0</v>
      </c>
    </row>
    <row r="21" spans="2:4" ht="38.25" x14ac:dyDescent="0.3">
      <c r="B21" s="39" t="s">
        <v>600</v>
      </c>
      <c r="C21" s="45" t="s">
        <v>864</v>
      </c>
      <c r="D21" s="37">
        <f>SUMIF(Projetos_Ciclo!$J$3:$J$95,'Projetos x Riscos Não Execução'!B21,Projetos_Ciclo!$CA$3:$CA$95)</f>
        <v>0</v>
      </c>
    </row>
    <row r="22" spans="2:4" ht="38.25" x14ac:dyDescent="0.3">
      <c r="B22" s="40" t="s">
        <v>534</v>
      </c>
      <c r="C22" s="45" t="s">
        <v>865</v>
      </c>
      <c r="D22" s="37">
        <f>SUMIF(Projetos_Ciclo!$J$3:$J$95,'Projetos x Riscos Não Execução'!B22,Projetos_Ciclo!$CA$3:$CA$95)</f>
        <v>0</v>
      </c>
    </row>
    <row r="23" spans="2:4" x14ac:dyDescent="0.3">
      <c r="B23" s="26" t="s">
        <v>834</v>
      </c>
      <c r="C23" s="26"/>
      <c r="D23" s="30">
        <f>SUM(D16:D22)</f>
        <v>14341</v>
      </c>
    </row>
    <row r="24" spans="2:4" x14ac:dyDescent="0.3">
      <c r="B24" s="42" t="s">
        <v>839</v>
      </c>
      <c r="C24" s="26"/>
      <c r="D24" s="30">
        <v>37195.951000000001</v>
      </c>
    </row>
    <row r="28" spans="2:4" x14ac:dyDescent="0.3">
      <c r="B28" s="29" t="s">
        <v>838</v>
      </c>
    </row>
    <row r="29" spans="2:4" x14ac:dyDescent="0.3">
      <c r="B29" s="35" t="s">
        <v>831</v>
      </c>
      <c r="C29" s="35" t="s">
        <v>832</v>
      </c>
      <c r="D29" s="35" t="s">
        <v>830</v>
      </c>
    </row>
    <row r="30" spans="2:4" ht="80.25" customHeight="1" x14ac:dyDescent="0.3">
      <c r="B30" s="43" t="s">
        <v>842</v>
      </c>
      <c r="C30" s="48" t="s">
        <v>888</v>
      </c>
      <c r="D30" s="37">
        <f>SUMIF(Projetos_Ciclo!$J$3:$J$95,'Projetos x Riscos Não Execução'!B30,Projetos_Ciclo!$CA$3:$CA$95)</f>
        <v>2728</v>
      </c>
    </row>
    <row r="31" spans="2:4" ht="30" customHeight="1" x14ac:dyDescent="0.3">
      <c r="B31" s="39" t="s">
        <v>639</v>
      </c>
      <c r="C31" s="45" t="s">
        <v>867</v>
      </c>
      <c r="D31" s="37">
        <f>SUMIF(Projetos_Ciclo!$J$3:$J$95,'Projetos x Riscos Não Execução'!B31,Projetos_Ciclo!$CA$3:$CA$95)</f>
        <v>0</v>
      </c>
    </row>
    <row r="32" spans="2:4" ht="25.5" x14ac:dyDescent="0.3">
      <c r="B32" s="39" t="s">
        <v>537</v>
      </c>
      <c r="C32" s="45" t="s">
        <v>868</v>
      </c>
      <c r="D32" s="37">
        <f>SUMIF(Projetos_Ciclo!$J$3:$J$95,'Projetos x Riscos Não Execução'!B32,Projetos_Ciclo!$CA$3:$CA$95)</f>
        <v>0</v>
      </c>
    </row>
    <row r="33" spans="2:4" ht="25.5" x14ac:dyDescent="0.3">
      <c r="B33" s="39" t="s">
        <v>452</v>
      </c>
      <c r="C33" s="45" t="s">
        <v>869</v>
      </c>
      <c r="D33" s="37">
        <f>SUMIF(Projetos_Ciclo!$J$3:$J$95,'Projetos x Riscos Não Execução'!B33,Projetos_Ciclo!$CA$3:$CA$95)</f>
        <v>0</v>
      </c>
    </row>
    <row r="34" spans="2:4" x14ac:dyDescent="0.3">
      <c r="B34" s="26" t="s">
        <v>834</v>
      </c>
      <c r="C34" s="26"/>
      <c r="D34" s="30">
        <f>SUM(D30:D33)</f>
        <v>2728</v>
      </c>
    </row>
    <row r="35" spans="2:4" x14ac:dyDescent="0.3">
      <c r="B35" s="33" t="s">
        <v>840</v>
      </c>
      <c r="C35" s="26"/>
      <c r="D35" s="30">
        <v>8548.4</v>
      </c>
    </row>
    <row r="38" spans="2:4" x14ac:dyDescent="0.3">
      <c r="B38" s="29" t="s">
        <v>843</v>
      </c>
    </row>
    <row r="39" spans="2:4" x14ac:dyDescent="0.3">
      <c r="B39" s="35" t="s">
        <v>831</v>
      </c>
      <c r="C39" s="35" t="s">
        <v>832</v>
      </c>
      <c r="D39" s="35" t="s">
        <v>830</v>
      </c>
    </row>
    <row r="40" spans="2:4" x14ac:dyDescent="0.3">
      <c r="B40" s="39" t="s">
        <v>689</v>
      </c>
      <c r="C40" s="45" t="s">
        <v>870</v>
      </c>
      <c r="D40" s="37">
        <f>SUMIF(Projetos_Ciclo!$J$3:$J$95,'Projetos x Riscos Não Execução'!B40,Projetos_Ciclo!$CA$3:$CA$95)</f>
        <v>0</v>
      </c>
    </row>
    <row r="41" spans="2:4" x14ac:dyDescent="0.3">
      <c r="B41" s="39" t="s">
        <v>671</v>
      </c>
      <c r="C41" s="45" t="s">
        <v>871</v>
      </c>
      <c r="D41" s="37">
        <f>SUMIF(Projetos_Ciclo!$J$3:$J$95,'Projetos x Riscos Não Execução'!B41,Projetos_Ciclo!$CA$3:$CA$95)</f>
        <v>0</v>
      </c>
    </row>
    <row r="42" spans="2:4" x14ac:dyDescent="0.3">
      <c r="B42" s="26" t="s">
        <v>834</v>
      </c>
      <c r="C42" s="26"/>
      <c r="D42" s="30">
        <f>SUM(D40:D41)</f>
        <v>0</v>
      </c>
    </row>
    <row r="43" spans="2:4" x14ac:dyDescent="0.3">
      <c r="B43" s="33" t="s">
        <v>844</v>
      </c>
      <c r="C43" s="26"/>
      <c r="D43" s="30">
        <v>37932.724000000002</v>
      </c>
    </row>
    <row r="46" spans="2:4" x14ac:dyDescent="0.3">
      <c r="B46" s="29" t="s">
        <v>845</v>
      </c>
    </row>
    <row r="47" spans="2:4" x14ac:dyDescent="0.3">
      <c r="B47" s="35" t="s">
        <v>831</v>
      </c>
      <c r="C47" s="35" t="s">
        <v>832</v>
      </c>
      <c r="D47" s="35" t="s">
        <v>830</v>
      </c>
    </row>
    <row r="48" spans="2:4" ht="76.5" x14ac:dyDescent="0.3">
      <c r="B48" s="39" t="s">
        <v>650</v>
      </c>
      <c r="C48" s="45" t="s">
        <v>872</v>
      </c>
      <c r="D48" s="37">
        <f>SUMIF(Projetos_Ciclo!$J$3:$J$95,'Projetos x Riscos Não Execução'!B48,Projetos_Ciclo!$CA$3:$CA$95)</f>
        <v>0</v>
      </c>
    </row>
    <row r="49" spans="2:4" ht="25.5" x14ac:dyDescent="0.3">
      <c r="B49" s="39" t="s">
        <v>476</v>
      </c>
      <c r="C49" s="45" t="s">
        <v>873</v>
      </c>
      <c r="D49" s="37">
        <f>SUMIF(Projetos_Ciclo!$J$3:$J$95,'Projetos x Riscos Não Execução'!B49,Projetos_Ciclo!$CA$3:$CA$95)</f>
        <v>0</v>
      </c>
    </row>
    <row r="50" spans="2:4" ht="25.5" x14ac:dyDescent="0.3">
      <c r="B50" s="39" t="s">
        <v>479</v>
      </c>
      <c r="C50" s="45" t="s">
        <v>873</v>
      </c>
      <c r="D50" s="37">
        <f>SUMIF(Projetos_Ciclo!$J$3:$J$95,'Projetos x Riscos Não Execução'!B50,Projetos_Ciclo!$CA$3:$CA$95)</f>
        <v>0</v>
      </c>
    </row>
    <row r="51" spans="2:4" ht="25.5" x14ac:dyDescent="0.3">
      <c r="B51" s="39" t="s">
        <v>480</v>
      </c>
      <c r="C51" s="45" t="s">
        <v>873</v>
      </c>
      <c r="D51" s="37">
        <f>SUMIF(Projetos_Ciclo!$J$3:$J$95,'Projetos x Riscos Não Execução'!B51,Projetos_Ciclo!$CA$3:$CA$95)</f>
        <v>0</v>
      </c>
    </row>
    <row r="52" spans="2:4" x14ac:dyDescent="0.3">
      <c r="B52" s="26" t="s">
        <v>834</v>
      </c>
      <c r="C52" s="26"/>
      <c r="D52" s="30">
        <f>SUM(D48:D51)</f>
        <v>0</v>
      </c>
    </row>
    <row r="53" spans="2:4" x14ac:dyDescent="0.3">
      <c r="B53" s="33" t="s">
        <v>846</v>
      </c>
      <c r="C53" s="26"/>
      <c r="D53" s="30">
        <v>27069</v>
      </c>
    </row>
    <row r="56" spans="2:4" x14ac:dyDescent="0.3">
      <c r="B56" s="29" t="s">
        <v>847</v>
      </c>
    </row>
    <row r="57" spans="2:4" x14ac:dyDescent="0.3">
      <c r="B57" s="35" t="s">
        <v>831</v>
      </c>
      <c r="C57" s="35" t="s">
        <v>832</v>
      </c>
      <c r="D57" s="35" t="s">
        <v>830</v>
      </c>
    </row>
    <row r="58" spans="2:4" ht="63.75" hidden="1" x14ac:dyDescent="0.3">
      <c r="B58" s="39" t="s">
        <v>304</v>
      </c>
      <c r="C58" s="45" t="s">
        <v>874</v>
      </c>
      <c r="D58" s="37">
        <f>SUMIF(Projetos_Ciclo!$J$3:$J$95,'Projetos x Riscos Não Execução'!B58,Projetos_Ciclo!$CA$3:$CA$95)</f>
        <v>0</v>
      </c>
    </row>
    <row r="59" spans="2:4" ht="25.5" hidden="1" x14ac:dyDescent="0.3">
      <c r="B59" s="39" t="s">
        <v>333</v>
      </c>
      <c r="C59" s="39" t="s">
        <v>704</v>
      </c>
      <c r="D59" s="37">
        <f>SUMIF(Projetos_Ciclo!$J$3:$J$95,'Projetos x Riscos Não Execução'!B59,Projetos_Ciclo!$CA$3:$CA$95)</f>
        <v>0</v>
      </c>
    </row>
    <row r="60" spans="2:4" hidden="1" x14ac:dyDescent="0.3">
      <c r="B60" s="39" t="s">
        <v>848</v>
      </c>
      <c r="C60" s="39" t="s">
        <v>706</v>
      </c>
      <c r="D60" s="37">
        <f>SUMIF(Projetos_Ciclo!$J$3:$J$95,'Projetos x Riscos Não Execução'!B60,Projetos_Ciclo!$CA$3:$CA$95)</f>
        <v>0</v>
      </c>
    </row>
    <row r="61" spans="2:4" ht="81.75" hidden="1" customHeight="1" x14ac:dyDescent="0.3">
      <c r="B61" s="39" t="s">
        <v>349</v>
      </c>
      <c r="C61" s="45" t="s">
        <v>886</v>
      </c>
      <c r="D61" s="37">
        <f>SUMIF(Projetos_Ciclo!$J$3:$J$95,'Projetos x Riscos Não Execução'!B61,Projetos_Ciclo!$CA$3:$CA$95)</f>
        <v>0</v>
      </c>
    </row>
    <row r="62" spans="2:4" ht="93" hidden="1" customHeight="1" x14ac:dyDescent="0.3">
      <c r="B62" s="39" t="s">
        <v>509</v>
      </c>
      <c r="C62" s="45" t="s">
        <v>885</v>
      </c>
      <c r="D62" s="37">
        <f>SUMIF(Projetos_Ciclo!$J$3:$J$95,'Projetos x Riscos Não Execução'!B62,Projetos_Ciclo!$CA$3:$CA$95)</f>
        <v>0</v>
      </c>
    </row>
    <row r="63" spans="2:4" hidden="1" x14ac:dyDescent="0.3">
      <c r="B63" s="39" t="s">
        <v>388</v>
      </c>
      <c r="C63" s="45" t="s">
        <v>875</v>
      </c>
      <c r="D63" s="37">
        <f>SUMIF(Projetos_Ciclo!$J$3:$J$95,'Projetos x Riscos Não Execução'!B63,Projetos_Ciclo!$CA$3:$CA$95)</f>
        <v>0</v>
      </c>
    </row>
    <row r="64" spans="2:4" ht="52.5" hidden="1" customHeight="1" x14ac:dyDescent="0.3">
      <c r="B64" s="39" t="s">
        <v>849</v>
      </c>
      <c r="C64" s="45" t="s">
        <v>876</v>
      </c>
      <c r="D64" s="37">
        <f>SUMIF(Projetos_Ciclo!$J$3:$J$95,'Projetos x Riscos Não Execução'!B64,Projetos_Ciclo!$CA$3:$CA$95)</f>
        <v>0</v>
      </c>
    </row>
    <row r="65" spans="2:4" ht="42.75" customHeight="1" x14ac:dyDescent="0.3">
      <c r="B65" s="39" t="s">
        <v>334</v>
      </c>
      <c r="C65" s="45" t="s">
        <v>887</v>
      </c>
      <c r="D65" s="37">
        <f>SUMIF(Projetos_Ciclo!$J$3:$J$95,'Projetos x Riscos Não Execução'!B65,Projetos_Ciclo!$CA$3:$CA$95)</f>
        <v>0</v>
      </c>
    </row>
    <row r="66" spans="2:4" ht="38.25" x14ac:dyDescent="0.3">
      <c r="B66" s="39" t="s">
        <v>850</v>
      </c>
      <c r="C66" s="45" t="s">
        <v>883</v>
      </c>
      <c r="D66" s="37">
        <f>SUMIF(Projetos_Ciclo!$J$3:$J$95,'Projetos x Riscos Não Execução'!B66,Projetos_Ciclo!$CA$3:$CA$95)</f>
        <v>0</v>
      </c>
    </row>
    <row r="67" spans="2:4" ht="41.25" customHeight="1" x14ac:dyDescent="0.3">
      <c r="B67" s="39" t="s">
        <v>357</v>
      </c>
      <c r="C67" s="45" t="s">
        <v>877</v>
      </c>
      <c r="D67" s="37">
        <f>SUMIF(Projetos_Ciclo!$J$3:$J$95,'Projetos x Riscos Não Execução'!B67,Projetos_Ciclo!$CA$3:$CA$95)</f>
        <v>0</v>
      </c>
    </row>
    <row r="68" spans="2:4" ht="38.25" x14ac:dyDescent="0.3">
      <c r="B68" s="39" t="s">
        <v>851</v>
      </c>
      <c r="C68" s="45" t="s">
        <v>878</v>
      </c>
      <c r="D68" s="37">
        <f>SUMIF(Projetos_Ciclo!$J$3:$J$95,'Projetos x Riscos Não Execução'!B68,Projetos_Ciclo!$CA$3:$CA$95)</f>
        <v>0</v>
      </c>
    </row>
    <row r="69" spans="2:4" ht="17.25" customHeight="1" x14ac:dyDescent="0.3">
      <c r="B69" s="39" t="s">
        <v>708</v>
      </c>
      <c r="C69" s="45" t="s">
        <v>879</v>
      </c>
      <c r="D69" s="37">
        <f>SUMIF(Projetos_Ciclo!$J$3:$J$95,'Projetos x Riscos Não Execução'!B69,Projetos_Ciclo!$CA$3:$CA$95)</f>
        <v>0</v>
      </c>
    </row>
    <row r="70" spans="2:4" x14ac:dyDescent="0.3">
      <c r="B70" s="39" t="s">
        <v>884</v>
      </c>
      <c r="C70" s="45" t="s">
        <v>880</v>
      </c>
      <c r="D70" s="37">
        <f>SUMIF(Projetos_Ciclo!$J$3:$J$95,'Projetos x Riscos Não Execução'!B70,Projetos_Ciclo!$CA$3:$CA$95)</f>
        <v>0</v>
      </c>
    </row>
    <row r="71" spans="2:4" x14ac:dyDescent="0.3">
      <c r="B71" s="39" t="s">
        <v>391</v>
      </c>
      <c r="C71" s="45" t="s">
        <v>881</v>
      </c>
      <c r="D71" s="37">
        <f>SUMIF(Projetos_Ciclo!$J$3:$J$95,'Projetos x Riscos Não Execução'!B71,Projetos_Ciclo!$CA$3:$CA$95)</f>
        <v>0</v>
      </c>
    </row>
    <row r="72" spans="2:4" ht="25.5" x14ac:dyDescent="0.3">
      <c r="B72" s="39" t="s">
        <v>373</v>
      </c>
      <c r="C72" s="45" t="s">
        <v>882</v>
      </c>
      <c r="D72" s="37">
        <f>SUMIF(Projetos_Ciclo!$J$3:$J$95,'Projetos x Riscos Não Execução'!B72,Projetos_Ciclo!$CA$3:$CA$95)</f>
        <v>0</v>
      </c>
    </row>
    <row r="73" spans="2:4" x14ac:dyDescent="0.3">
      <c r="B73" s="26" t="s">
        <v>834</v>
      </c>
      <c r="C73" s="26"/>
      <c r="D73" s="30">
        <f>SUM(D58:D72)</f>
        <v>0</v>
      </c>
    </row>
    <row r="74" spans="2:4" x14ac:dyDescent="0.3">
      <c r="B74" s="33" t="s">
        <v>852</v>
      </c>
      <c r="C74" s="26"/>
      <c r="D74" s="30">
        <v>224907</v>
      </c>
    </row>
  </sheetData>
  <pageMargins left="0.511811024" right="0.511811024" top="0.78740157499999996" bottom="0.78740157499999996" header="0.31496062000000002" footer="0.31496062000000002"/>
  <pageSetup orientation="portrait"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201"/>
  <sheetViews>
    <sheetView workbookViewId="0">
      <selection activeCell="A20" sqref="A20"/>
    </sheetView>
  </sheetViews>
  <sheetFormatPr defaultRowHeight="15" x14ac:dyDescent="0.25"/>
  <cols>
    <col min="1" max="1" width="24.28515625" customWidth="1"/>
    <col min="15" max="15" width="27.85546875" customWidth="1"/>
    <col min="29" max="29" width="27.85546875" customWidth="1"/>
    <col min="43" max="43" width="27.85546875" customWidth="1"/>
    <col min="58" max="58" width="19" customWidth="1"/>
    <col min="59" max="59" width="54.140625" customWidth="1"/>
    <col min="61" max="72" width="10.28515625" customWidth="1"/>
    <col min="75" max="75" width="9.5703125" bestFit="1" customWidth="1"/>
    <col min="79" max="79" width="10.7109375" bestFit="1" customWidth="1"/>
  </cols>
  <sheetData>
    <row r="1" spans="1:55" ht="18" x14ac:dyDescent="0.25">
      <c r="A1" s="502" t="s">
        <v>893</v>
      </c>
      <c r="B1" s="502"/>
      <c r="C1" s="502"/>
      <c r="D1" s="502"/>
      <c r="E1" s="502"/>
      <c r="F1" s="502"/>
      <c r="G1" s="502"/>
      <c r="H1" s="502"/>
      <c r="I1" s="502"/>
      <c r="J1" s="502"/>
      <c r="K1" s="503" t="s">
        <v>918</v>
      </c>
      <c r="L1" s="503"/>
      <c r="M1" s="503"/>
      <c r="N1" s="58"/>
      <c r="O1" s="502" t="s">
        <v>900</v>
      </c>
      <c r="P1" s="502"/>
      <c r="Q1" s="502"/>
      <c r="R1" s="502"/>
      <c r="S1" s="502"/>
      <c r="T1" s="502"/>
      <c r="U1" s="502"/>
      <c r="V1" s="502"/>
      <c r="W1" s="502"/>
      <c r="X1" s="502"/>
      <c r="Y1" s="503" t="s">
        <v>918</v>
      </c>
      <c r="Z1" s="503"/>
      <c r="AA1" s="503"/>
      <c r="AB1" s="58"/>
      <c r="AC1" s="502" t="s">
        <v>907</v>
      </c>
      <c r="AD1" s="502"/>
      <c r="AE1" s="502"/>
      <c r="AF1" s="502"/>
      <c r="AG1" s="502"/>
      <c r="AH1" s="502"/>
      <c r="AI1" s="502"/>
      <c r="AJ1" s="502"/>
      <c r="AK1" s="502"/>
      <c r="AL1" s="502"/>
      <c r="AM1" s="503" t="s">
        <v>918</v>
      </c>
      <c r="AN1" s="503"/>
      <c r="AO1" s="503"/>
      <c r="AP1" s="58"/>
      <c r="AQ1" s="502" t="s">
        <v>914</v>
      </c>
      <c r="AR1" s="502"/>
      <c r="AS1" s="502"/>
      <c r="AT1" s="502"/>
      <c r="AU1" s="502"/>
      <c r="AV1" s="502"/>
      <c r="AW1" s="502"/>
      <c r="AX1" s="502"/>
      <c r="AY1" s="502"/>
      <c r="AZ1" s="502"/>
      <c r="BA1" s="503" t="s">
        <v>918</v>
      </c>
      <c r="BB1" s="503"/>
      <c r="BC1" s="503"/>
    </row>
    <row r="2" spans="1:55" ht="16.5" x14ac:dyDescent="0.3">
      <c r="A2" s="60" t="s">
        <v>55</v>
      </c>
      <c r="B2" s="56">
        <v>43101</v>
      </c>
      <c r="C2" s="56">
        <v>43132</v>
      </c>
      <c r="D2" s="56">
        <v>43160</v>
      </c>
      <c r="E2" s="56">
        <v>43191</v>
      </c>
      <c r="F2" s="56">
        <v>43221</v>
      </c>
      <c r="G2" s="56">
        <v>43252</v>
      </c>
      <c r="H2" s="56">
        <v>43282</v>
      </c>
      <c r="I2" s="56">
        <v>43313</v>
      </c>
      <c r="J2" s="56">
        <v>43344</v>
      </c>
      <c r="K2" s="56">
        <v>43374</v>
      </c>
      <c r="L2" s="56">
        <v>43405</v>
      </c>
      <c r="M2" s="56">
        <v>43435</v>
      </c>
      <c r="N2" s="58"/>
      <c r="O2" s="24" t="s">
        <v>52</v>
      </c>
      <c r="P2" s="56">
        <v>43101</v>
      </c>
      <c r="Q2" s="56">
        <v>43132</v>
      </c>
      <c r="R2" s="56">
        <v>43160</v>
      </c>
      <c r="S2" s="56">
        <v>43191</v>
      </c>
      <c r="T2" s="56">
        <v>43221</v>
      </c>
      <c r="U2" s="56">
        <v>43252</v>
      </c>
      <c r="V2" s="56">
        <v>43282</v>
      </c>
      <c r="W2" s="56">
        <v>43313</v>
      </c>
      <c r="X2" s="56">
        <v>43344</v>
      </c>
      <c r="Y2" s="56">
        <v>43374</v>
      </c>
      <c r="Z2" s="56">
        <v>43405</v>
      </c>
      <c r="AA2" s="56">
        <v>43435</v>
      </c>
      <c r="AB2" s="58"/>
      <c r="AC2" s="24" t="s">
        <v>61</v>
      </c>
      <c r="AD2" s="56">
        <v>43101</v>
      </c>
      <c r="AE2" s="56">
        <v>43132</v>
      </c>
      <c r="AF2" s="56">
        <v>43160</v>
      </c>
      <c r="AG2" s="56">
        <v>43191</v>
      </c>
      <c r="AH2" s="56">
        <v>43221</v>
      </c>
      <c r="AI2" s="56">
        <v>43252</v>
      </c>
      <c r="AJ2" s="56">
        <v>43282</v>
      </c>
      <c r="AK2" s="56">
        <v>43313</v>
      </c>
      <c r="AL2" s="56">
        <v>43344</v>
      </c>
      <c r="AM2" s="56">
        <v>43374</v>
      </c>
      <c r="AN2" s="56">
        <v>43405</v>
      </c>
      <c r="AO2" s="56">
        <v>43435</v>
      </c>
      <c r="AP2" s="58"/>
      <c r="AQ2" s="24" t="s">
        <v>381</v>
      </c>
      <c r="AR2" s="56">
        <v>43101</v>
      </c>
      <c r="AS2" s="56">
        <v>43132</v>
      </c>
      <c r="AT2" s="56">
        <v>43160</v>
      </c>
      <c r="AU2" s="56">
        <v>43191</v>
      </c>
      <c r="AV2" s="56">
        <v>43221</v>
      </c>
      <c r="AW2" s="56">
        <v>43252</v>
      </c>
      <c r="AX2" s="56">
        <v>43282</v>
      </c>
      <c r="AY2" s="56">
        <v>43313</v>
      </c>
      <c r="AZ2" s="56">
        <v>43344</v>
      </c>
      <c r="BA2" s="56">
        <v>43374</v>
      </c>
      <c r="BB2" s="56">
        <v>43405</v>
      </c>
      <c r="BC2" s="56">
        <v>43435</v>
      </c>
    </row>
    <row r="3" spans="1:55" ht="16.5" x14ac:dyDescent="0.3">
      <c r="A3" s="54" t="s">
        <v>891</v>
      </c>
      <c r="B3" s="25">
        <f>SUMIF(Projetos_Ciclo!$A$3:$A$315,'Gráfico Tendência 2018-2022'!$A$2,Projetos_Ciclo!$Z$3:$Z$315)</f>
        <v>71800.275959639883</v>
      </c>
      <c r="C3" s="25">
        <f>SUMIF(Projetos_Ciclo!$A$3:$A$315,'Gráfico Tendência 2018-2022'!$A$2,Projetos_Ciclo!$Z$3:$Z$315)</f>
        <v>71800.275959639883</v>
      </c>
      <c r="D3" s="25">
        <f>SUMIF(Projetos_Ciclo!$A$3:$A$315,'Gráfico Tendência 2018-2022'!$A$2,Projetos_Ciclo!$Z$3:$Z$315)</f>
        <v>71800.275959639883</v>
      </c>
      <c r="E3" s="25">
        <f>SUMIF(Projetos_Ciclo!$A$3:$A$315,'Gráfico Tendência 2018-2022'!$A$2,Projetos_Ciclo!$Z$3:$Z$315)</f>
        <v>71800.275959639883</v>
      </c>
      <c r="F3" s="25">
        <f>SUMIF(Projetos_Ciclo!$A$3:$A$315,'Gráfico Tendência 2018-2022'!$A$2,Projetos_Ciclo!$Z$3:$Z$315)</f>
        <v>71800.275959639883</v>
      </c>
      <c r="G3" s="25">
        <f>SUMIF(Projetos_Ciclo!$A$3:$A$315,'Gráfico Tendência 2018-2022'!$A$2,Projetos_Ciclo!$Z$3:$Z$315)</f>
        <v>71800.275959639883</v>
      </c>
      <c r="H3" s="25">
        <f>SUMIF(Projetos_Ciclo!$A$3:$A$315,'Gráfico Tendência 2018-2022'!$A$2,Projetos_Ciclo!$Z$3:$Z$315)</f>
        <v>71800.275959639883</v>
      </c>
      <c r="I3" s="25">
        <f>SUMIF(Projetos_Ciclo!$A$3:$A$315,'Gráfico Tendência 2018-2022'!$A$2,Projetos_Ciclo!$Z$3:$Z$315)</f>
        <v>71800.275959639883</v>
      </c>
      <c r="J3" s="25">
        <f>SUMIF(Projetos_Ciclo!$A$3:$A$315,'Gráfico Tendência 2018-2022'!$A$2,Projetos_Ciclo!$Z$3:$Z$315)</f>
        <v>71800.275959639883</v>
      </c>
      <c r="K3" s="25">
        <f>SUMIF(Projetos_Ciclo!$A$3:$A$315,'Gráfico Tendência 2018-2022'!$A$2,Projetos_Ciclo!$Z$3:$Z$315)</f>
        <v>71800.275959639883</v>
      </c>
      <c r="L3" s="25">
        <f>SUMIF(Projetos_Ciclo!$A$3:$A$315,'Gráfico Tendência 2018-2022'!$A$2,Projetos_Ciclo!$Z$3:$Z$315)</f>
        <v>71800.275959639883</v>
      </c>
      <c r="M3" s="25">
        <f>SUMIF(Projetos_Ciclo!$A$3:$A$315,'Gráfico Tendência 2018-2022'!$A$2,Projetos_Ciclo!$Z$3:$Z$315)</f>
        <v>71800.275959639883</v>
      </c>
      <c r="N3" s="58"/>
      <c r="O3" s="54" t="s">
        <v>891</v>
      </c>
      <c r="P3" s="25">
        <f>SUMIF(Projetos_Ciclo!$A$3:$A$97,'Gráfico Tendência 2018-2022'!$O$2,Projetos_Ciclo!$Z$3:$Z$97)</f>
        <v>639.07000020027124</v>
      </c>
      <c r="Q3" s="25">
        <f>SUMIF(Projetos_Ciclo!$A$3:$A$97,'Gráfico Tendência 2018-2022'!$O$2,Projetos_Ciclo!$Z$3:$Z$97)</f>
        <v>639.07000020027124</v>
      </c>
      <c r="R3" s="25">
        <f>SUMIF(Projetos_Ciclo!$A$3:$A$97,'Gráfico Tendência 2018-2022'!$O$2,Projetos_Ciclo!$Z$3:$Z$97)</f>
        <v>639.07000020027124</v>
      </c>
      <c r="S3" s="25">
        <f>SUMIF(Projetos_Ciclo!$A$3:$A$97,'Gráfico Tendência 2018-2022'!$O$2,Projetos_Ciclo!$Z$3:$Z$97)</f>
        <v>639.07000020027124</v>
      </c>
      <c r="T3" s="25">
        <f>SUMIF(Projetos_Ciclo!$A$3:$A$97,'Gráfico Tendência 2018-2022'!$O$2,Projetos_Ciclo!$Z$3:$Z$97)</f>
        <v>639.07000020027124</v>
      </c>
      <c r="U3" s="25">
        <f>SUMIF(Projetos_Ciclo!$A$3:$A$97,'Gráfico Tendência 2018-2022'!$O$2,Projetos_Ciclo!$Z$3:$Z$97)</f>
        <v>639.07000020027124</v>
      </c>
      <c r="V3" s="25">
        <f>SUMIF(Projetos_Ciclo!$A$3:$A$97,'Gráfico Tendência 2018-2022'!$O$2,Projetos_Ciclo!$Z$3:$Z$97)</f>
        <v>639.07000020027124</v>
      </c>
      <c r="W3" s="25">
        <f>SUMIF(Projetos_Ciclo!$A$3:$A$97,'Gráfico Tendência 2018-2022'!$O$2,Projetos_Ciclo!$Z$3:$Z$97)</f>
        <v>639.07000020027124</v>
      </c>
      <c r="X3" s="25">
        <f>SUMIF(Projetos_Ciclo!$A$3:$A$97,'Gráfico Tendência 2018-2022'!$O$2,Projetos_Ciclo!$Z$3:$Z$97)</f>
        <v>639.07000020027124</v>
      </c>
      <c r="Y3" s="25">
        <f>SUMIF(Projetos_Ciclo!$A$3:$A$97,'Gráfico Tendência 2018-2022'!$O$2,Projetos_Ciclo!$Z$3:$Z$97)</f>
        <v>639.07000020027124</v>
      </c>
      <c r="Z3" s="25">
        <f>SUMIF(Projetos_Ciclo!$A$3:$A$97,'Gráfico Tendência 2018-2022'!$O$2,Projetos_Ciclo!$Z$3:$Z$97)</f>
        <v>639.07000020027124</v>
      </c>
      <c r="AA3" s="25">
        <f>SUMIF(Projetos_Ciclo!$A$3:$A$97,'Gráfico Tendência 2018-2022'!$O$2,Projetos_Ciclo!$Z$3:$Z$97)</f>
        <v>639.07000020027124</v>
      </c>
      <c r="AB3" s="58"/>
      <c r="AC3" s="54" t="s">
        <v>891</v>
      </c>
      <c r="AD3" s="25">
        <f>SUMIF(Projetos_Ciclo!$A$3:$A$97,'Gráfico Tendência 2018-2022'!$AC$2,Projetos_Ciclo!$Z$3:$Z$97)</f>
        <v>1786.6762499806587</v>
      </c>
      <c r="AE3" s="25">
        <f>SUMIF(Projetos_Ciclo!$A$3:$A$97,'Gráfico Tendência 2018-2022'!$AC$2,Projetos_Ciclo!$Z$3:$Z$97)</f>
        <v>1786.6762499806587</v>
      </c>
      <c r="AF3" s="25">
        <f>SUMIF(Projetos_Ciclo!$A$3:$A$97,'Gráfico Tendência 2018-2022'!$AC$2,Projetos_Ciclo!$Z$3:$Z$97)</f>
        <v>1786.6762499806587</v>
      </c>
      <c r="AG3" s="25">
        <f>SUMIF(Projetos_Ciclo!$A$3:$A$97,'Gráfico Tendência 2018-2022'!$AC$2,Projetos_Ciclo!$Z$3:$Z$97)</f>
        <v>1786.6762499806587</v>
      </c>
      <c r="AH3" s="25">
        <f>SUMIF(Projetos_Ciclo!$A$3:$A$97,'Gráfico Tendência 2018-2022'!$AC$2,Projetos_Ciclo!$Z$3:$Z$97)</f>
        <v>1786.6762499806587</v>
      </c>
      <c r="AI3" s="25">
        <f>SUMIF(Projetos_Ciclo!$A$3:$A$97,'Gráfico Tendência 2018-2022'!$AC$2,Projetos_Ciclo!$Z$3:$Z$97)</f>
        <v>1786.6762499806587</v>
      </c>
      <c r="AJ3" s="25">
        <f>SUMIF(Projetos_Ciclo!$A$3:$A$97,'Gráfico Tendência 2018-2022'!$AC$2,Projetos_Ciclo!$Z$3:$Z$97)</f>
        <v>1786.6762499806587</v>
      </c>
      <c r="AK3" s="25">
        <f>SUMIF(Projetos_Ciclo!$A$3:$A$97,'Gráfico Tendência 2018-2022'!$AC$2,Projetos_Ciclo!$Z$3:$Z$97)</f>
        <v>1786.6762499806587</v>
      </c>
      <c r="AL3" s="25">
        <f>SUMIF(Projetos_Ciclo!$A$3:$A$97,'Gráfico Tendência 2018-2022'!$AC$2,Projetos_Ciclo!$Z$3:$Z$97)</f>
        <v>1786.6762499806587</v>
      </c>
      <c r="AM3" s="25">
        <f>SUMIF(Projetos_Ciclo!$A$3:$A$97,'Gráfico Tendência 2018-2022'!$AC$2,Projetos_Ciclo!$Z$3:$Z$97)</f>
        <v>1786.6762499806587</v>
      </c>
      <c r="AN3" s="25">
        <f>SUMIF(Projetos_Ciclo!$A$3:$A$97,'Gráfico Tendência 2018-2022'!$AC$2,Projetos_Ciclo!$Z$3:$Z$97)</f>
        <v>1786.6762499806587</v>
      </c>
      <c r="AO3" s="25">
        <f>SUMIF(Projetos_Ciclo!$A$3:$A$97,'Gráfico Tendência 2018-2022'!$AC$2,Projetos_Ciclo!$Z$3:$Z$97)</f>
        <v>1786.6762499806587</v>
      </c>
      <c r="AP3" s="58"/>
      <c r="AQ3" s="54" t="s">
        <v>891</v>
      </c>
      <c r="AR3" s="25">
        <f>SUMIF(Projetos_Ciclo!$A$3:$A$97,'Gráfico Tendência 2018-2022'!$AQ$2,Projetos_Ciclo!$Z$3:$Z$97)</f>
        <v>0</v>
      </c>
      <c r="AS3" s="25">
        <f>SUMIF(Projetos_Ciclo!$A$3:$A$97,'Gráfico Tendência 2018-2022'!$AQ$2,Projetos_Ciclo!$Z$3:$Z$97)</f>
        <v>0</v>
      </c>
      <c r="AT3" s="25">
        <f>SUMIF(Projetos_Ciclo!$A$3:$A$97,'Gráfico Tendência 2018-2022'!$AQ$2,Projetos_Ciclo!$Z$3:$Z$97)</f>
        <v>0</v>
      </c>
      <c r="AU3" s="25">
        <f>SUMIF(Projetos_Ciclo!$A$3:$A$97,'Gráfico Tendência 2018-2022'!$AQ$2,Projetos_Ciclo!$Z$3:$Z$97)</f>
        <v>0</v>
      </c>
      <c r="AV3" s="25">
        <f>SUMIF(Projetos_Ciclo!$A$3:$A$97,'Gráfico Tendência 2018-2022'!$AQ$2,Projetos_Ciclo!$Z$3:$Z$97)</f>
        <v>0</v>
      </c>
      <c r="AW3" s="25">
        <f>SUMIF(Projetos_Ciclo!$A$3:$A$97,'Gráfico Tendência 2018-2022'!$AQ$2,Projetos_Ciclo!$Z$3:$Z$97)</f>
        <v>0</v>
      </c>
      <c r="AX3" s="25">
        <f>SUMIF(Projetos_Ciclo!$A$3:$A$97,'Gráfico Tendência 2018-2022'!$AQ$2,Projetos_Ciclo!$Z$3:$Z$97)</f>
        <v>0</v>
      </c>
      <c r="AY3" s="25">
        <f>SUMIF(Projetos_Ciclo!$A$3:$A$97,'Gráfico Tendência 2018-2022'!$AQ$2,Projetos_Ciclo!$Z$3:$Z$97)</f>
        <v>0</v>
      </c>
      <c r="AZ3" s="25">
        <f>SUMIF(Projetos_Ciclo!$A$3:$A$97,'Gráfico Tendência 2018-2022'!$AQ$2,Projetos_Ciclo!$Z$3:$Z$97)</f>
        <v>0</v>
      </c>
      <c r="BA3" s="25">
        <f>SUMIF(Projetos_Ciclo!$A$3:$A$97,'Gráfico Tendência 2018-2022'!$AQ$2,Projetos_Ciclo!$Z$3:$Z$97)</f>
        <v>0</v>
      </c>
      <c r="BB3" s="25">
        <f>SUMIF(Projetos_Ciclo!$A$3:$A$97,'Gráfico Tendência 2018-2022'!$AQ$2,Projetos_Ciclo!$Z$3:$Z$97)</f>
        <v>0</v>
      </c>
      <c r="BC3" s="25">
        <f>SUMIF(Projetos_Ciclo!$A$3:$A$97,'Gráfico Tendência 2018-2022'!$AQ$2,Projetos_Ciclo!$Z$3:$Z$97)</f>
        <v>0</v>
      </c>
    </row>
    <row r="4" spans="1:55" ht="16.5" x14ac:dyDescent="0.3">
      <c r="A4" s="55" t="s">
        <v>892</v>
      </c>
      <c r="B4" s="25">
        <f>B6</f>
        <v>418.66537761688232</v>
      </c>
      <c r="C4" s="25">
        <f>B4+C6</f>
        <v>2075.0562953948975</v>
      </c>
      <c r="D4" s="25">
        <f>C4+D6</f>
        <v>6386.83780169487</v>
      </c>
      <c r="E4" s="25">
        <f>D4+E6</f>
        <v>13274.267174243927</v>
      </c>
      <c r="F4" s="25">
        <f>E4+F6</f>
        <v>22196.252348184586</v>
      </c>
      <c r="G4" s="25">
        <f t="shared" ref="G4:M5" si="0">F4+G6</f>
        <v>32545.133777141571</v>
      </c>
      <c r="H4" s="25"/>
      <c r="I4" s="25"/>
      <c r="J4" s="25"/>
      <c r="K4" s="25"/>
      <c r="L4" s="25"/>
      <c r="M4" s="25"/>
      <c r="N4" s="58"/>
      <c r="O4" s="55" t="s">
        <v>892</v>
      </c>
      <c r="P4" s="25">
        <f>P6</f>
        <v>0</v>
      </c>
      <c r="Q4" s="25">
        <f>P4+Q6</f>
        <v>0</v>
      </c>
      <c r="R4" s="25">
        <f>Q4+R6</f>
        <v>0</v>
      </c>
      <c r="S4" s="25">
        <f>R4+S6</f>
        <v>0</v>
      </c>
      <c r="T4" s="25">
        <f>S4+T6</f>
        <v>0</v>
      </c>
      <c r="U4" s="25">
        <f t="shared" ref="U4:AA4" si="1">T4+U6</f>
        <v>0</v>
      </c>
      <c r="V4" s="25">
        <f t="shared" si="1"/>
        <v>0</v>
      </c>
      <c r="W4" s="25">
        <f t="shared" si="1"/>
        <v>0</v>
      </c>
      <c r="X4" s="25">
        <f t="shared" si="1"/>
        <v>0</v>
      </c>
      <c r="Y4" s="25">
        <f t="shared" si="1"/>
        <v>0</v>
      </c>
      <c r="Z4" s="25">
        <f t="shared" si="1"/>
        <v>0</v>
      </c>
      <c r="AA4" s="25">
        <f t="shared" si="1"/>
        <v>0</v>
      </c>
      <c r="AB4" s="58"/>
      <c r="AC4" s="55" t="s">
        <v>892</v>
      </c>
      <c r="AD4" s="25">
        <f>AD6</f>
        <v>0</v>
      </c>
      <c r="AE4" s="25">
        <f>AD4+AE6</f>
        <v>0</v>
      </c>
      <c r="AF4" s="25">
        <f>AE4+AF6</f>
        <v>0</v>
      </c>
      <c r="AG4" s="25">
        <f>AF4+AG6</f>
        <v>0</v>
      </c>
      <c r="AH4" s="25">
        <f>AG4+AH6</f>
        <v>0</v>
      </c>
      <c r="AI4" s="25">
        <f t="shared" ref="AI4:AO4" si="2">AH4+AI6</f>
        <v>0</v>
      </c>
      <c r="AJ4" s="25">
        <f t="shared" si="2"/>
        <v>0</v>
      </c>
      <c r="AK4" s="25">
        <f t="shared" si="2"/>
        <v>0</v>
      </c>
      <c r="AL4" s="25">
        <f t="shared" si="2"/>
        <v>0</v>
      </c>
      <c r="AM4" s="25">
        <f t="shared" si="2"/>
        <v>0</v>
      </c>
      <c r="AN4" s="25">
        <f t="shared" si="2"/>
        <v>0</v>
      </c>
      <c r="AO4" s="25">
        <f t="shared" si="2"/>
        <v>0</v>
      </c>
      <c r="AP4" s="58"/>
      <c r="AQ4" s="55" t="s">
        <v>892</v>
      </c>
      <c r="AR4" s="25">
        <f>AR6</f>
        <v>0</v>
      </c>
      <c r="AS4" s="25">
        <f>AR4+AS6</f>
        <v>0</v>
      </c>
      <c r="AT4" s="25">
        <f>AS4+AT6</f>
        <v>0</v>
      </c>
      <c r="AU4" s="25">
        <f>AT4+AU6</f>
        <v>0</v>
      </c>
      <c r="AV4" s="25">
        <f>AU4+AV6</f>
        <v>0</v>
      </c>
      <c r="AW4" s="25">
        <f t="shared" ref="AW4:BC4" si="3">AV4+AW6</f>
        <v>0</v>
      </c>
      <c r="AX4" s="25">
        <f t="shared" si="3"/>
        <v>0</v>
      </c>
      <c r="AY4" s="25">
        <f t="shared" si="3"/>
        <v>0</v>
      </c>
      <c r="AZ4" s="25">
        <f t="shared" si="3"/>
        <v>0</v>
      </c>
      <c r="BA4" s="25">
        <f t="shared" si="3"/>
        <v>0</v>
      </c>
      <c r="BB4" s="25">
        <f t="shared" si="3"/>
        <v>0</v>
      </c>
      <c r="BC4" s="25">
        <f t="shared" si="3"/>
        <v>0</v>
      </c>
    </row>
    <row r="5" spans="1:55" ht="16.5" x14ac:dyDescent="0.3">
      <c r="A5" s="55" t="s">
        <v>921</v>
      </c>
      <c r="B5" s="25">
        <f>B7</f>
        <v>418.66537761688232</v>
      </c>
      <c r="C5" s="25">
        <f>B5+C7</f>
        <v>2075.0562953948975</v>
      </c>
      <c r="D5" s="25">
        <f>C5+D7</f>
        <v>6386.83780169487</v>
      </c>
      <c r="E5" s="25">
        <f>D5+E7</f>
        <v>13274.267174243927</v>
      </c>
      <c r="F5" s="25">
        <f t="shared" ref="F5" si="4">E5+F7</f>
        <v>22196.252348184586</v>
      </c>
      <c r="G5" s="25">
        <f t="shared" si="0"/>
        <v>32545.133777141571</v>
      </c>
      <c r="H5" s="25" t="e">
        <f t="shared" si="0"/>
        <v>#REF!</v>
      </c>
      <c r="I5" s="25" t="e">
        <f t="shared" si="0"/>
        <v>#REF!</v>
      </c>
      <c r="J5" s="25" t="e">
        <f t="shared" si="0"/>
        <v>#REF!</v>
      </c>
      <c r="K5" s="25" t="e">
        <f t="shared" si="0"/>
        <v>#REF!</v>
      </c>
      <c r="L5" s="25" t="e">
        <f t="shared" si="0"/>
        <v>#REF!</v>
      </c>
      <c r="M5" s="25" t="e">
        <f t="shared" si="0"/>
        <v>#REF!</v>
      </c>
      <c r="N5" s="58"/>
      <c r="O5" s="55"/>
      <c r="P5" s="25"/>
      <c r="Q5" s="25"/>
      <c r="R5" s="25"/>
      <c r="S5" s="25"/>
      <c r="T5" s="25"/>
      <c r="U5" s="25"/>
      <c r="V5" s="25"/>
      <c r="W5" s="25"/>
      <c r="X5" s="25"/>
      <c r="Y5" s="25"/>
      <c r="Z5" s="25"/>
      <c r="AA5" s="25"/>
      <c r="AB5" s="58"/>
      <c r="AC5" s="55"/>
      <c r="AD5" s="25"/>
      <c r="AE5" s="25"/>
      <c r="AF5" s="25"/>
      <c r="AG5" s="25"/>
      <c r="AH5" s="25"/>
      <c r="AI5" s="25"/>
      <c r="AJ5" s="25"/>
      <c r="AK5" s="25"/>
      <c r="AL5" s="25"/>
      <c r="AM5" s="25"/>
      <c r="AN5" s="25"/>
      <c r="AO5" s="25"/>
      <c r="AP5" s="58"/>
      <c r="AQ5" s="55"/>
      <c r="AR5" s="25"/>
      <c r="AS5" s="25"/>
      <c r="AT5" s="25"/>
      <c r="AU5" s="25"/>
      <c r="AV5" s="25"/>
      <c r="AW5" s="25"/>
      <c r="AX5" s="25"/>
      <c r="AY5" s="25"/>
      <c r="AZ5" s="25"/>
      <c r="BA5" s="25"/>
      <c r="BB5" s="25"/>
      <c r="BC5" s="25"/>
    </row>
    <row r="6" spans="1:55" ht="16.5" x14ac:dyDescent="0.3">
      <c r="A6" s="55" t="s">
        <v>919</v>
      </c>
      <c r="B6" s="59">
        <f>SUMIF(Projetos_Ciclo!$A$3:$A$315,'Gráfico Tendência 2018-2022'!$A$2,Projetos_Ciclo!EX3:EX315)</f>
        <v>418.66537761688232</v>
      </c>
      <c r="C6" s="59">
        <f>SUMIF(Projetos_Ciclo!$A$3:$A$315,'Gráfico Tendência 2018-2022'!$A$2,Projetos_Ciclo!EY3:EY315)</f>
        <v>1656.3909177780151</v>
      </c>
      <c r="D6" s="59">
        <f>SUMIF(Projetos_Ciclo!$A$3:$A$315,'Gráfico Tendência 2018-2022'!$A$2,Projetos_Ciclo!EZ3:EZ315)</f>
        <v>4311.7815062999725</v>
      </c>
      <c r="E6" s="59">
        <f>SUMIF(Projetos_Ciclo!$A$3:$A$315,'Gráfico Tendência 2018-2022'!$A$2,Projetos_Ciclo!FA3:FA315)</f>
        <v>6887.429372549057</v>
      </c>
      <c r="F6" s="59">
        <f>SUMIF(Projetos_Ciclo!$A$3:$A$315,'Gráfico Tendência 2018-2022'!$A$2,Projetos_Ciclo!FB3:FB315)</f>
        <v>8921.9851739406586</v>
      </c>
      <c r="G6" s="59">
        <f>SUMIF(Projetos_Ciclo!$A$3:$A$315,'Gráfico Tendência 2018-2022'!$A$2,Projetos_Ciclo!FC3:FC315)</f>
        <v>10348.881428956985</v>
      </c>
      <c r="H6" s="59" t="e">
        <f>SUMIF(Projetos_Ciclo!$A$3:$A$315,'Gráfico Tendência 2018-2022'!$A$2,Projetos_Ciclo!#REF!)</f>
        <v>#REF!</v>
      </c>
      <c r="I6" s="59">
        <f>SUMIF(Projetos_Ciclo!$A$3:$A$315,'Gráfico Tendência 2018-2022'!$A$2,Projetos_Ciclo!U3:U315)</f>
        <v>1490.1767260283232</v>
      </c>
      <c r="J6" s="59">
        <f>SUMIF(Projetos_Ciclo!$A$3:$A$315,'Gráfico Tendência 2018-2022'!$A$2,Projetos_Ciclo!V3:V315)</f>
        <v>2641.2976700000004</v>
      </c>
      <c r="K6" s="59">
        <f>SUMIF(Projetos_Ciclo!$A$3:$A$315,'Gráfico Tendência 2018-2022'!$A$2,Projetos_Ciclo!W3:W315)</f>
        <v>3576.3543100000002</v>
      </c>
      <c r="L6" s="59">
        <f>SUMIF(Projetos_Ciclo!$A$3:$A$315,'Gráfico Tendência 2018-2022'!$A$2,Projetos_Ciclo!X3:X315)</f>
        <v>10993.088571239776</v>
      </c>
      <c r="M6" s="59">
        <f>SUMIF(Projetos_Ciclo!$A$3:$A$315,'Gráfico Tendência 2018-2022'!$A$2,Projetos_Ciclo!Y3:Y315)</f>
        <v>40217.803451039006</v>
      </c>
      <c r="N6" s="58"/>
      <c r="O6" s="55" t="s">
        <v>919</v>
      </c>
      <c r="P6" s="25"/>
      <c r="Q6" s="25"/>
      <c r="R6" s="25"/>
      <c r="S6" s="25"/>
      <c r="T6" s="25"/>
      <c r="U6" s="57"/>
      <c r="V6" s="57"/>
      <c r="W6" s="57"/>
      <c r="X6" s="57"/>
      <c r="Y6" s="57"/>
      <c r="Z6" s="57"/>
      <c r="AA6" s="57"/>
      <c r="AB6" s="58"/>
      <c r="AC6" s="55" t="s">
        <v>919</v>
      </c>
      <c r="AD6" s="25"/>
      <c r="AE6" s="25"/>
      <c r="AF6" s="25"/>
      <c r="AG6" s="25"/>
      <c r="AH6" s="25"/>
      <c r="AI6" s="57"/>
      <c r="AJ6" s="57"/>
      <c r="AK6" s="57"/>
      <c r="AL6" s="57"/>
      <c r="AM6" s="57"/>
      <c r="AN6" s="57"/>
      <c r="AO6" s="57"/>
      <c r="AP6" s="58"/>
      <c r="AQ6" s="55" t="s">
        <v>919</v>
      </c>
      <c r="AR6" s="25"/>
      <c r="AS6" s="25"/>
      <c r="AT6" s="25"/>
      <c r="AU6" s="25"/>
      <c r="AV6" s="25"/>
      <c r="AW6" s="57"/>
      <c r="AX6" s="57"/>
      <c r="AY6" s="57"/>
      <c r="AZ6" s="57"/>
      <c r="BA6" s="57"/>
      <c r="BB6" s="57"/>
      <c r="BC6" s="57"/>
    </row>
    <row r="7" spans="1:55" ht="16.5" x14ac:dyDescent="0.3">
      <c r="A7" s="55" t="s">
        <v>920</v>
      </c>
      <c r="B7" s="25">
        <f>SUMIF(Projetos_Ciclo!$A$3:$A$315,'Gráfico Tendência 2018-2022'!$A$2,Projetos_Ciclo!EX3:EX315)</f>
        <v>418.66537761688232</v>
      </c>
      <c r="C7" s="25">
        <f>SUMIF(Projetos_Ciclo!$A$3:$A$315,'Gráfico Tendência 2018-2022'!$A$2,Projetos_Ciclo!EY3:EY315)</f>
        <v>1656.3909177780151</v>
      </c>
      <c r="D7" s="25">
        <f>SUMIF(Projetos_Ciclo!$A$3:$A$315,'Gráfico Tendência 2018-2022'!$A$2,Projetos_Ciclo!EZ3:EZ315)</f>
        <v>4311.7815062999725</v>
      </c>
      <c r="E7" s="25">
        <f>SUMIF(Projetos_Ciclo!$A$3:$A$315,'Gráfico Tendência 2018-2022'!$A$2,Projetos_Ciclo!FA3:FA315)</f>
        <v>6887.429372549057</v>
      </c>
      <c r="F7" s="25">
        <f>SUMIF(Projetos_Ciclo!$A$3:$A$315,'Gráfico Tendência 2018-2022'!$A$2,Projetos_Ciclo!FB3:FB315)</f>
        <v>8921.9851739406586</v>
      </c>
      <c r="G7" s="25">
        <f>SUMIF(Projetos_Ciclo!$A$3:$A$315,'Gráfico Tendência 2018-2022'!$A$2,Projetos_Ciclo!FC3:FC315)</f>
        <v>10348.881428956985</v>
      </c>
      <c r="H7" s="25" t="e">
        <f>SUMIF(Projetos_Ciclo!$A$3:$A$315,'Gráfico Tendência 2018-2022'!$A$2,Projetos_Ciclo!#REF!)</f>
        <v>#REF!</v>
      </c>
      <c r="I7" s="25">
        <f>SUMIF(Projetos_Ciclo!$A$3:$A$315,'Gráfico Tendência 2018-2022'!$A$2,Projetos_Ciclo!U3:U315)</f>
        <v>1490.1767260283232</v>
      </c>
      <c r="J7" s="25">
        <f>SUMIF(Projetos_Ciclo!$A$3:$A$315,'Gráfico Tendência 2018-2022'!$A$2,Projetos_Ciclo!V3:V315)</f>
        <v>2641.2976700000004</v>
      </c>
      <c r="K7" s="25">
        <f>SUMIF(Projetos_Ciclo!$A$3:$A$315,'Gráfico Tendência 2018-2022'!$A$2,Projetos_Ciclo!W3:W315)</f>
        <v>3576.3543100000002</v>
      </c>
      <c r="L7" s="25">
        <f>SUMIF(Projetos_Ciclo!$A$3:$A$315,'Gráfico Tendência 2018-2022'!$A$2,Projetos_Ciclo!X3:X315)</f>
        <v>10993.088571239776</v>
      </c>
      <c r="M7" s="25">
        <f>SUMIF(Projetos_Ciclo!$A$3:$A$315,'Gráfico Tendência 2018-2022'!$A$2,Projetos_Ciclo!Y3:Y315)</f>
        <v>40217.803451039006</v>
      </c>
      <c r="N7" s="58"/>
      <c r="O7" s="55" t="s">
        <v>920</v>
      </c>
      <c r="P7" s="25"/>
      <c r="Q7" s="25"/>
      <c r="R7" s="25"/>
      <c r="S7" s="25"/>
      <c r="T7" s="25"/>
      <c r="U7" s="25"/>
      <c r="V7" s="25"/>
      <c r="W7" s="25"/>
      <c r="X7" s="25"/>
      <c r="Y7" s="25"/>
      <c r="Z7" s="25"/>
      <c r="AA7" s="25"/>
      <c r="AB7" s="58"/>
      <c r="AC7" s="55" t="s">
        <v>920</v>
      </c>
      <c r="AD7" s="25"/>
      <c r="AE7" s="25"/>
      <c r="AF7" s="25"/>
      <c r="AG7" s="25"/>
      <c r="AH7" s="25"/>
      <c r="AI7" s="25"/>
      <c r="AJ7" s="25"/>
      <c r="AK7" s="25"/>
      <c r="AL7" s="25"/>
      <c r="AM7" s="25"/>
      <c r="AN7" s="25"/>
      <c r="AO7" s="25"/>
      <c r="AP7" s="58"/>
      <c r="AQ7" s="55" t="s">
        <v>920</v>
      </c>
      <c r="AR7" s="25"/>
      <c r="AS7" s="25"/>
      <c r="AT7" s="25"/>
      <c r="AU7" s="25"/>
      <c r="AV7" s="25"/>
      <c r="AW7" s="25"/>
      <c r="AX7" s="25"/>
      <c r="AY7" s="25"/>
      <c r="AZ7" s="25"/>
      <c r="BA7" s="25"/>
      <c r="BB7" s="25"/>
      <c r="BC7" s="25"/>
    </row>
    <row r="8" spans="1:55" x14ac:dyDescent="0.25">
      <c r="N8" s="58"/>
      <c r="AB8" s="58"/>
      <c r="AP8" s="58"/>
    </row>
    <row r="9" spans="1:55" x14ac:dyDescent="0.25">
      <c r="N9" s="58"/>
      <c r="AB9" s="58"/>
      <c r="AP9" s="58"/>
    </row>
    <row r="10" spans="1:55" x14ac:dyDescent="0.25">
      <c r="N10" s="58"/>
      <c r="AB10" s="58"/>
      <c r="AP10" s="58"/>
    </row>
    <row r="11" spans="1:55" x14ac:dyDescent="0.25">
      <c r="N11" s="58"/>
      <c r="AB11" s="58"/>
      <c r="AP11" s="58"/>
    </row>
    <row r="12" spans="1:55" x14ac:dyDescent="0.25">
      <c r="N12" s="58"/>
      <c r="AB12" s="58"/>
      <c r="AP12" s="58"/>
    </row>
    <row r="13" spans="1:55" x14ac:dyDescent="0.25">
      <c r="N13" s="58"/>
      <c r="AB13" s="58"/>
      <c r="AP13" s="58"/>
    </row>
    <row r="14" spans="1:55" x14ac:dyDescent="0.25">
      <c r="N14" s="58"/>
      <c r="AB14" s="58"/>
      <c r="AP14" s="58"/>
    </row>
    <row r="15" spans="1:55" x14ac:dyDescent="0.25">
      <c r="N15" s="58"/>
      <c r="AB15" s="58"/>
      <c r="AP15" s="58"/>
    </row>
    <row r="16" spans="1:55" x14ac:dyDescent="0.25">
      <c r="N16" s="58"/>
      <c r="AB16" s="58"/>
      <c r="AP16" s="58"/>
    </row>
    <row r="17" spans="1:55" x14ac:dyDescent="0.25">
      <c r="N17" s="58"/>
      <c r="AB17" s="58"/>
      <c r="AP17" s="58"/>
    </row>
    <row r="18" spans="1:55" x14ac:dyDescent="0.25">
      <c r="N18" s="58"/>
      <c r="AB18" s="58"/>
      <c r="AP18" s="58"/>
    </row>
    <row r="19" spans="1:55" x14ac:dyDescent="0.25">
      <c r="N19" s="58"/>
      <c r="AB19" s="58"/>
      <c r="AP19" s="58"/>
    </row>
    <row r="20" spans="1:55" x14ac:dyDescent="0.25">
      <c r="N20" s="58"/>
      <c r="AB20" s="58"/>
      <c r="AP20" s="58"/>
    </row>
    <row r="21" spans="1:55" x14ac:dyDescent="0.25">
      <c r="N21" s="58"/>
      <c r="AB21" s="58"/>
      <c r="AP21" s="58"/>
    </row>
    <row r="22" spans="1:55" x14ac:dyDescent="0.25">
      <c r="N22" s="58"/>
      <c r="AB22" s="58"/>
      <c r="AP22" s="58"/>
    </row>
    <row r="23" spans="1:55" x14ac:dyDescent="0.25">
      <c r="N23" s="58"/>
      <c r="AB23" s="58"/>
      <c r="AP23" s="58"/>
    </row>
    <row r="24" spans="1:55" x14ac:dyDescent="0.25">
      <c r="N24" s="58"/>
      <c r="AB24" s="58"/>
      <c r="AP24" s="58"/>
    </row>
    <row r="25" spans="1:55" x14ac:dyDescent="0.25">
      <c r="N25" s="58"/>
      <c r="AB25" s="58"/>
      <c r="AP25" s="58"/>
    </row>
    <row r="26" spans="1:55" x14ac:dyDescent="0.25">
      <c r="N26" s="58"/>
      <c r="AB26" s="58"/>
      <c r="AP26" s="58"/>
    </row>
    <row r="27" spans="1:55" ht="18" x14ac:dyDescent="0.25">
      <c r="A27" s="502" t="s">
        <v>894</v>
      </c>
      <c r="B27" s="502"/>
      <c r="C27" s="502"/>
      <c r="D27" s="502"/>
      <c r="E27" s="502"/>
      <c r="F27" s="502"/>
      <c r="G27" s="502"/>
      <c r="H27" s="502"/>
      <c r="I27" s="502"/>
      <c r="J27" s="502"/>
      <c r="K27" s="503" t="s">
        <v>918</v>
      </c>
      <c r="L27" s="503"/>
      <c r="M27" s="503"/>
      <c r="N27" s="58"/>
      <c r="O27" s="502" t="s">
        <v>901</v>
      </c>
      <c r="P27" s="502"/>
      <c r="Q27" s="502"/>
      <c r="R27" s="502"/>
      <c r="S27" s="502"/>
      <c r="T27" s="502"/>
      <c r="U27" s="502"/>
      <c r="V27" s="502"/>
      <c r="W27" s="502"/>
      <c r="X27" s="502"/>
      <c r="Y27" s="503" t="s">
        <v>918</v>
      </c>
      <c r="Z27" s="503"/>
      <c r="AA27" s="503"/>
      <c r="AB27" s="58"/>
      <c r="AC27" s="502" t="s">
        <v>908</v>
      </c>
      <c r="AD27" s="502"/>
      <c r="AE27" s="502"/>
      <c r="AF27" s="502"/>
      <c r="AG27" s="502"/>
      <c r="AH27" s="502"/>
      <c r="AI27" s="502"/>
      <c r="AJ27" s="502"/>
      <c r="AK27" s="502"/>
      <c r="AL27" s="502"/>
      <c r="AM27" s="503" t="s">
        <v>918</v>
      </c>
      <c r="AN27" s="503"/>
      <c r="AO27" s="503"/>
      <c r="AP27" s="58"/>
      <c r="AQ27" s="502" t="s">
        <v>915</v>
      </c>
      <c r="AR27" s="502"/>
      <c r="AS27" s="502"/>
      <c r="AT27" s="502"/>
      <c r="AU27" s="502"/>
      <c r="AV27" s="502"/>
      <c r="AW27" s="502"/>
      <c r="AX27" s="502"/>
      <c r="AY27" s="502"/>
      <c r="AZ27" s="502"/>
      <c r="BA27" s="503" t="s">
        <v>918</v>
      </c>
      <c r="BB27" s="503"/>
      <c r="BC27" s="503"/>
    </row>
    <row r="28" spans="1:55" ht="16.5" x14ac:dyDescent="0.3">
      <c r="A28" s="24" t="s">
        <v>38</v>
      </c>
      <c r="B28" s="56">
        <v>43101</v>
      </c>
      <c r="C28" s="56">
        <v>43132</v>
      </c>
      <c r="D28" s="56">
        <v>43160</v>
      </c>
      <c r="E28" s="56">
        <v>43191</v>
      </c>
      <c r="F28" s="56">
        <v>43221</v>
      </c>
      <c r="G28" s="56">
        <v>43252</v>
      </c>
      <c r="H28" s="56">
        <v>43282</v>
      </c>
      <c r="I28" s="56">
        <v>43313</v>
      </c>
      <c r="J28" s="56">
        <v>43344</v>
      </c>
      <c r="K28" s="56">
        <v>43374</v>
      </c>
      <c r="L28" s="56">
        <v>43405</v>
      </c>
      <c r="M28" s="56">
        <v>43435</v>
      </c>
      <c r="N28" s="58"/>
      <c r="O28" s="24" t="s">
        <v>26</v>
      </c>
      <c r="P28" s="56">
        <v>43101</v>
      </c>
      <c r="Q28" s="56">
        <v>43132</v>
      </c>
      <c r="R28" s="56">
        <v>43160</v>
      </c>
      <c r="S28" s="56">
        <v>43191</v>
      </c>
      <c r="T28" s="56">
        <v>43221</v>
      </c>
      <c r="U28" s="56">
        <v>43252</v>
      </c>
      <c r="V28" s="56">
        <v>43282</v>
      </c>
      <c r="W28" s="56">
        <v>43313</v>
      </c>
      <c r="X28" s="56">
        <v>43344</v>
      </c>
      <c r="Y28" s="56">
        <v>43374</v>
      </c>
      <c r="Z28" s="56">
        <v>43405</v>
      </c>
      <c r="AA28" s="56">
        <v>43435</v>
      </c>
      <c r="AB28" s="58"/>
      <c r="AC28" s="24" t="s">
        <v>32</v>
      </c>
      <c r="AD28" s="56">
        <v>43101</v>
      </c>
      <c r="AE28" s="56">
        <v>43132</v>
      </c>
      <c r="AF28" s="56">
        <v>43160</v>
      </c>
      <c r="AG28" s="56">
        <v>43191</v>
      </c>
      <c r="AH28" s="56">
        <v>43221</v>
      </c>
      <c r="AI28" s="56">
        <v>43252</v>
      </c>
      <c r="AJ28" s="56">
        <v>43282</v>
      </c>
      <c r="AK28" s="56">
        <v>43313</v>
      </c>
      <c r="AL28" s="56">
        <v>43344</v>
      </c>
      <c r="AM28" s="56">
        <v>43374</v>
      </c>
      <c r="AN28" s="56">
        <v>43405</v>
      </c>
      <c r="AO28" s="56">
        <v>43435</v>
      </c>
      <c r="AP28" s="58"/>
      <c r="AQ28" s="24" t="s">
        <v>45</v>
      </c>
      <c r="AR28" s="56">
        <v>43101</v>
      </c>
      <c r="AS28" s="56">
        <v>43132</v>
      </c>
      <c r="AT28" s="56">
        <v>43160</v>
      </c>
      <c r="AU28" s="56">
        <v>43191</v>
      </c>
      <c r="AV28" s="56">
        <v>43221</v>
      </c>
      <c r="AW28" s="56">
        <v>43252</v>
      </c>
      <c r="AX28" s="56">
        <v>43282</v>
      </c>
      <c r="AY28" s="56">
        <v>43313</v>
      </c>
      <c r="AZ28" s="56">
        <v>43344</v>
      </c>
      <c r="BA28" s="56">
        <v>43374</v>
      </c>
      <c r="BB28" s="56">
        <v>43405</v>
      </c>
      <c r="BC28" s="56">
        <v>43435</v>
      </c>
    </row>
    <row r="29" spans="1:55" ht="16.5" x14ac:dyDescent="0.3">
      <c r="A29" s="54" t="s">
        <v>891</v>
      </c>
      <c r="B29" s="25">
        <f>SUMIF(Projetos_Ciclo!$B$3:$B$97,'Gráfico Tendência 2018-2022'!$A$28,Projetos_Ciclo!$Z$3:$Z$97)</f>
        <v>1565.483619976158</v>
      </c>
      <c r="C29" s="25">
        <f>SUMIF(Projetos_Ciclo!$B$3:$B$97,'Gráfico Tendência 2018-2022'!$A$28,Projetos_Ciclo!$Z$3:$Z$97)</f>
        <v>1565.483619976158</v>
      </c>
      <c r="D29" s="25">
        <f>SUMIF(Projetos_Ciclo!$B$3:$B$97,'Gráfico Tendência 2018-2022'!$A$28,Projetos_Ciclo!$Z$3:$Z$97)</f>
        <v>1565.483619976158</v>
      </c>
      <c r="E29" s="25">
        <f>SUMIF(Projetos_Ciclo!$B$3:$B$97,'Gráfico Tendência 2018-2022'!$A$28,Projetos_Ciclo!$Z$3:$Z$97)</f>
        <v>1565.483619976158</v>
      </c>
      <c r="F29" s="25">
        <f>SUMIF(Projetos_Ciclo!$B$3:$B$97,'Gráfico Tendência 2018-2022'!$A$28,Projetos_Ciclo!$Z$3:$Z$97)</f>
        <v>1565.483619976158</v>
      </c>
      <c r="G29" s="25">
        <f>SUMIF(Projetos_Ciclo!$B$3:$B$97,'Gráfico Tendência 2018-2022'!$A$28,Projetos_Ciclo!$Z$3:$Z$97)</f>
        <v>1565.483619976158</v>
      </c>
      <c r="H29" s="25">
        <f>SUMIF(Projetos_Ciclo!$B$3:$B$97,'Gráfico Tendência 2018-2022'!$A$28,Projetos_Ciclo!$Z$3:$Z$97)</f>
        <v>1565.483619976158</v>
      </c>
      <c r="I29" s="25">
        <f>SUMIF(Projetos_Ciclo!$B$3:$B$97,'Gráfico Tendência 2018-2022'!$A$28,Projetos_Ciclo!$Z$3:$Z$97)</f>
        <v>1565.483619976158</v>
      </c>
      <c r="J29" s="25">
        <f>SUMIF(Projetos_Ciclo!$B$3:$B$97,'Gráfico Tendência 2018-2022'!$A$28,Projetos_Ciclo!$Z$3:$Z$97)</f>
        <v>1565.483619976158</v>
      </c>
      <c r="K29" s="25">
        <f>SUMIF(Projetos_Ciclo!$B$3:$B$97,'Gráfico Tendência 2018-2022'!$A$28,Projetos_Ciclo!$Z$3:$Z$97)</f>
        <v>1565.483619976158</v>
      </c>
      <c r="L29" s="25">
        <f>SUMIF(Projetos_Ciclo!$B$3:$B$97,'Gráfico Tendência 2018-2022'!$A$28,Projetos_Ciclo!$Z$3:$Z$97)</f>
        <v>1565.483619976158</v>
      </c>
      <c r="M29" s="25">
        <f>SUMIF(Projetos_Ciclo!$B$3:$B$97,'Gráfico Tendência 2018-2022'!$A$28,Projetos_Ciclo!$Z$3:$Z$97)</f>
        <v>1565.483619976158</v>
      </c>
      <c r="N29" s="58"/>
      <c r="O29" s="54" t="s">
        <v>891</v>
      </c>
      <c r="P29" s="25">
        <f>SUMIF(Projetos_Ciclo!$B$3:$B$97,'Gráfico Tendência 2018-2022'!$O$28,Projetos_Ciclo!$Z$3:$Z$97)</f>
        <v>0</v>
      </c>
      <c r="Q29" s="25">
        <f>SUMIF(Projetos_Ciclo!$B$3:$B$97,'Gráfico Tendência 2018-2022'!$O$28,Projetos_Ciclo!$Z$3:$Z$97)</f>
        <v>0</v>
      </c>
      <c r="R29" s="25">
        <f>SUMIF(Projetos_Ciclo!$B$3:$B$97,'Gráfico Tendência 2018-2022'!$O$28,Projetos_Ciclo!$Z$3:$Z$97)</f>
        <v>0</v>
      </c>
      <c r="S29" s="25">
        <f>SUMIF(Projetos_Ciclo!$B$3:$B$97,'Gráfico Tendência 2018-2022'!$O$28,Projetos_Ciclo!$Z$3:$Z$97)</f>
        <v>0</v>
      </c>
      <c r="T29" s="25">
        <f>SUMIF(Projetos_Ciclo!$B$3:$B$97,'Gráfico Tendência 2018-2022'!$O$28,Projetos_Ciclo!$Z$3:$Z$97)</f>
        <v>0</v>
      </c>
      <c r="U29" s="25">
        <f>SUMIF(Projetos_Ciclo!$B$3:$B$97,'Gráfico Tendência 2018-2022'!$O$28,Projetos_Ciclo!$Z$3:$Z$97)</f>
        <v>0</v>
      </c>
      <c r="V29" s="25">
        <f>SUMIF(Projetos_Ciclo!$B$3:$B$97,'Gráfico Tendência 2018-2022'!$O$28,Projetos_Ciclo!$Z$3:$Z$97)</f>
        <v>0</v>
      </c>
      <c r="W29" s="25">
        <f>SUMIF(Projetos_Ciclo!$B$3:$B$97,'Gráfico Tendência 2018-2022'!$O$28,Projetos_Ciclo!$Z$3:$Z$97)</f>
        <v>0</v>
      </c>
      <c r="X29" s="25">
        <f>SUMIF(Projetos_Ciclo!$B$3:$B$97,'Gráfico Tendência 2018-2022'!$O$28,Projetos_Ciclo!$Z$3:$Z$97)</f>
        <v>0</v>
      </c>
      <c r="Y29" s="25">
        <f>SUMIF(Projetos_Ciclo!$B$3:$B$97,'Gráfico Tendência 2018-2022'!$O$28,Projetos_Ciclo!$Z$3:$Z$97)</f>
        <v>0</v>
      </c>
      <c r="Z29" s="25">
        <f>SUMIF(Projetos_Ciclo!$B$3:$B$97,'Gráfico Tendência 2018-2022'!$O$28,Projetos_Ciclo!$Z$3:$Z$97)</f>
        <v>0</v>
      </c>
      <c r="AA29" s="25">
        <f>SUMIF(Projetos_Ciclo!$B$3:$B$97,'Gráfico Tendência 2018-2022'!$O$28,Projetos_Ciclo!$Z$3:$Z$97)</f>
        <v>0</v>
      </c>
      <c r="AB29" s="58"/>
      <c r="AC29" s="54" t="s">
        <v>891</v>
      </c>
      <c r="AD29" s="25">
        <f>SUMIF(Projetos_Ciclo!$B$3:$B$97,'Gráfico Tendência 2018-2022'!$AC$28,Projetos_Ciclo!$Z$3:$Z$97)</f>
        <v>0</v>
      </c>
      <c r="AE29" s="25">
        <f>SUMIF(Projetos_Ciclo!$B$3:$B$97,'Gráfico Tendência 2018-2022'!$AC$28,Projetos_Ciclo!$Z$3:$Z$97)</f>
        <v>0</v>
      </c>
      <c r="AF29" s="25">
        <f>SUMIF(Projetos_Ciclo!$B$3:$B$97,'Gráfico Tendência 2018-2022'!$AC$28,Projetos_Ciclo!$Z$3:$Z$97)</f>
        <v>0</v>
      </c>
      <c r="AG29" s="25">
        <f>SUMIF(Projetos_Ciclo!$B$3:$B$97,'Gráfico Tendência 2018-2022'!$AC$28,Projetos_Ciclo!$Z$3:$Z$97)</f>
        <v>0</v>
      </c>
      <c r="AH29" s="25">
        <f>SUMIF(Projetos_Ciclo!$B$3:$B$97,'Gráfico Tendência 2018-2022'!$AC$28,Projetos_Ciclo!$Z$3:$Z$97)</f>
        <v>0</v>
      </c>
      <c r="AI29" s="25">
        <f>SUMIF(Projetos_Ciclo!$B$3:$B$97,'Gráfico Tendência 2018-2022'!$AC$28,Projetos_Ciclo!$Z$3:$Z$97)</f>
        <v>0</v>
      </c>
      <c r="AJ29" s="25">
        <f>SUMIF(Projetos_Ciclo!$B$3:$B$97,'Gráfico Tendência 2018-2022'!$AC$28,Projetos_Ciclo!$Z$3:$Z$97)</f>
        <v>0</v>
      </c>
      <c r="AK29" s="25">
        <f>SUMIF(Projetos_Ciclo!$B$3:$B$97,'Gráfico Tendência 2018-2022'!$AC$28,Projetos_Ciclo!$Z$3:$Z$97)</f>
        <v>0</v>
      </c>
      <c r="AL29" s="25">
        <f>SUMIF(Projetos_Ciclo!$B$3:$B$97,'Gráfico Tendência 2018-2022'!$AC$28,Projetos_Ciclo!$Z$3:$Z$97)</f>
        <v>0</v>
      </c>
      <c r="AM29" s="25">
        <f>SUMIF(Projetos_Ciclo!$B$3:$B$97,'Gráfico Tendência 2018-2022'!$AC$28,Projetos_Ciclo!$Z$3:$Z$97)</f>
        <v>0</v>
      </c>
      <c r="AN29" s="25">
        <f>SUMIF(Projetos_Ciclo!$B$3:$B$97,'Gráfico Tendência 2018-2022'!$AC$28,Projetos_Ciclo!$Z$3:$Z$97)</f>
        <v>0</v>
      </c>
      <c r="AO29" s="25">
        <f>SUMIF(Projetos_Ciclo!$B$3:$B$97,'Gráfico Tendência 2018-2022'!$AC$28,Projetos_Ciclo!$Z$3:$Z$97)</f>
        <v>0</v>
      </c>
      <c r="AP29" s="58"/>
      <c r="AQ29" s="54" t="s">
        <v>891</v>
      </c>
      <c r="AR29" s="25">
        <f>SUMIF(Projetos_Ciclo!$B$3:$B$97,'Gráfico Tendência 2018-2022'!$AQ$28,Projetos_Ciclo!$Z$3:$Z$97)</f>
        <v>0</v>
      </c>
      <c r="AS29" s="25">
        <f>SUMIF(Projetos_Ciclo!$B$3:$B$97,'Gráfico Tendência 2018-2022'!$AQ$28,Projetos_Ciclo!$Z$3:$Z$97)</f>
        <v>0</v>
      </c>
      <c r="AT29" s="25">
        <f>SUMIF(Projetos_Ciclo!$B$3:$B$97,'Gráfico Tendência 2018-2022'!$AQ$28,Projetos_Ciclo!$Z$3:$Z$97)</f>
        <v>0</v>
      </c>
      <c r="AU29" s="25">
        <f>SUMIF(Projetos_Ciclo!$B$3:$B$97,'Gráfico Tendência 2018-2022'!$AQ$28,Projetos_Ciclo!$Z$3:$Z$97)</f>
        <v>0</v>
      </c>
      <c r="AV29" s="25">
        <f>SUMIF(Projetos_Ciclo!$B$3:$B$97,'Gráfico Tendência 2018-2022'!$AQ$28,Projetos_Ciclo!$Z$3:$Z$97)</f>
        <v>0</v>
      </c>
      <c r="AW29" s="25">
        <f>SUMIF(Projetos_Ciclo!$B$3:$B$97,'Gráfico Tendência 2018-2022'!$AQ$28,Projetos_Ciclo!$Z$3:$Z$97)</f>
        <v>0</v>
      </c>
      <c r="AX29" s="25">
        <f>SUMIF(Projetos_Ciclo!$B$3:$B$97,'Gráfico Tendência 2018-2022'!$AQ$28,Projetos_Ciclo!$Z$3:$Z$97)</f>
        <v>0</v>
      </c>
      <c r="AY29" s="25">
        <f>SUMIF(Projetos_Ciclo!$B$3:$B$97,'Gráfico Tendência 2018-2022'!$AQ$28,Projetos_Ciclo!$Z$3:$Z$97)</f>
        <v>0</v>
      </c>
      <c r="AZ29" s="25">
        <f>SUMIF(Projetos_Ciclo!$B$3:$B$97,'Gráfico Tendência 2018-2022'!$AQ$28,Projetos_Ciclo!$Z$3:$Z$97)</f>
        <v>0</v>
      </c>
      <c r="BA29" s="25">
        <f>SUMIF(Projetos_Ciclo!$B$3:$B$97,'Gráfico Tendência 2018-2022'!$AQ$28,Projetos_Ciclo!$Z$3:$Z$97)</f>
        <v>0</v>
      </c>
      <c r="BB29" s="25">
        <f>SUMIF(Projetos_Ciclo!$B$3:$B$97,'Gráfico Tendência 2018-2022'!$AQ$28,Projetos_Ciclo!$Z$3:$Z$97)</f>
        <v>0</v>
      </c>
      <c r="BC29" s="25">
        <f>SUMIF(Projetos_Ciclo!$B$3:$B$97,'Gráfico Tendência 2018-2022'!$AQ$28,Projetos_Ciclo!$Z$3:$Z$97)</f>
        <v>0</v>
      </c>
    </row>
    <row r="30" spans="1:55" ht="16.5" x14ac:dyDescent="0.3">
      <c r="A30" s="55" t="s">
        <v>892</v>
      </c>
      <c r="B30" s="25">
        <f>B31</f>
        <v>0</v>
      </c>
      <c r="C30" s="25">
        <f>B30+C31</f>
        <v>0</v>
      </c>
      <c r="D30" s="25">
        <f>C30+D31</f>
        <v>0</v>
      </c>
      <c r="E30" s="25">
        <f>D30+E31</f>
        <v>0</v>
      </c>
      <c r="F30" s="25">
        <f>E30+F31</f>
        <v>0</v>
      </c>
      <c r="G30" s="25">
        <f t="shared" ref="G30" si="5">F30+G31</f>
        <v>0</v>
      </c>
      <c r="H30" s="25">
        <f t="shared" ref="H30" si="6">G30+H31</f>
        <v>0</v>
      </c>
      <c r="I30" s="25">
        <f t="shared" ref="I30" si="7">H30+I31</f>
        <v>0</v>
      </c>
      <c r="J30" s="25">
        <f t="shared" ref="J30" si="8">I30+J31</f>
        <v>0</v>
      </c>
      <c r="K30" s="25">
        <f t="shared" ref="K30" si="9">J30+K31</f>
        <v>0</v>
      </c>
      <c r="L30" s="25">
        <f t="shared" ref="L30" si="10">K30+L31</f>
        <v>0</v>
      </c>
      <c r="M30" s="25">
        <f t="shared" ref="M30" si="11">L30+M31</f>
        <v>0</v>
      </c>
      <c r="N30" s="58"/>
      <c r="O30" s="55" t="s">
        <v>892</v>
      </c>
      <c r="P30" s="25">
        <f>P31</f>
        <v>0</v>
      </c>
      <c r="Q30" s="25">
        <f>P30+Q31</f>
        <v>0</v>
      </c>
      <c r="R30" s="25">
        <f>Q30+R31</f>
        <v>0</v>
      </c>
      <c r="S30" s="25">
        <f>R30+S31</f>
        <v>0</v>
      </c>
      <c r="T30" s="25">
        <f>S30+T31</f>
        <v>0</v>
      </c>
      <c r="U30" s="25">
        <f t="shared" ref="U30:AA30" si="12">T30+U31</f>
        <v>0</v>
      </c>
      <c r="V30" s="25">
        <f t="shared" si="12"/>
        <v>0</v>
      </c>
      <c r="W30" s="25">
        <f t="shared" si="12"/>
        <v>0</v>
      </c>
      <c r="X30" s="25">
        <f t="shared" si="12"/>
        <v>0</v>
      </c>
      <c r="Y30" s="25">
        <f t="shared" si="12"/>
        <v>0</v>
      </c>
      <c r="Z30" s="25">
        <f t="shared" si="12"/>
        <v>0</v>
      </c>
      <c r="AA30" s="25">
        <f t="shared" si="12"/>
        <v>0</v>
      </c>
      <c r="AB30" s="58"/>
      <c r="AC30" s="55" t="s">
        <v>892</v>
      </c>
      <c r="AD30" s="25">
        <f>AD31</f>
        <v>0</v>
      </c>
      <c r="AE30" s="25">
        <f>AD30+AE31</f>
        <v>0</v>
      </c>
      <c r="AF30" s="25">
        <f>AE30+AF31</f>
        <v>0</v>
      </c>
      <c r="AG30" s="25">
        <f>AF30+AG31</f>
        <v>0</v>
      </c>
      <c r="AH30" s="25">
        <f>AG30+AH31</f>
        <v>0</v>
      </c>
      <c r="AI30" s="25">
        <f t="shared" ref="AI30:AO30" si="13">AH30+AI31</f>
        <v>0</v>
      </c>
      <c r="AJ30" s="25">
        <f t="shared" si="13"/>
        <v>0</v>
      </c>
      <c r="AK30" s="25">
        <f t="shared" si="13"/>
        <v>0</v>
      </c>
      <c r="AL30" s="25">
        <f t="shared" si="13"/>
        <v>0</v>
      </c>
      <c r="AM30" s="25">
        <f t="shared" si="13"/>
        <v>0</v>
      </c>
      <c r="AN30" s="25">
        <f t="shared" si="13"/>
        <v>0</v>
      </c>
      <c r="AO30" s="25">
        <f t="shared" si="13"/>
        <v>0</v>
      </c>
      <c r="AP30" s="58"/>
      <c r="AQ30" s="55" t="s">
        <v>892</v>
      </c>
      <c r="AR30" s="25">
        <f>AR31</f>
        <v>0</v>
      </c>
      <c r="AS30" s="25">
        <f>AR30+AS31</f>
        <v>0</v>
      </c>
      <c r="AT30" s="25">
        <f>AS30+AT31</f>
        <v>0</v>
      </c>
      <c r="AU30" s="25">
        <f>AT30+AU31</f>
        <v>0</v>
      </c>
      <c r="AV30" s="25">
        <f>AU30+AV31</f>
        <v>0</v>
      </c>
      <c r="AW30" s="25">
        <f t="shared" ref="AW30:BC30" si="14">AV30+AW31</f>
        <v>0</v>
      </c>
      <c r="AX30" s="25">
        <f t="shared" si="14"/>
        <v>0</v>
      </c>
      <c r="AY30" s="25">
        <f t="shared" si="14"/>
        <v>0</v>
      </c>
      <c r="AZ30" s="25">
        <f t="shared" si="14"/>
        <v>0</v>
      </c>
      <c r="BA30" s="25">
        <f t="shared" si="14"/>
        <v>0</v>
      </c>
      <c r="BB30" s="25">
        <f t="shared" si="14"/>
        <v>0</v>
      </c>
      <c r="BC30" s="25">
        <f t="shared" si="14"/>
        <v>0</v>
      </c>
    </row>
    <row r="31" spans="1:55" ht="16.5" x14ac:dyDescent="0.3">
      <c r="A31" s="55" t="s">
        <v>919</v>
      </c>
      <c r="B31" s="25"/>
      <c r="C31" s="25"/>
      <c r="D31" s="25"/>
      <c r="E31" s="25"/>
      <c r="F31" s="25"/>
      <c r="G31" s="57"/>
      <c r="H31" s="57"/>
      <c r="I31" s="57"/>
      <c r="J31" s="57"/>
      <c r="K31" s="57"/>
      <c r="L31" s="57"/>
      <c r="M31" s="57"/>
      <c r="N31" s="58"/>
      <c r="O31" s="55" t="s">
        <v>919</v>
      </c>
      <c r="P31" s="25"/>
      <c r="Q31" s="25"/>
      <c r="R31" s="25"/>
      <c r="S31" s="25"/>
      <c r="T31" s="25"/>
      <c r="U31" s="57"/>
      <c r="V31" s="57"/>
      <c r="W31" s="57"/>
      <c r="X31" s="57"/>
      <c r="Y31" s="57"/>
      <c r="Z31" s="57"/>
      <c r="AA31" s="57"/>
      <c r="AB31" s="58"/>
      <c r="AC31" s="55" t="s">
        <v>919</v>
      </c>
      <c r="AD31" s="25"/>
      <c r="AE31" s="25"/>
      <c r="AF31" s="25"/>
      <c r="AG31" s="25"/>
      <c r="AH31" s="25"/>
      <c r="AI31" s="57"/>
      <c r="AJ31" s="57"/>
      <c r="AK31" s="57"/>
      <c r="AL31" s="57"/>
      <c r="AM31" s="57"/>
      <c r="AN31" s="57"/>
      <c r="AO31" s="57"/>
      <c r="AP31" s="58"/>
      <c r="AQ31" s="55" t="s">
        <v>919</v>
      </c>
      <c r="AR31" s="25"/>
      <c r="AS31" s="25"/>
      <c r="AT31" s="25"/>
      <c r="AU31" s="25"/>
      <c r="AV31" s="25"/>
      <c r="AW31" s="57"/>
      <c r="AX31" s="57"/>
      <c r="AY31" s="57"/>
      <c r="AZ31" s="57"/>
      <c r="BA31" s="57"/>
      <c r="BB31" s="57"/>
      <c r="BC31" s="57"/>
    </row>
    <row r="32" spans="1:55" ht="16.5" x14ac:dyDescent="0.3">
      <c r="A32" s="55" t="s">
        <v>920</v>
      </c>
      <c r="B32" s="25" t="e">
        <f>SUMIF(Projetos_Ciclo!$B$3:$B$97,'Gráfico Tendência 2018-2022'!$A$28,Projetos_Ciclo!#REF!)</f>
        <v>#REF!</v>
      </c>
      <c r="C32" s="25" t="e">
        <f>SUMIF(Projetos_Ciclo!$B$3:$B$97,'Gráfico Tendência 2018-2022'!$A$28,Projetos_Ciclo!#REF!)</f>
        <v>#REF!</v>
      </c>
      <c r="D32" s="25" t="e">
        <f>SUMIF(Projetos_Ciclo!$B$3:$B$97,'Gráfico Tendência 2018-2022'!$A$28,Projetos_Ciclo!#REF!)</f>
        <v>#REF!</v>
      </c>
      <c r="E32" s="25" t="e">
        <f>SUMIF(Projetos_Ciclo!$B$3:$B$97,'Gráfico Tendência 2018-2022'!$A$28,Projetos_Ciclo!#REF!)</f>
        <v>#REF!</v>
      </c>
      <c r="F32" s="25" t="e">
        <f>SUMIF(Projetos_Ciclo!$B$3:$B$97,'Gráfico Tendência 2018-2022'!$A$28,Projetos_Ciclo!#REF!)</f>
        <v>#REF!</v>
      </c>
      <c r="G32" s="25" t="e">
        <f>SUMIF(Projetos_Ciclo!$B$3:$B$97,'Gráfico Tendência 2018-2022'!$A$28,Projetos_Ciclo!#REF!)</f>
        <v>#REF!</v>
      </c>
      <c r="H32" s="25" t="e">
        <f>SUMIF(Projetos_Ciclo!$B$3:$B$97,'Gráfico Tendência 2018-2022'!$A$28,Projetos_Ciclo!#REF!)</f>
        <v>#REF!</v>
      </c>
      <c r="I32" s="25">
        <f>SUMIF(Projetos_Ciclo!$B$3:$B$97,'Gráfico Tendência 2018-2022'!$A$28,Projetos_Ciclo!U3:U97)</f>
        <v>0</v>
      </c>
      <c r="J32" s="25">
        <f>SUMIF(Projetos_Ciclo!$B$3:$B$97,'Gráfico Tendência 2018-2022'!$A$28,Projetos_Ciclo!V3:V97)</f>
        <v>0</v>
      </c>
      <c r="K32" s="25">
        <f>SUMIF(Projetos_Ciclo!$B$3:$B$97,'Gráfico Tendência 2018-2022'!$A$28,Projetos_Ciclo!W3:W97)</f>
        <v>34</v>
      </c>
      <c r="L32" s="25">
        <f>SUMIF(Projetos_Ciclo!$B$3:$B$97,'Gráfico Tendência 2018-2022'!$A$28,Projetos_Ciclo!X3:X97)</f>
        <v>209</v>
      </c>
      <c r="M32" s="25">
        <f>SUMIF(Projetos_Ciclo!$B$3:$B$97,'Gráfico Tendência 2018-2022'!$A$28,Projetos_Ciclo!Y3:Y97)</f>
        <v>1303.458969998474</v>
      </c>
      <c r="N32" s="58"/>
      <c r="O32" s="55" t="s">
        <v>920</v>
      </c>
      <c r="P32" s="25"/>
      <c r="Q32" s="25"/>
      <c r="R32" s="25"/>
      <c r="S32" s="25"/>
      <c r="T32" s="25"/>
      <c r="U32" s="25"/>
      <c r="V32" s="25"/>
      <c r="W32" s="25"/>
      <c r="X32" s="25"/>
      <c r="Y32" s="25"/>
      <c r="Z32" s="25"/>
      <c r="AA32" s="25"/>
      <c r="AB32" s="58"/>
      <c r="AC32" s="55" t="s">
        <v>920</v>
      </c>
      <c r="AD32" s="25"/>
      <c r="AE32" s="25"/>
      <c r="AF32" s="25"/>
      <c r="AG32" s="25"/>
      <c r="AH32" s="25"/>
      <c r="AI32" s="25"/>
      <c r="AJ32" s="25"/>
      <c r="AK32" s="25"/>
      <c r="AL32" s="25"/>
      <c r="AM32" s="25"/>
      <c r="AN32" s="25"/>
      <c r="AO32" s="25"/>
      <c r="AP32" s="58"/>
      <c r="AQ32" s="55" t="s">
        <v>920</v>
      </c>
      <c r="AR32" s="25"/>
      <c r="AS32" s="25"/>
      <c r="AT32" s="25"/>
      <c r="AU32" s="25"/>
      <c r="AV32" s="25"/>
      <c r="AW32" s="25"/>
      <c r="AX32" s="25"/>
      <c r="AY32" s="25"/>
      <c r="AZ32" s="25"/>
      <c r="BA32" s="25"/>
      <c r="BB32" s="25"/>
      <c r="BC32" s="25"/>
    </row>
    <row r="33" spans="14:42" x14ac:dyDescent="0.25">
      <c r="N33" s="58"/>
      <c r="AB33" s="58"/>
      <c r="AP33" s="58"/>
    </row>
    <row r="34" spans="14:42" x14ac:dyDescent="0.25">
      <c r="N34" s="58"/>
      <c r="AB34" s="58"/>
      <c r="AP34" s="58"/>
    </row>
    <row r="35" spans="14:42" x14ac:dyDescent="0.25">
      <c r="N35" s="58"/>
      <c r="AB35" s="58"/>
      <c r="AP35" s="58"/>
    </row>
    <row r="36" spans="14:42" x14ac:dyDescent="0.25">
      <c r="N36" s="58"/>
      <c r="AB36" s="58"/>
      <c r="AP36" s="58"/>
    </row>
    <row r="37" spans="14:42" x14ac:dyDescent="0.25">
      <c r="N37" s="58"/>
      <c r="AB37" s="58"/>
      <c r="AP37" s="58"/>
    </row>
    <row r="38" spans="14:42" x14ac:dyDescent="0.25">
      <c r="N38" s="58"/>
      <c r="AB38" s="58"/>
      <c r="AP38" s="58"/>
    </row>
    <row r="39" spans="14:42" x14ac:dyDescent="0.25">
      <c r="N39" s="58"/>
      <c r="AB39" s="58"/>
      <c r="AP39" s="58"/>
    </row>
    <row r="40" spans="14:42" x14ac:dyDescent="0.25">
      <c r="N40" s="58"/>
      <c r="AB40" s="58"/>
      <c r="AP40" s="58"/>
    </row>
    <row r="41" spans="14:42" x14ac:dyDescent="0.25">
      <c r="N41" s="58"/>
      <c r="AB41" s="58"/>
      <c r="AP41" s="58"/>
    </row>
    <row r="42" spans="14:42" x14ac:dyDescent="0.25">
      <c r="N42" s="58"/>
      <c r="AB42" s="58"/>
      <c r="AP42" s="58"/>
    </row>
    <row r="43" spans="14:42" x14ac:dyDescent="0.25">
      <c r="N43" s="58"/>
      <c r="AB43" s="58"/>
      <c r="AP43" s="58"/>
    </row>
    <row r="44" spans="14:42" x14ac:dyDescent="0.25">
      <c r="N44" s="58"/>
      <c r="AB44" s="58"/>
      <c r="AP44" s="58"/>
    </row>
    <row r="45" spans="14:42" x14ac:dyDescent="0.25">
      <c r="N45" s="58"/>
      <c r="AB45" s="58"/>
      <c r="AP45" s="58"/>
    </row>
    <row r="46" spans="14:42" x14ac:dyDescent="0.25">
      <c r="N46" s="58"/>
      <c r="AB46" s="58"/>
      <c r="AP46" s="58"/>
    </row>
    <row r="47" spans="14:42" x14ac:dyDescent="0.25">
      <c r="N47" s="58"/>
      <c r="AB47" s="58"/>
      <c r="AP47" s="58"/>
    </row>
    <row r="48" spans="14:42" x14ac:dyDescent="0.25">
      <c r="N48" s="58"/>
      <c r="AB48" s="58"/>
      <c r="AP48" s="58"/>
    </row>
    <row r="49" spans="1:55" x14ac:dyDescent="0.25">
      <c r="N49" s="58"/>
      <c r="AB49" s="58"/>
      <c r="AP49" s="58"/>
    </row>
    <row r="50" spans="1:55" x14ac:dyDescent="0.25">
      <c r="N50" s="58"/>
      <c r="AB50" s="58"/>
      <c r="AP50" s="58"/>
    </row>
    <row r="51" spans="1:55" x14ac:dyDescent="0.25">
      <c r="N51" s="58"/>
      <c r="AB51" s="58"/>
      <c r="AP51" s="58"/>
    </row>
    <row r="52" spans="1:55" ht="18" x14ac:dyDescent="0.25">
      <c r="A52" s="502" t="s">
        <v>895</v>
      </c>
      <c r="B52" s="502"/>
      <c r="C52" s="502"/>
      <c r="D52" s="502"/>
      <c r="E52" s="502"/>
      <c r="F52" s="502"/>
      <c r="G52" s="502"/>
      <c r="H52" s="502"/>
      <c r="I52" s="502"/>
      <c r="J52" s="502"/>
      <c r="K52" s="503" t="s">
        <v>918</v>
      </c>
      <c r="L52" s="503"/>
      <c r="M52" s="503"/>
      <c r="N52" s="58"/>
      <c r="O52" s="502" t="s">
        <v>902</v>
      </c>
      <c r="P52" s="502"/>
      <c r="Q52" s="502"/>
      <c r="R52" s="502"/>
      <c r="S52" s="502"/>
      <c r="T52" s="502"/>
      <c r="U52" s="502"/>
      <c r="V52" s="502"/>
      <c r="W52" s="502"/>
      <c r="X52" s="502"/>
      <c r="Y52" s="503" t="s">
        <v>918</v>
      </c>
      <c r="Z52" s="503"/>
      <c r="AA52" s="503"/>
      <c r="AB52" s="58"/>
      <c r="AC52" s="502" t="s">
        <v>909</v>
      </c>
      <c r="AD52" s="502"/>
      <c r="AE52" s="502"/>
      <c r="AF52" s="502"/>
      <c r="AG52" s="502"/>
      <c r="AH52" s="502"/>
      <c r="AI52" s="502"/>
      <c r="AJ52" s="502"/>
      <c r="AK52" s="502"/>
      <c r="AL52" s="502"/>
      <c r="AM52" s="503" t="s">
        <v>918</v>
      </c>
      <c r="AN52" s="503"/>
      <c r="AO52" s="503"/>
      <c r="AP52" s="58"/>
      <c r="AQ52" s="502" t="s">
        <v>916</v>
      </c>
      <c r="AR52" s="502"/>
      <c r="AS52" s="502"/>
      <c r="AT52" s="502"/>
      <c r="AU52" s="502"/>
      <c r="AV52" s="502"/>
      <c r="AW52" s="502"/>
      <c r="AX52" s="502"/>
      <c r="AY52" s="502"/>
      <c r="AZ52" s="502"/>
      <c r="BA52" s="503" t="s">
        <v>918</v>
      </c>
      <c r="BB52" s="503"/>
      <c r="BC52" s="503"/>
    </row>
    <row r="53" spans="1:55" ht="16.5" x14ac:dyDescent="0.3">
      <c r="A53" s="24" t="s">
        <v>43</v>
      </c>
      <c r="B53" s="56">
        <v>43101</v>
      </c>
      <c r="C53" s="56">
        <v>43132</v>
      </c>
      <c r="D53" s="56">
        <v>43160</v>
      </c>
      <c r="E53" s="56">
        <v>43191</v>
      </c>
      <c r="F53" s="56">
        <v>43221</v>
      </c>
      <c r="G53" s="56">
        <v>43252</v>
      </c>
      <c r="H53" s="56">
        <v>43282</v>
      </c>
      <c r="I53" s="56">
        <v>43313</v>
      </c>
      <c r="J53" s="56">
        <v>43344</v>
      </c>
      <c r="K53" s="56">
        <v>43374</v>
      </c>
      <c r="L53" s="56">
        <v>43405</v>
      </c>
      <c r="M53" s="56">
        <v>43435</v>
      </c>
      <c r="N53" s="58"/>
      <c r="O53" s="24" t="s">
        <v>31</v>
      </c>
      <c r="P53" s="56">
        <v>43101</v>
      </c>
      <c r="Q53" s="56">
        <v>43132</v>
      </c>
      <c r="R53" s="56">
        <v>43160</v>
      </c>
      <c r="S53" s="56">
        <v>43191</v>
      </c>
      <c r="T53" s="56">
        <v>43221</v>
      </c>
      <c r="U53" s="56">
        <v>43252</v>
      </c>
      <c r="V53" s="56">
        <v>43282</v>
      </c>
      <c r="W53" s="56">
        <v>43313</v>
      </c>
      <c r="X53" s="56">
        <v>43344</v>
      </c>
      <c r="Y53" s="56">
        <v>43374</v>
      </c>
      <c r="Z53" s="56">
        <v>43405</v>
      </c>
      <c r="AA53" s="56">
        <v>43435</v>
      </c>
      <c r="AB53" s="58"/>
      <c r="AC53" s="24" t="s">
        <v>37</v>
      </c>
      <c r="AD53" s="56">
        <v>43101</v>
      </c>
      <c r="AE53" s="56">
        <v>43132</v>
      </c>
      <c r="AF53" s="56">
        <v>43160</v>
      </c>
      <c r="AG53" s="56">
        <v>43191</v>
      </c>
      <c r="AH53" s="56">
        <v>43221</v>
      </c>
      <c r="AI53" s="56">
        <v>43252</v>
      </c>
      <c r="AJ53" s="56">
        <v>43282</v>
      </c>
      <c r="AK53" s="56">
        <v>43313</v>
      </c>
      <c r="AL53" s="56">
        <v>43344</v>
      </c>
      <c r="AM53" s="56">
        <v>43374</v>
      </c>
      <c r="AN53" s="56">
        <v>43405</v>
      </c>
      <c r="AO53" s="56">
        <v>43435</v>
      </c>
      <c r="AP53" s="58"/>
      <c r="AQ53" s="24" t="s">
        <v>44</v>
      </c>
      <c r="AR53" s="56">
        <v>43101</v>
      </c>
      <c r="AS53" s="56">
        <v>43132</v>
      </c>
      <c r="AT53" s="56">
        <v>43160</v>
      </c>
      <c r="AU53" s="56">
        <v>43191</v>
      </c>
      <c r="AV53" s="56">
        <v>43221</v>
      </c>
      <c r="AW53" s="56">
        <v>43252</v>
      </c>
      <c r="AX53" s="56">
        <v>43282</v>
      </c>
      <c r="AY53" s="56">
        <v>43313</v>
      </c>
      <c r="AZ53" s="56">
        <v>43344</v>
      </c>
      <c r="BA53" s="56">
        <v>43374</v>
      </c>
      <c r="BB53" s="56">
        <v>43405</v>
      </c>
      <c r="BC53" s="56">
        <v>43435</v>
      </c>
    </row>
    <row r="54" spans="1:55" ht="16.5" x14ac:dyDescent="0.3">
      <c r="A54" s="54" t="s">
        <v>891</v>
      </c>
      <c r="B54" s="25">
        <f>SUMIF(Projetos_Ciclo!$B$3:$B$97,'Gráfico Tendência 2018-2022'!$A$53,Projetos_Ciclo!$Z$3:$Z$97)</f>
        <v>0</v>
      </c>
      <c r="C54" s="25">
        <f>SUMIF(Projetos_Ciclo!$B$3:$B$97,'Gráfico Tendência 2018-2022'!$A$53,Projetos_Ciclo!$Z$3:$Z$97)</f>
        <v>0</v>
      </c>
      <c r="D54" s="25">
        <f>SUMIF(Projetos_Ciclo!$B$3:$B$97,'Gráfico Tendência 2018-2022'!$A$53,Projetos_Ciclo!$Z$3:$Z$97)</f>
        <v>0</v>
      </c>
      <c r="E54" s="25">
        <f>SUMIF(Projetos_Ciclo!$B$3:$B$97,'Gráfico Tendência 2018-2022'!$A$53,Projetos_Ciclo!$Z$3:$Z$97)</f>
        <v>0</v>
      </c>
      <c r="F54" s="25">
        <f>SUMIF(Projetos_Ciclo!$B$3:$B$97,'Gráfico Tendência 2018-2022'!$A$53,Projetos_Ciclo!$Z$3:$Z$97)</f>
        <v>0</v>
      </c>
      <c r="G54" s="25">
        <f>SUMIF(Projetos_Ciclo!$B$3:$B$97,'Gráfico Tendência 2018-2022'!$A$53,Projetos_Ciclo!$Z$3:$Z$97)</f>
        <v>0</v>
      </c>
      <c r="H54" s="25">
        <f>SUMIF(Projetos_Ciclo!$B$3:$B$97,'Gráfico Tendência 2018-2022'!$A$53,Projetos_Ciclo!$Z$3:$Z$97)</f>
        <v>0</v>
      </c>
      <c r="I54" s="25">
        <f>SUMIF(Projetos_Ciclo!$B$3:$B$97,'Gráfico Tendência 2018-2022'!$A$53,Projetos_Ciclo!$Z$3:$Z$97)</f>
        <v>0</v>
      </c>
      <c r="J54" s="25">
        <f>SUMIF(Projetos_Ciclo!$B$3:$B$97,'Gráfico Tendência 2018-2022'!$A$53,Projetos_Ciclo!$Z$3:$Z$97)</f>
        <v>0</v>
      </c>
      <c r="K54" s="25">
        <f>SUMIF(Projetos_Ciclo!$B$3:$B$97,'Gráfico Tendência 2018-2022'!$A$53,Projetos_Ciclo!$Z$3:$Z$97)</f>
        <v>0</v>
      </c>
      <c r="L54" s="25">
        <f>SUMIF(Projetos_Ciclo!$B$3:$B$97,'Gráfico Tendência 2018-2022'!$A$53,Projetos_Ciclo!$Z$3:$Z$97)</f>
        <v>0</v>
      </c>
      <c r="M54" s="25">
        <f>SUMIF(Projetos_Ciclo!$B$3:$B$97,'Gráfico Tendência 2018-2022'!$A$53,Projetos_Ciclo!$Z$3:$Z$97)</f>
        <v>0</v>
      </c>
      <c r="N54" s="58"/>
      <c r="O54" s="54" t="s">
        <v>891</v>
      </c>
      <c r="P54" s="25">
        <f>SUMIF(Projetos_Ciclo!$B$3:$B$97,'Gráfico Tendência 2018-2022'!$O$53,Projetos_Ciclo!$Z$3:$Z$97)</f>
        <v>0</v>
      </c>
      <c r="Q54" s="25">
        <f>SUMIF(Projetos_Ciclo!$B$3:$B$97,'Gráfico Tendência 2018-2022'!$O$53,Projetos_Ciclo!$Z$3:$Z$97)</f>
        <v>0</v>
      </c>
      <c r="R54" s="25">
        <f>SUMIF(Projetos_Ciclo!$B$3:$B$97,'Gráfico Tendência 2018-2022'!$O$53,Projetos_Ciclo!$Z$3:$Z$97)</f>
        <v>0</v>
      </c>
      <c r="S54" s="25">
        <f>SUMIF(Projetos_Ciclo!$B$3:$B$97,'Gráfico Tendência 2018-2022'!$O$53,Projetos_Ciclo!$Z$3:$Z$97)</f>
        <v>0</v>
      </c>
      <c r="T54" s="25">
        <f>SUMIF(Projetos_Ciclo!$B$3:$B$97,'Gráfico Tendência 2018-2022'!$O$53,Projetos_Ciclo!$Z$3:$Z$97)</f>
        <v>0</v>
      </c>
      <c r="U54" s="25">
        <f>SUMIF(Projetos_Ciclo!$B$3:$B$97,'Gráfico Tendência 2018-2022'!$O$53,Projetos_Ciclo!$Z$3:$Z$97)</f>
        <v>0</v>
      </c>
      <c r="V54" s="25">
        <f>SUMIF(Projetos_Ciclo!$B$3:$B$97,'Gráfico Tendência 2018-2022'!$O$53,Projetos_Ciclo!$Z$3:$Z$97)</f>
        <v>0</v>
      </c>
      <c r="W54" s="25">
        <f>SUMIF(Projetos_Ciclo!$B$3:$B$97,'Gráfico Tendência 2018-2022'!$O$53,Projetos_Ciclo!$Z$3:$Z$97)</f>
        <v>0</v>
      </c>
      <c r="X54" s="25">
        <f>SUMIF(Projetos_Ciclo!$B$3:$B$97,'Gráfico Tendência 2018-2022'!$O$53,Projetos_Ciclo!$Z$3:$Z$97)</f>
        <v>0</v>
      </c>
      <c r="Y54" s="25">
        <f>SUMIF(Projetos_Ciclo!$B$3:$B$97,'Gráfico Tendência 2018-2022'!$O$53,Projetos_Ciclo!$Z$3:$Z$97)</f>
        <v>0</v>
      </c>
      <c r="Z54" s="25">
        <f>SUMIF(Projetos_Ciclo!$B$3:$B$97,'Gráfico Tendência 2018-2022'!$O$53,Projetos_Ciclo!$Z$3:$Z$97)</f>
        <v>0</v>
      </c>
      <c r="AA54" s="25">
        <f>SUMIF(Projetos_Ciclo!$B$3:$B$97,'Gráfico Tendência 2018-2022'!$O$53,Projetos_Ciclo!$Z$3:$Z$97)</f>
        <v>0</v>
      </c>
      <c r="AB54" s="58"/>
      <c r="AC54" s="54" t="s">
        <v>891</v>
      </c>
      <c r="AD54" s="25">
        <f>SUMIF(Projetos_Ciclo!$B$3:$B$97,'Gráfico Tendência 2018-2022'!$AC$53,Projetos_Ciclo!$Z$3:$Z$97)</f>
        <v>0</v>
      </c>
      <c r="AE54" s="25">
        <f>SUMIF(Projetos_Ciclo!$B$3:$B$97,'Gráfico Tendência 2018-2022'!$AC$53,Projetos_Ciclo!$Z$3:$Z$97)</f>
        <v>0</v>
      </c>
      <c r="AF54" s="25">
        <f>SUMIF(Projetos_Ciclo!$B$3:$B$97,'Gráfico Tendência 2018-2022'!$AC$53,Projetos_Ciclo!$Z$3:$Z$97)</f>
        <v>0</v>
      </c>
      <c r="AG54" s="25">
        <f>SUMIF(Projetos_Ciclo!$B$3:$B$97,'Gráfico Tendência 2018-2022'!$AC$53,Projetos_Ciclo!$Z$3:$Z$97)</f>
        <v>0</v>
      </c>
      <c r="AH54" s="25">
        <f>SUMIF(Projetos_Ciclo!$B$3:$B$97,'Gráfico Tendência 2018-2022'!$AC$53,Projetos_Ciclo!$Z$3:$Z$97)</f>
        <v>0</v>
      </c>
      <c r="AI54" s="25">
        <f>SUMIF(Projetos_Ciclo!$B$3:$B$97,'Gráfico Tendência 2018-2022'!$AC$53,Projetos_Ciclo!$Z$3:$Z$97)</f>
        <v>0</v>
      </c>
      <c r="AJ54" s="25">
        <f>SUMIF(Projetos_Ciclo!$B$3:$B$97,'Gráfico Tendência 2018-2022'!$AC$53,Projetos_Ciclo!$Z$3:$Z$97)</f>
        <v>0</v>
      </c>
      <c r="AK54" s="25">
        <f>SUMIF(Projetos_Ciclo!$B$3:$B$97,'Gráfico Tendência 2018-2022'!$AC$53,Projetos_Ciclo!$Z$3:$Z$97)</f>
        <v>0</v>
      </c>
      <c r="AL54" s="25">
        <f>SUMIF(Projetos_Ciclo!$B$3:$B$97,'Gráfico Tendência 2018-2022'!$AC$53,Projetos_Ciclo!$Z$3:$Z$97)</f>
        <v>0</v>
      </c>
      <c r="AM54" s="25">
        <f>SUMIF(Projetos_Ciclo!$B$3:$B$97,'Gráfico Tendência 2018-2022'!$AC$53,Projetos_Ciclo!$Z$3:$Z$97)</f>
        <v>0</v>
      </c>
      <c r="AN54" s="25">
        <f>SUMIF(Projetos_Ciclo!$B$3:$B$97,'Gráfico Tendência 2018-2022'!$AC$53,Projetos_Ciclo!$Z$3:$Z$97)</f>
        <v>0</v>
      </c>
      <c r="AO54" s="25">
        <f>SUMIF(Projetos_Ciclo!$B$3:$B$97,'Gráfico Tendência 2018-2022'!$AC$53,Projetos_Ciclo!$Z$3:$Z$97)</f>
        <v>0</v>
      </c>
      <c r="AP54" s="58"/>
      <c r="AQ54" s="54" t="s">
        <v>891</v>
      </c>
      <c r="AR54" s="25">
        <f>SUMIF(Projetos_Ciclo!$B$3:$B$97,'Gráfico Tendência 2018-2022'!$AQ$53,Projetos_Ciclo!$Z$3:$Z$97)</f>
        <v>0</v>
      </c>
      <c r="AS54" s="25">
        <f>SUMIF(Projetos_Ciclo!$B$3:$B$97,'Gráfico Tendência 2018-2022'!$AQ$53,Projetos_Ciclo!$Z$3:$Z$97)</f>
        <v>0</v>
      </c>
      <c r="AT54" s="25">
        <f>SUMIF(Projetos_Ciclo!$B$3:$B$97,'Gráfico Tendência 2018-2022'!$AQ$53,Projetos_Ciclo!$Z$3:$Z$97)</f>
        <v>0</v>
      </c>
      <c r="AU54" s="25">
        <f>SUMIF(Projetos_Ciclo!$B$3:$B$97,'Gráfico Tendência 2018-2022'!$AQ$53,Projetos_Ciclo!$Z$3:$Z$97)</f>
        <v>0</v>
      </c>
      <c r="AV54" s="25">
        <f>SUMIF(Projetos_Ciclo!$B$3:$B$97,'Gráfico Tendência 2018-2022'!$AQ$53,Projetos_Ciclo!$Z$3:$Z$97)</f>
        <v>0</v>
      </c>
      <c r="AW54" s="25">
        <f>SUMIF(Projetos_Ciclo!$B$3:$B$97,'Gráfico Tendência 2018-2022'!$AQ$53,Projetos_Ciclo!$Z$3:$Z$97)</f>
        <v>0</v>
      </c>
      <c r="AX54" s="25">
        <f>SUMIF(Projetos_Ciclo!$B$3:$B$97,'Gráfico Tendência 2018-2022'!$AQ$53,Projetos_Ciclo!$Z$3:$Z$97)</f>
        <v>0</v>
      </c>
      <c r="AY54" s="25">
        <f>SUMIF(Projetos_Ciclo!$B$3:$B$97,'Gráfico Tendência 2018-2022'!$AQ$53,Projetos_Ciclo!$Z$3:$Z$97)</f>
        <v>0</v>
      </c>
      <c r="AZ54" s="25">
        <f>SUMIF(Projetos_Ciclo!$B$3:$B$97,'Gráfico Tendência 2018-2022'!$AQ$53,Projetos_Ciclo!$Z$3:$Z$97)</f>
        <v>0</v>
      </c>
      <c r="BA54" s="25">
        <f>SUMIF(Projetos_Ciclo!$B$3:$B$97,'Gráfico Tendência 2018-2022'!$AQ$53,Projetos_Ciclo!$Z$3:$Z$97)</f>
        <v>0</v>
      </c>
      <c r="BB54" s="25">
        <f>SUMIF(Projetos_Ciclo!$B$3:$B$97,'Gráfico Tendência 2018-2022'!$AQ$53,Projetos_Ciclo!$Z$3:$Z$97)</f>
        <v>0</v>
      </c>
      <c r="BC54" s="25">
        <f>SUMIF(Projetos_Ciclo!$B$3:$B$97,'Gráfico Tendência 2018-2022'!$AQ$53,Projetos_Ciclo!$Z$3:$Z$97)</f>
        <v>0</v>
      </c>
    </row>
    <row r="55" spans="1:55" ht="16.5" x14ac:dyDescent="0.3">
      <c r="A55" s="55" t="s">
        <v>892</v>
      </c>
      <c r="B55" s="25">
        <f>B56</f>
        <v>0</v>
      </c>
      <c r="C55" s="25">
        <f>B55+C56</f>
        <v>0</v>
      </c>
      <c r="D55" s="25">
        <f>C55+D56</f>
        <v>0</v>
      </c>
      <c r="E55" s="25">
        <f>D55+E56</f>
        <v>0</v>
      </c>
      <c r="F55" s="25">
        <f>E55+F56</f>
        <v>0</v>
      </c>
      <c r="G55" s="25">
        <f t="shared" ref="G55" si="15">F55+G56</f>
        <v>0</v>
      </c>
      <c r="H55" s="25">
        <f t="shared" ref="H55" si="16">G55+H56</f>
        <v>0</v>
      </c>
      <c r="I55" s="25">
        <f t="shared" ref="I55" si="17">H55+I56</f>
        <v>0</v>
      </c>
      <c r="J55" s="25">
        <f t="shared" ref="J55" si="18">I55+J56</f>
        <v>0</v>
      </c>
      <c r="K55" s="25">
        <f t="shared" ref="K55" si="19">J55+K56</f>
        <v>0</v>
      </c>
      <c r="L55" s="25">
        <f t="shared" ref="L55" si="20">K55+L56</f>
        <v>0</v>
      </c>
      <c r="M55" s="25">
        <f t="shared" ref="M55" si="21">L55+M56</f>
        <v>0</v>
      </c>
      <c r="N55" s="58"/>
      <c r="O55" s="55" t="s">
        <v>892</v>
      </c>
      <c r="P55" s="25">
        <f>P56</f>
        <v>0</v>
      </c>
      <c r="Q55" s="25">
        <f>P55+Q56</f>
        <v>0</v>
      </c>
      <c r="R55" s="25">
        <f>Q55+R56</f>
        <v>0</v>
      </c>
      <c r="S55" s="25">
        <f>R55+S56</f>
        <v>0</v>
      </c>
      <c r="T55" s="25">
        <f>S55+T56</f>
        <v>0</v>
      </c>
      <c r="U55" s="25">
        <f t="shared" ref="U55:AA55" si="22">T55+U56</f>
        <v>0</v>
      </c>
      <c r="V55" s="25">
        <f t="shared" si="22"/>
        <v>0</v>
      </c>
      <c r="W55" s="25">
        <f t="shared" si="22"/>
        <v>0</v>
      </c>
      <c r="X55" s="25">
        <f t="shared" si="22"/>
        <v>0</v>
      </c>
      <c r="Y55" s="25">
        <f t="shared" si="22"/>
        <v>0</v>
      </c>
      <c r="Z55" s="25">
        <f t="shared" si="22"/>
        <v>0</v>
      </c>
      <c r="AA55" s="25">
        <f t="shared" si="22"/>
        <v>0</v>
      </c>
      <c r="AB55" s="58"/>
      <c r="AC55" s="55" t="s">
        <v>892</v>
      </c>
      <c r="AD55" s="25">
        <f>AD56</f>
        <v>0</v>
      </c>
      <c r="AE55" s="25">
        <f>AD55+AE56</f>
        <v>0</v>
      </c>
      <c r="AF55" s="25">
        <f>AE55+AF56</f>
        <v>0</v>
      </c>
      <c r="AG55" s="25">
        <f>AF55+AG56</f>
        <v>0</v>
      </c>
      <c r="AH55" s="25">
        <f>AG55+AH56</f>
        <v>0</v>
      </c>
      <c r="AI55" s="25">
        <f t="shared" ref="AI55:AO55" si="23">AH55+AI56</f>
        <v>0</v>
      </c>
      <c r="AJ55" s="25">
        <f t="shared" si="23"/>
        <v>0</v>
      </c>
      <c r="AK55" s="25">
        <f t="shared" si="23"/>
        <v>0</v>
      </c>
      <c r="AL55" s="25">
        <f t="shared" si="23"/>
        <v>0</v>
      </c>
      <c r="AM55" s="25">
        <f t="shared" si="23"/>
        <v>0</v>
      </c>
      <c r="AN55" s="25">
        <f t="shared" si="23"/>
        <v>0</v>
      </c>
      <c r="AO55" s="25">
        <f t="shared" si="23"/>
        <v>0</v>
      </c>
      <c r="AP55" s="58"/>
      <c r="AQ55" s="55" t="s">
        <v>892</v>
      </c>
      <c r="AR55" s="25">
        <f>AR56</f>
        <v>0</v>
      </c>
      <c r="AS55" s="25">
        <f>AR55+AS56</f>
        <v>0</v>
      </c>
      <c r="AT55" s="25">
        <f>AS55+AT56</f>
        <v>0</v>
      </c>
      <c r="AU55" s="25">
        <f>AT55+AU56</f>
        <v>0</v>
      </c>
      <c r="AV55" s="25">
        <f>AU55+AV56</f>
        <v>0</v>
      </c>
      <c r="AW55" s="25">
        <f t="shared" ref="AW55:BC55" si="24">AV55+AW56</f>
        <v>0</v>
      </c>
      <c r="AX55" s="25">
        <f t="shared" si="24"/>
        <v>0</v>
      </c>
      <c r="AY55" s="25">
        <f t="shared" si="24"/>
        <v>0</v>
      </c>
      <c r="AZ55" s="25">
        <f t="shared" si="24"/>
        <v>0</v>
      </c>
      <c r="BA55" s="25">
        <f t="shared" si="24"/>
        <v>0</v>
      </c>
      <c r="BB55" s="25">
        <f t="shared" si="24"/>
        <v>0</v>
      </c>
      <c r="BC55" s="25">
        <f t="shared" si="24"/>
        <v>0</v>
      </c>
    </row>
    <row r="56" spans="1:55" ht="16.5" x14ac:dyDescent="0.3">
      <c r="A56" s="55" t="s">
        <v>919</v>
      </c>
      <c r="B56" s="25"/>
      <c r="C56" s="25"/>
      <c r="D56" s="25"/>
      <c r="E56" s="25"/>
      <c r="F56" s="25"/>
      <c r="G56" s="57"/>
      <c r="H56" s="57"/>
      <c r="I56" s="57"/>
      <c r="J56" s="57"/>
      <c r="K56" s="57"/>
      <c r="L56" s="57"/>
      <c r="M56" s="57"/>
      <c r="N56" s="58"/>
      <c r="O56" s="55" t="s">
        <v>919</v>
      </c>
      <c r="P56" s="25"/>
      <c r="Q56" s="25"/>
      <c r="R56" s="25"/>
      <c r="S56" s="25"/>
      <c r="T56" s="25"/>
      <c r="U56" s="57"/>
      <c r="V56" s="57"/>
      <c r="W56" s="57"/>
      <c r="X56" s="57"/>
      <c r="Y56" s="57"/>
      <c r="Z56" s="57"/>
      <c r="AA56" s="57"/>
      <c r="AB56" s="58"/>
      <c r="AC56" s="55" t="s">
        <v>919</v>
      </c>
      <c r="AD56" s="25"/>
      <c r="AE56" s="25"/>
      <c r="AF56" s="25"/>
      <c r="AG56" s="25"/>
      <c r="AH56" s="25"/>
      <c r="AI56" s="57"/>
      <c r="AJ56" s="57"/>
      <c r="AK56" s="57"/>
      <c r="AL56" s="57"/>
      <c r="AM56" s="57"/>
      <c r="AN56" s="57"/>
      <c r="AO56" s="57"/>
      <c r="AP56" s="58"/>
      <c r="AQ56" s="55" t="s">
        <v>919</v>
      </c>
      <c r="AR56" s="25"/>
      <c r="AS56" s="25"/>
      <c r="AT56" s="25"/>
      <c r="AU56" s="25"/>
      <c r="AV56" s="25"/>
      <c r="AW56" s="57"/>
      <c r="AX56" s="57"/>
      <c r="AY56" s="57"/>
      <c r="AZ56" s="57"/>
      <c r="BA56" s="57"/>
      <c r="BB56" s="57"/>
      <c r="BC56" s="57"/>
    </row>
    <row r="57" spans="1:55" ht="16.5" x14ac:dyDescent="0.3">
      <c r="A57" s="55" t="s">
        <v>920</v>
      </c>
      <c r="B57" s="25"/>
      <c r="C57" s="25"/>
      <c r="D57" s="25"/>
      <c r="E57" s="25"/>
      <c r="F57" s="25"/>
      <c r="G57" s="25"/>
      <c r="H57" s="25"/>
      <c r="I57" s="25"/>
      <c r="J57" s="25"/>
      <c r="K57" s="25"/>
      <c r="L57" s="25"/>
      <c r="M57" s="25"/>
      <c r="N57" s="58"/>
      <c r="O57" s="55" t="s">
        <v>920</v>
      </c>
      <c r="P57" s="25"/>
      <c r="Q57" s="25"/>
      <c r="R57" s="25"/>
      <c r="S57" s="25"/>
      <c r="T57" s="25"/>
      <c r="U57" s="25"/>
      <c r="V57" s="25"/>
      <c r="W57" s="25"/>
      <c r="X57" s="25"/>
      <c r="Y57" s="25"/>
      <c r="Z57" s="25"/>
      <c r="AA57" s="25"/>
      <c r="AB57" s="58"/>
      <c r="AC57" s="55" t="s">
        <v>920</v>
      </c>
      <c r="AD57" s="25"/>
      <c r="AE57" s="25"/>
      <c r="AF57" s="25"/>
      <c r="AG57" s="25"/>
      <c r="AH57" s="25"/>
      <c r="AI57" s="25"/>
      <c r="AJ57" s="25"/>
      <c r="AK57" s="25"/>
      <c r="AL57" s="25"/>
      <c r="AM57" s="25"/>
      <c r="AN57" s="25"/>
      <c r="AO57" s="25"/>
      <c r="AP57" s="58"/>
      <c r="AQ57" s="55" t="s">
        <v>920</v>
      </c>
      <c r="AR57" s="25"/>
      <c r="AS57" s="25"/>
      <c r="AT57" s="25"/>
      <c r="AU57" s="25"/>
      <c r="AV57" s="25"/>
      <c r="AW57" s="25"/>
      <c r="AX57" s="25"/>
      <c r="AY57" s="25"/>
      <c r="AZ57" s="25"/>
      <c r="BA57" s="25"/>
      <c r="BB57" s="25"/>
      <c r="BC57" s="25"/>
    </row>
    <row r="58" spans="1:55" x14ac:dyDescent="0.25">
      <c r="N58" s="58"/>
      <c r="AB58" s="58"/>
      <c r="AP58" s="58"/>
    </row>
    <row r="59" spans="1:55" x14ac:dyDescent="0.25">
      <c r="N59" s="58"/>
      <c r="AB59" s="58"/>
      <c r="AP59" s="58"/>
    </row>
    <row r="60" spans="1:55" x14ac:dyDescent="0.25">
      <c r="N60" s="58"/>
      <c r="AB60" s="58"/>
      <c r="AP60" s="58"/>
    </row>
    <row r="61" spans="1:55" x14ac:dyDescent="0.25">
      <c r="N61" s="58"/>
      <c r="AB61" s="58"/>
      <c r="AP61" s="58"/>
    </row>
    <row r="62" spans="1:55" x14ac:dyDescent="0.25">
      <c r="N62" s="58"/>
      <c r="AB62" s="58"/>
      <c r="AP62" s="58"/>
    </row>
    <row r="63" spans="1:55" x14ac:dyDescent="0.25">
      <c r="N63" s="58"/>
      <c r="AB63" s="58"/>
      <c r="AP63" s="58"/>
    </row>
    <row r="64" spans="1:55" x14ac:dyDescent="0.25">
      <c r="N64" s="58"/>
      <c r="AB64" s="58"/>
      <c r="AP64" s="58"/>
    </row>
    <row r="65" spans="1:42" x14ac:dyDescent="0.25">
      <c r="N65" s="58"/>
      <c r="AB65" s="58"/>
      <c r="AP65" s="58"/>
    </row>
    <row r="66" spans="1:42" x14ac:dyDescent="0.25">
      <c r="N66" s="58"/>
      <c r="AB66" s="58"/>
      <c r="AP66" s="58"/>
    </row>
    <row r="67" spans="1:42" x14ac:dyDescent="0.25">
      <c r="N67" s="58"/>
      <c r="AB67" s="58"/>
      <c r="AP67" s="58"/>
    </row>
    <row r="68" spans="1:42" x14ac:dyDescent="0.25">
      <c r="N68" s="58"/>
      <c r="AB68" s="58"/>
      <c r="AP68" s="58"/>
    </row>
    <row r="69" spans="1:42" x14ac:dyDescent="0.25">
      <c r="N69" s="58"/>
      <c r="AB69" s="58"/>
      <c r="AP69" s="58"/>
    </row>
    <row r="70" spans="1:42" x14ac:dyDescent="0.25">
      <c r="N70" s="58"/>
      <c r="AB70" s="58"/>
      <c r="AP70" s="58"/>
    </row>
    <row r="71" spans="1:42" x14ac:dyDescent="0.25">
      <c r="N71" s="58"/>
      <c r="AB71" s="58"/>
      <c r="AP71" s="58"/>
    </row>
    <row r="72" spans="1:42" x14ac:dyDescent="0.25">
      <c r="N72" s="58"/>
      <c r="AB72" s="58"/>
      <c r="AP72" s="58"/>
    </row>
    <row r="73" spans="1:42" x14ac:dyDescent="0.25">
      <c r="N73" s="58"/>
      <c r="AB73" s="58"/>
      <c r="AP73" s="58"/>
    </row>
    <row r="74" spans="1:42" x14ac:dyDescent="0.25">
      <c r="N74" s="58"/>
      <c r="AB74" s="58"/>
      <c r="AP74" s="58"/>
    </row>
    <row r="75" spans="1:42" x14ac:dyDescent="0.25">
      <c r="N75" s="58"/>
      <c r="AB75" s="58"/>
      <c r="AP75" s="58"/>
    </row>
    <row r="76" spans="1:42" x14ac:dyDescent="0.25">
      <c r="N76" s="58"/>
      <c r="AB76" s="58"/>
      <c r="AP76" s="58"/>
    </row>
    <row r="77" spans="1:42" ht="18" x14ac:dyDescent="0.25">
      <c r="A77" s="502" t="s">
        <v>896</v>
      </c>
      <c r="B77" s="502"/>
      <c r="C77" s="502"/>
      <c r="D77" s="502"/>
      <c r="E77" s="502"/>
      <c r="F77" s="502"/>
      <c r="G77" s="502"/>
      <c r="H77" s="502"/>
      <c r="I77" s="502"/>
      <c r="J77" s="502"/>
      <c r="K77" s="503" t="s">
        <v>918</v>
      </c>
      <c r="L77" s="503"/>
      <c r="M77" s="503"/>
      <c r="N77" s="58"/>
      <c r="O77" s="502" t="s">
        <v>903</v>
      </c>
      <c r="P77" s="502"/>
      <c r="Q77" s="502"/>
      <c r="R77" s="502"/>
      <c r="S77" s="502"/>
      <c r="T77" s="502"/>
      <c r="U77" s="502"/>
      <c r="V77" s="502"/>
      <c r="W77" s="502"/>
      <c r="X77" s="502"/>
      <c r="Y77" s="503" t="s">
        <v>918</v>
      </c>
      <c r="Z77" s="503"/>
      <c r="AA77" s="503"/>
      <c r="AB77" s="58"/>
      <c r="AC77" s="502" t="s">
        <v>910</v>
      </c>
      <c r="AD77" s="502"/>
      <c r="AE77" s="502"/>
      <c r="AF77" s="502"/>
      <c r="AG77" s="502"/>
      <c r="AH77" s="502"/>
      <c r="AI77" s="502"/>
      <c r="AJ77" s="502"/>
      <c r="AK77" s="502"/>
      <c r="AL77" s="502"/>
      <c r="AM77" s="503" t="s">
        <v>918</v>
      </c>
      <c r="AN77" s="503"/>
      <c r="AO77" s="503"/>
      <c r="AP77" s="58"/>
    </row>
    <row r="78" spans="1:42" ht="16.5" x14ac:dyDescent="0.3">
      <c r="A78" s="24" t="s">
        <v>39</v>
      </c>
      <c r="B78" s="56">
        <v>43101</v>
      </c>
      <c r="C78" s="56">
        <v>43132</v>
      </c>
      <c r="D78" s="56">
        <v>43160</v>
      </c>
      <c r="E78" s="56">
        <v>43191</v>
      </c>
      <c r="F78" s="56">
        <v>43221</v>
      </c>
      <c r="G78" s="56">
        <v>43252</v>
      </c>
      <c r="H78" s="56">
        <v>43282</v>
      </c>
      <c r="I78" s="56">
        <v>43313</v>
      </c>
      <c r="J78" s="56">
        <v>43344</v>
      </c>
      <c r="K78" s="56">
        <v>43374</v>
      </c>
      <c r="L78" s="56">
        <v>43405</v>
      </c>
      <c r="M78" s="56">
        <v>43435</v>
      </c>
      <c r="N78" s="58"/>
      <c r="O78" s="24" t="s">
        <v>27</v>
      </c>
      <c r="P78" s="56">
        <v>43101</v>
      </c>
      <c r="Q78" s="56">
        <v>43132</v>
      </c>
      <c r="R78" s="56">
        <v>43160</v>
      </c>
      <c r="S78" s="56">
        <v>43191</v>
      </c>
      <c r="T78" s="56">
        <v>43221</v>
      </c>
      <c r="U78" s="56">
        <v>43252</v>
      </c>
      <c r="V78" s="56">
        <v>43282</v>
      </c>
      <c r="W78" s="56">
        <v>43313</v>
      </c>
      <c r="X78" s="56">
        <v>43344</v>
      </c>
      <c r="Y78" s="56">
        <v>43374</v>
      </c>
      <c r="Z78" s="56">
        <v>43405</v>
      </c>
      <c r="AA78" s="56">
        <v>43435</v>
      </c>
      <c r="AB78" s="58"/>
      <c r="AC78" s="24" t="s">
        <v>33</v>
      </c>
      <c r="AD78" s="56">
        <v>43101</v>
      </c>
      <c r="AE78" s="56">
        <v>43132</v>
      </c>
      <c r="AF78" s="56">
        <v>43160</v>
      </c>
      <c r="AG78" s="56">
        <v>43191</v>
      </c>
      <c r="AH78" s="56">
        <v>43221</v>
      </c>
      <c r="AI78" s="56">
        <v>43252</v>
      </c>
      <c r="AJ78" s="56">
        <v>43282</v>
      </c>
      <c r="AK78" s="56">
        <v>43313</v>
      </c>
      <c r="AL78" s="56">
        <v>43344</v>
      </c>
      <c r="AM78" s="56">
        <v>43374</v>
      </c>
      <c r="AN78" s="56">
        <v>43405</v>
      </c>
      <c r="AO78" s="56">
        <v>43435</v>
      </c>
      <c r="AP78" s="58"/>
    </row>
    <row r="79" spans="1:42" ht="16.5" x14ac:dyDescent="0.3">
      <c r="A79" s="54" t="s">
        <v>891</v>
      </c>
      <c r="B79" s="25">
        <f>SUMIF(Projetos_Ciclo!$B$3:$B$97,'Gráfico Tendência 2018-2022'!$A$78,Projetos_Ciclo!$Z$3:$Z$97)</f>
        <v>1618.0450029373167</v>
      </c>
      <c r="C79" s="25">
        <f>SUMIF(Projetos_Ciclo!$B$3:$B$97,'Gráfico Tendência 2018-2022'!$A$78,Projetos_Ciclo!$Z$3:$Z$97)</f>
        <v>1618.0450029373167</v>
      </c>
      <c r="D79" s="25">
        <f>SUMIF(Projetos_Ciclo!$B$3:$B$97,'Gráfico Tendência 2018-2022'!$A$78,Projetos_Ciclo!$Z$3:$Z$97)</f>
        <v>1618.0450029373167</v>
      </c>
      <c r="E79" s="25">
        <f>SUMIF(Projetos_Ciclo!$B$3:$B$97,'Gráfico Tendência 2018-2022'!$A$78,Projetos_Ciclo!$Z$3:$Z$97)</f>
        <v>1618.0450029373167</v>
      </c>
      <c r="F79" s="25">
        <f>SUMIF(Projetos_Ciclo!$B$3:$B$97,'Gráfico Tendência 2018-2022'!$A$78,Projetos_Ciclo!$Z$3:$Z$97)</f>
        <v>1618.0450029373167</v>
      </c>
      <c r="G79" s="25">
        <f>SUMIF(Projetos_Ciclo!$B$3:$B$97,'Gráfico Tendência 2018-2022'!$A$78,Projetos_Ciclo!$Z$3:$Z$97)</f>
        <v>1618.0450029373167</v>
      </c>
      <c r="H79" s="25">
        <f>SUMIF(Projetos_Ciclo!$B$3:$B$97,'Gráfico Tendência 2018-2022'!$A$78,Projetos_Ciclo!$Z$3:$Z$97)</f>
        <v>1618.0450029373167</v>
      </c>
      <c r="I79" s="25">
        <f>SUMIF(Projetos_Ciclo!$B$3:$B$97,'Gráfico Tendência 2018-2022'!$A$78,Projetos_Ciclo!$Z$3:$Z$97)</f>
        <v>1618.0450029373167</v>
      </c>
      <c r="J79" s="25">
        <f>SUMIF(Projetos_Ciclo!$B$3:$B$97,'Gráfico Tendência 2018-2022'!$A$78,Projetos_Ciclo!$Z$3:$Z$97)</f>
        <v>1618.0450029373167</v>
      </c>
      <c r="K79" s="25">
        <f>SUMIF(Projetos_Ciclo!$B$3:$B$97,'Gráfico Tendência 2018-2022'!$A$78,Projetos_Ciclo!$Z$3:$Z$97)</f>
        <v>1618.0450029373167</v>
      </c>
      <c r="L79" s="25">
        <f>SUMIF(Projetos_Ciclo!$B$3:$B$97,'Gráfico Tendência 2018-2022'!$A$78,Projetos_Ciclo!$Z$3:$Z$97)</f>
        <v>1618.0450029373167</v>
      </c>
      <c r="M79" s="25">
        <f>SUMIF(Projetos_Ciclo!$B$3:$B$97,'Gráfico Tendência 2018-2022'!$A$78,Projetos_Ciclo!$Z$3:$Z$97)</f>
        <v>1618.0450029373167</v>
      </c>
      <c r="N79" s="58"/>
      <c r="O79" s="54" t="s">
        <v>891</v>
      </c>
      <c r="P79" s="25">
        <f>SUMIF(Projetos_Ciclo!$B$3:$B$97,'Gráfico Tendência 2018-2022'!$O$78,Projetos_Ciclo!$Z$3:$Z$97)</f>
        <v>218.77999999999989</v>
      </c>
      <c r="Q79" s="25">
        <f>SUMIF(Projetos_Ciclo!$B$3:$B$97,'Gráfico Tendência 2018-2022'!$O$78,Projetos_Ciclo!$Z$3:$Z$97)</f>
        <v>218.77999999999989</v>
      </c>
      <c r="R79" s="25">
        <f>SUMIF(Projetos_Ciclo!$B$3:$B$97,'Gráfico Tendência 2018-2022'!$O$78,Projetos_Ciclo!$Z$3:$Z$97)</f>
        <v>218.77999999999989</v>
      </c>
      <c r="S79" s="25">
        <f>SUMIF(Projetos_Ciclo!$B$3:$B$97,'Gráfico Tendência 2018-2022'!$O$78,Projetos_Ciclo!$Z$3:$Z$97)</f>
        <v>218.77999999999989</v>
      </c>
      <c r="T79" s="25">
        <f>SUMIF(Projetos_Ciclo!$B$3:$B$97,'Gráfico Tendência 2018-2022'!$O$78,Projetos_Ciclo!$Z$3:$Z$97)</f>
        <v>218.77999999999989</v>
      </c>
      <c r="U79" s="25">
        <f>SUMIF(Projetos_Ciclo!$B$3:$B$97,'Gráfico Tendência 2018-2022'!$O$78,Projetos_Ciclo!$Z$3:$Z$97)</f>
        <v>218.77999999999989</v>
      </c>
      <c r="V79" s="25">
        <f>SUMIF(Projetos_Ciclo!$B$3:$B$97,'Gráfico Tendência 2018-2022'!$O$78,Projetos_Ciclo!$Z$3:$Z$97)</f>
        <v>218.77999999999989</v>
      </c>
      <c r="W79" s="25">
        <f>SUMIF(Projetos_Ciclo!$B$3:$B$97,'Gráfico Tendência 2018-2022'!$O$78,Projetos_Ciclo!$Z$3:$Z$97)</f>
        <v>218.77999999999989</v>
      </c>
      <c r="X79" s="25">
        <f>SUMIF(Projetos_Ciclo!$B$3:$B$97,'Gráfico Tendência 2018-2022'!$O$78,Projetos_Ciclo!$Z$3:$Z$97)</f>
        <v>218.77999999999989</v>
      </c>
      <c r="Y79" s="25">
        <f>SUMIF(Projetos_Ciclo!$B$3:$B$97,'Gráfico Tendência 2018-2022'!$O$78,Projetos_Ciclo!$Z$3:$Z$97)</f>
        <v>218.77999999999989</v>
      </c>
      <c r="Z79" s="25">
        <f>SUMIF(Projetos_Ciclo!$B$3:$B$97,'Gráfico Tendência 2018-2022'!$O$78,Projetos_Ciclo!$Z$3:$Z$97)</f>
        <v>218.77999999999989</v>
      </c>
      <c r="AA79" s="25">
        <f>SUMIF(Projetos_Ciclo!$B$3:$B$97,'Gráfico Tendência 2018-2022'!$O$78,Projetos_Ciclo!$Z$3:$Z$97)</f>
        <v>218.77999999999989</v>
      </c>
      <c r="AB79" s="58"/>
      <c r="AC79" s="54" t="s">
        <v>891</v>
      </c>
      <c r="AD79" s="25">
        <f>SUMIF(Projetos_Ciclo!$B$3:$B$97,'Gráfico Tendência 2018-2022'!$AC$78,Projetos_Ciclo!$Z$3:$Z$97)</f>
        <v>0</v>
      </c>
      <c r="AE79" s="25">
        <f>SUMIF(Projetos_Ciclo!$B$3:$B$97,'Gráfico Tendência 2018-2022'!$AC$78,Projetos_Ciclo!$Z$3:$Z$97)</f>
        <v>0</v>
      </c>
      <c r="AF79" s="25">
        <f>SUMIF(Projetos_Ciclo!$B$3:$B$97,'Gráfico Tendência 2018-2022'!$AC$78,Projetos_Ciclo!$Z$3:$Z$97)</f>
        <v>0</v>
      </c>
      <c r="AG79" s="25">
        <f>SUMIF(Projetos_Ciclo!$B$3:$B$97,'Gráfico Tendência 2018-2022'!$AC$78,Projetos_Ciclo!$Z$3:$Z$97)</f>
        <v>0</v>
      </c>
      <c r="AH79" s="25">
        <f>SUMIF(Projetos_Ciclo!$B$3:$B$97,'Gráfico Tendência 2018-2022'!$AC$78,Projetos_Ciclo!$Z$3:$Z$97)</f>
        <v>0</v>
      </c>
      <c r="AI79" s="25">
        <f>SUMIF(Projetos_Ciclo!$B$3:$B$97,'Gráfico Tendência 2018-2022'!$AC$78,Projetos_Ciclo!$Z$3:$Z$97)</f>
        <v>0</v>
      </c>
      <c r="AJ79" s="25">
        <f>SUMIF(Projetos_Ciclo!$B$3:$B$97,'Gráfico Tendência 2018-2022'!$AC$78,Projetos_Ciclo!$Z$3:$Z$97)</f>
        <v>0</v>
      </c>
      <c r="AK79" s="25">
        <f>SUMIF(Projetos_Ciclo!$B$3:$B$97,'Gráfico Tendência 2018-2022'!$AC$78,Projetos_Ciclo!$Z$3:$Z$97)</f>
        <v>0</v>
      </c>
      <c r="AL79" s="25">
        <f>SUMIF(Projetos_Ciclo!$B$3:$B$97,'Gráfico Tendência 2018-2022'!$AC$78,Projetos_Ciclo!$Z$3:$Z$97)</f>
        <v>0</v>
      </c>
      <c r="AM79" s="25">
        <f>SUMIF(Projetos_Ciclo!$B$3:$B$97,'Gráfico Tendência 2018-2022'!$AC$78,Projetos_Ciclo!$Z$3:$Z$97)</f>
        <v>0</v>
      </c>
      <c r="AN79" s="25">
        <f>SUMIF(Projetos_Ciclo!$B$3:$B$97,'Gráfico Tendência 2018-2022'!$AC$78,Projetos_Ciclo!$Z$3:$Z$97)</f>
        <v>0</v>
      </c>
      <c r="AO79" s="25">
        <f>SUMIF(Projetos_Ciclo!$B$3:$B$97,'Gráfico Tendência 2018-2022'!$AC$78,Projetos_Ciclo!$Z$3:$Z$97)</f>
        <v>0</v>
      </c>
      <c r="AP79" s="58"/>
    </row>
    <row r="80" spans="1:42" ht="16.5" x14ac:dyDescent="0.3">
      <c r="A80" s="55" t="s">
        <v>892</v>
      </c>
      <c r="B80" s="25">
        <f>B81</f>
        <v>0</v>
      </c>
      <c r="C80" s="25">
        <f>B80+C81</f>
        <v>0</v>
      </c>
      <c r="D80" s="25">
        <f>C80+D81</f>
        <v>0</v>
      </c>
      <c r="E80" s="25">
        <f>D80+E81</f>
        <v>0</v>
      </c>
      <c r="F80" s="25">
        <f>E80+F81</f>
        <v>0</v>
      </c>
      <c r="G80" s="25">
        <f t="shared" ref="G80" si="25">F80+G81</f>
        <v>0</v>
      </c>
      <c r="H80" s="25">
        <f t="shared" ref="H80" si="26">G80+H81</f>
        <v>0</v>
      </c>
      <c r="I80" s="25">
        <f t="shared" ref="I80" si="27">H80+I81</f>
        <v>0</v>
      </c>
      <c r="J80" s="25">
        <f t="shared" ref="J80" si="28">I80+J81</f>
        <v>0</v>
      </c>
      <c r="K80" s="25">
        <f t="shared" ref="K80" si="29">J80+K81</f>
        <v>0</v>
      </c>
      <c r="L80" s="25">
        <f t="shared" ref="L80" si="30">K80+L81</f>
        <v>0</v>
      </c>
      <c r="M80" s="25">
        <f t="shared" ref="M80" si="31">L80+M81</f>
        <v>0</v>
      </c>
      <c r="N80" s="58"/>
      <c r="O80" s="55" t="s">
        <v>892</v>
      </c>
      <c r="P80" s="25">
        <f>P81</f>
        <v>0</v>
      </c>
      <c r="Q80" s="25">
        <f>P80+Q81</f>
        <v>0</v>
      </c>
      <c r="R80" s="25">
        <f>Q80+R81</f>
        <v>0</v>
      </c>
      <c r="S80" s="25">
        <f>R80+S81</f>
        <v>0</v>
      </c>
      <c r="T80" s="25">
        <f>S80+T81</f>
        <v>0</v>
      </c>
      <c r="U80" s="25">
        <f t="shared" ref="U80:AA80" si="32">T80+U81</f>
        <v>0</v>
      </c>
      <c r="V80" s="25">
        <f t="shared" si="32"/>
        <v>0</v>
      </c>
      <c r="W80" s="25">
        <f t="shared" si="32"/>
        <v>0</v>
      </c>
      <c r="X80" s="25">
        <f t="shared" si="32"/>
        <v>0</v>
      </c>
      <c r="Y80" s="25">
        <f t="shared" si="32"/>
        <v>0</v>
      </c>
      <c r="Z80" s="25">
        <f t="shared" si="32"/>
        <v>0</v>
      </c>
      <c r="AA80" s="25">
        <f t="shared" si="32"/>
        <v>0</v>
      </c>
      <c r="AB80" s="58"/>
      <c r="AC80" s="55" t="s">
        <v>892</v>
      </c>
      <c r="AD80" s="25">
        <f>AD81</f>
        <v>0</v>
      </c>
      <c r="AE80" s="25">
        <f>AD80+AE81</f>
        <v>0</v>
      </c>
      <c r="AF80" s="25">
        <f>AE80+AF81</f>
        <v>0</v>
      </c>
      <c r="AG80" s="25">
        <f>AF80+AG81</f>
        <v>0</v>
      </c>
      <c r="AH80" s="25">
        <f>AG80+AH81</f>
        <v>0</v>
      </c>
      <c r="AI80" s="25">
        <f t="shared" ref="AI80:AO80" si="33">AH80+AI81</f>
        <v>0</v>
      </c>
      <c r="AJ80" s="25">
        <f t="shared" si="33"/>
        <v>0</v>
      </c>
      <c r="AK80" s="25">
        <f t="shared" si="33"/>
        <v>0</v>
      </c>
      <c r="AL80" s="25">
        <f t="shared" si="33"/>
        <v>0</v>
      </c>
      <c r="AM80" s="25">
        <f t="shared" si="33"/>
        <v>0</v>
      </c>
      <c r="AN80" s="25">
        <f t="shared" si="33"/>
        <v>0</v>
      </c>
      <c r="AO80" s="25">
        <f t="shared" si="33"/>
        <v>0</v>
      </c>
      <c r="AP80" s="58"/>
    </row>
    <row r="81" spans="1:42" ht="16.5" x14ac:dyDescent="0.3">
      <c r="A81" s="55" t="s">
        <v>919</v>
      </c>
      <c r="B81" s="25"/>
      <c r="C81" s="25"/>
      <c r="D81" s="25"/>
      <c r="E81" s="25"/>
      <c r="F81" s="25"/>
      <c r="G81" s="57"/>
      <c r="H81" s="57"/>
      <c r="I81" s="57"/>
      <c r="J81" s="57"/>
      <c r="K81" s="57"/>
      <c r="L81" s="57"/>
      <c r="M81" s="57"/>
      <c r="N81" s="58"/>
      <c r="O81" s="55" t="s">
        <v>919</v>
      </c>
      <c r="P81" s="25"/>
      <c r="Q81" s="25"/>
      <c r="R81" s="25"/>
      <c r="S81" s="25"/>
      <c r="T81" s="25"/>
      <c r="U81" s="57"/>
      <c r="V81" s="57"/>
      <c r="W81" s="57"/>
      <c r="X81" s="57"/>
      <c r="Y81" s="57"/>
      <c r="Z81" s="57"/>
      <c r="AA81" s="57"/>
      <c r="AB81" s="58"/>
      <c r="AC81" s="55" t="s">
        <v>919</v>
      </c>
      <c r="AD81" s="25"/>
      <c r="AE81" s="25"/>
      <c r="AF81" s="25"/>
      <c r="AG81" s="25"/>
      <c r="AH81" s="25"/>
      <c r="AI81" s="57"/>
      <c r="AJ81" s="57"/>
      <c r="AK81" s="57"/>
      <c r="AL81" s="57"/>
      <c r="AM81" s="57"/>
      <c r="AN81" s="57"/>
      <c r="AO81" s="57"/>
      <c r="AP81" s="58"/>
    </row>
    <row r="82" spans="1:42" ht="16.5" x14ac:dyDescent="0.3">
      <c r="A82" s="55" t="s">
        <v>920</v>
      </c>
      <c r="B82" s="25"/>
      <c r="C82" s="25"/>
      <c r="D82" s="25"/>
      <c r="E82" s="25"/>
      <c r="F82" s="25"/>
      <c r="G82" s="25"/>
      <c r="H82" s="25"/>
      <c r="I82" s="25"/>
      <c r="J82" s="25"/>
      <c r="K82" s="25"/>
      <c r="L82" s="25"/>
      <c r="M82" s="25"/>
      <c r="N82" s="58"/>
      <c r="O82" s="55" t="s">
        <v>920</v>
      </c>
      <c r="P82" s="25"/>
      <c r="Q82" s="25"/>
      <c r="R82" s="25"/>
      <c r="S82" s="25"/>
      <c r="T82" s="25"/>
      <c r="U82" s="25"/>
      <c r="V82" s="25"/>
      <c r="W82" s="25"/>
      <c r="X82" s="25"/>
      <c r="Y82" s="25"/>
      <c r="Z82" s="25"/>
      <c r="AA82" s="25"/>
      <c r="AB82" s="58"/>
      <c r="AP82" s="58"/>
    </row>
    <row r="83" spans="1:42" x14ac:dyDescent="0.25">
      <c r="N83" s="58"/>
      <c r="AB83" s="58"/>
      <c r="AP83" s="58"/>
    </row>
    <row r="84" spans="1:42" x14ac:dyDescent="0.25">
      <c r="N84" s="58"/>
      <c r="AB84" s="58"/>
      <c r="AP84" s="58"/>
    </row>
    <row r="85" spans="1:42" x14ac:dyDescent="0.25">
      <c r="N85" s="58"/>
      <c r="AB85" s="58"/>
      <c r="AP85" s="58"/>
    </row>
    <row r="86" spans="1:42" x14ac:dyDescent="0.25">
      <c r="N86" s="58"/>
      <c r="AB86" s="58"/>
      <c r="AP86" s="58"/>
    </row>
    <row r="87" spans="1:42" x14ac:dyDescent="0.25">
      <c r="N87" s="58"/>
      <c r="AB87" s="58"/>
      <c r="AP87" s="58"/>
    </row>
    <row r="88" spans="1:42" x14ac:dyDescent="0.25">
      <c r="N88" s="58"/>
      <c r="AB88" s="58"/>
      <c r="AP88" s="58"/>
    </row>
    <row r="89" spans="1:42" x14ac:dyDescent="0.25">
      <c r="N89" s="58"/>
      <c r="AB89" s="58"/>
      <c r="AP89" s="58"/>
    </row>
    <row r="90" spans="1:42" x14ac:dyDescent="0.25">
      <c r="N90" s="58"/>
      <c r="AB90" s="58"/>
      <c r="AP90" s="58"/>
    </row>
    <row r="91" spans="1:42" x14ac:dyDescent="0.25">
      <c r="N91" s="58"/>
      <c r="AB91" s="58"/>
      <c r="AP91" s="58"/>
    </row>
    <row r="92" spans="1:42" x14ac:dyDescent="0.25">
      <c r="N92" s="58"/>
      <c r="AB92" s="58"/>
      <c r="AP92" s="58"/>
    </row>
    <row r="93" spans="1:42" x14ac:dyDescent="0.25">
      <c r="N93" s="58"/>
      <c r="AB93" s="58"/>
      <c r="AP93" s="58"/>
    </row>
    <row r="94" spans="1:42" x14ac:dyDescent="0.25">
      <c r="N94" s="58"/>
      <c r="AB94" s="58"/>
      <c r="AP94" s="58"/>
    </row>
    <row r="95" spans="1:42" x14ac:dyDescent="0.25">
      <c r="N95" s="58"/>
      <c r="AB95" s="58"/>
      <c r="AP95" s="58"/>
    </row>
    <row r="96" spans="1:42" x14ac:dyDescent="0.25">
      <c r="N96" s="58"/>
      <c r="AB96" s="58"/>
      <c r="AP96" s="58"/>
    </row>
    <row r="97" spans="1:42" x14ac:dyDescent="0.25">
      <c r="N97" s="58"/>
      <c r="AB97" s="58"/>
      <c r="AP97" s="58"/>
    </row>
    <row r="98" spans="1:42" x14ac:dyDescent="0.25">
      <c r="N98" s="58"/>
      <c r="AB98" s="58"/>
      <c r="AP98" s="58"/>
    </row>
    <row r="99" spans="1:42" x14ac:dyDescent="0.25">
      <c r="N99" s="58"/>
      <c r="AB99" s="58"/>
      <c r="AP99" s="58"/>
    </row>
    <row r="100" spans="1:42" x14ac:dyDescent="0.25">
      <c r="N100" s="58"/>
      <c r="AB100" s="58"/>
      <c r="AP100" s="58"/>
    </row>
    <row r="101" spans="1:42" x14ac:dyDescent="0.25">
      <c r="N101" s="58"/>
      <c r="AB101" s="58"/>
      <c r="AP101" s="58"/>
    </row>
    <row r="102" spans="1:42" ht="18" x14ac:dyDescent="0.25">
      <c r="A102" s="502" t="s">
        <v>897</v>
      </c>
      <c r="B102" s="502"/>
      <c r="C102" s="502"/>
      <c r="D102" s="502"/>
      <c r="E102" s="502"/>
      <c r="F102" s="502"/>
      <c r="G102" s="502"/>
      <c r="H102" s="502"/>
      <c r="I102" s="502"/>
      <c r="J102" s="502"/>
      <c r="K102" s="503" t="s">
        <v>918</v>
      </c>
      <c r="L102" s="503"/>
      <c r="M102" s="503"/>
      <c r="N102" s="58"/>
      <c r="O102" s="502" t="s">
        <v>917</v>
      </c>
      <c r="P102" s="502"/>
      <c r="Q102" s="502"/>
      <c r="R102" s="502"/>
      <c r="S102" s="502"/>
      <c r="T102" s="502"/>
      <c r="U102" s="502"/>
      <c r="V102" s="502"/>
      <c r="W102" s="502"/>
      <c r="X102" s="502"/>
      <c r="Y102" s="503" t="s">
        <v>918</v>
      </c>
      <c r="Z102" s="503"/>
      <c r="AA102" s="503"/>
      <c r="AB102" s="58"/>
      <c r="AC102" s="502" t="s">
        <v>911</v>
      </c>
      <c r="AD102" s="502"/>
      <c r="AE102" s="502"/>
      <c r="AF102" s="502"/>
      <c r="AG102" s="502"/>
      <c r="AH102" s="502"/>
      <c r="AI102" s="502"/>
      <c r="AJ102" s="502"/>
      <c r="AK102" s="502"/>
      <c r="AL102" s="502"/>
      <c r="AM102" s="503" t="s">
        <v>918</v>
      </c>
      <c r="AN102" s="503"/>
      <c r="AO102" s="503"/>
      <c r="AP102" s="58"/>
    </row>
    <row r="103" spans="1:42" ht="16.5" x14ac:dyDescent="0.3">
      <c r="A103" s="24" t="s">
        <v>40</v>
      </c>
      <c r="B103" s="56">
        <v>43101</v>
      </c>
      <c r="C103" s="56">
        <v>43132</v>
      </c>
      <c r="D103" s="56">
        <v>43160</v>
      </c>
      <c r="E103" s="56">
        <v>43191</v>
      </c>
      <c r="F103" s="56">
        <v>43221</v>
      </c>
      <c r="G103" s="56">
        <v>43252</v>
      </c>
      <c r="H103" s="56">
        <v>43282</v>
      </c>
      <c r="I103" s="56">
        <v>43313</v>
      </c>
      <c r="J103" s="56">
        <v>43344</v>
      </c>
      <c r="K103" s="56">
        <v>43374</v>
      </c>
      <c r="L103" s="56">
        <v>43405</v>
      </c>
      <c r="M103" s="56">
        <v>43435</v>
      </c>
      <c r="N103" s="58"/>
      <c r="O103" s="24" t="s">
        <v>592</v>
      </c>
      <c r="P103" s="56">
        <v>43101</v>
      </c>
      <c r="Q103" s="56">
        <v>43132</v>
      </c>
      <c r="R103" s="56">
        <v>43160</v>
      </c>
      <c r="S103" s="56">
        <v>43191</v>
      </c>
      <c r="T103" s="56">
        <v>43221</v>
      </c>
      <c r="U103" s="56">
        <v>43252</v>
      </c>
      <c r="V103" s="56">
        <v>43282</v>
      </c>
      <c r="W103" s="56">
        <v>43313</v>
      </c>
      <c r="X103" s="56">
        <v>43344</v>
      </c>
      <c r="Y103" s="56">
        <v>43374</v>
      </c>
      <c r="Z103" s="56">
        <v>43405</v>
      </c>
      <c r="AA103" s="56">
        <v>43435</v>
      </c>
      <c r="AB103" s="58"/>
      <c r="AC103" s="24" t="s">
        <v>34</v>
      </c>
      <c r="AD103" s="56">
        <v>43101</v>
      </c>
      <c r="AE103" s="56">
        <v>43132</v>
      </c>
      <c r="AF103" s="56">
        <v>43160</v>
      </c>
      <c r="AG103" s="56">
        <v>43191</v>
      </c>
      <c r="AH103" s="56">
        <v>43221</v>
      </c>
      <c r="AI103" s="56">
        <v>43252</v>
      </c>
      <c r="AJ103" s="56">
        <v>43282</v>
      </c>
      <c r="AK103" s="56">
        <v>43313</v>
      </c>
      <c r="AL103" s="56">
        <v>43344</v>
      </c>
      <c r="AM103" s="56">
        <v>43374</v>
      </c>
      <c r="AN103" s="56">
        <v>43405</v>
      </c>
      <c r="AO103" s="56">
        <v>43435</v>
      </c>
      <c r="AP103" s="58"/>
    </row>
    <row r="104" spans="1:42" ht="16.5" x14ac:dyDescent="0.3">
      <c r="A104" s="54" t="s">
        <v>891</v>
      </c>
      <c r="B104" s="25">
        <f>SUMIF(Projetos_Ciclo!$B$3:$B$97,'Gráfico Tendência 2018-2022'!$A$103,Projetos_Ciclo!$Z$3:$Z$97)</f>
        <v>0</v>
      </c>
      <c r="C104" s="25">
        <f>SUMIF(Projetos_Ciclo!$B$3:$B$97,'Gráfico Tendência 2018-2022'!$A$103,Projetos_Ciclo!$Z$3:$Z$97)</f>
        <v>0</v>
      </c>
      <c r="D104" s="25">
        <f>SUMIF(Projetos_Ciclo!$B$3:$B$97,'Gráfico Tendência 2018-2022'!$A$103,Projetos_Ciclo!$Z$3:$Z$97)</f>
        <v>0</v>
      </c>
      <c r="E104" s="25">
        <f>SUMIF(Projetos_Ciclo!$B$3:$B$97,'Gráfico Tendência 2018-2022'!$A$103,Projetos_Ciclo!$Z$3:$Z$97)</f>
        <v>0</v>
      </c>
      <c r="F104" s="25">
        <f>SUMIF(Projetos_Ciclo!$B$3:$B$97,'Gráfico Tendência 2018-2022'!$A$103,Projetos_Ciclo!$Z$3:$Z$97)</f>
        <v>0</v>
      </c>
      <c r="G104" s="25">
        <f>SUMIF(Projetos_Ciclo!$B$3:$B$97,'Gráfico Tendência 2018-2022'!$A$103,Projetos_Ciclo!$Z$3:$Z$97)</f>
        <v>0</v>
      </c>
      <c r="H104" s="25">
        <f>SUMIF(Projetos_Ciclo!$B$3:$B$97,'Gráfico Tendência 2018-2022'!$A$103,Projetos_Ciclo!$Z$3:$Z$97)</f>
        <v>0</v>
      </c>
      <c r="I104" s="25">
        <f>SUMIF(Projetos_Ciclo!$B$3:$B$97,'Gráfico Tendência 2018-2022'!$A$103,Projetos_Ciclo!$Z$3:$Z$97)</f>
        <v>0</v>
      </c>
      <c r="J104" s="25">
        <f>SUMIF(Projetos_Ciclo!$B$3:$B$97,'Gráfico Tendência 2018-2022'!$A$103,Projetos_Ciclo!$Z$3:$Z$97)</f>
        <v>0</v>
      </c>
      <c r="K104" s="25">
        <f>SUMIF(Projetos_Ciclo!$B$3:$B$97,'Gráfico Tendência 2018-2022'!$A$103,Projetos_Ciclo!$Z$3:$Z$97)</f>
        <v>0</v>
      </c>
      <c r="L104" s="25">
        <f>SUMIF(Projetos_Ciclo!$B$3:$B$97,'Gráfico Tendência 2018-2022'!$A$103,Projetos_Ciclo!$Z$3:$Z$97)</f>
        <v>0</v>
      </c>
      <c r="M104" s="25">
        <f>SUMIF(Projetos_Ciclo!$B$3:$B$97,'Gráfico Tendência 2018-2022'!$A$103,Projetos_Ciclo!$Z$3:$Z$97)</f>
        <v>0</v>
      </c>
      <c r="N104" s="58"/>
      <c r="O104" s="54" t="s">
        <v>891</v>
      </c>
      <c r="P104" s="25">
        <f>SUMIF(Projetos_Ciclo!$B$3:$B$97,'Gráfico Tendência 2018-2022'!$O$103,Projetos_Ciclo!$Z$3:$Z$97)</f>
        <v>0</v>
      </c>
      <c r="Q104" s="25">
        <f>SUMIF(Projetos_Ciclo!$B$3:$B$97,'Gráfico Tendência 2018-2022'!$O$103,Projetos_Ciclo!$Z$3:$Z$97)</f>
        <v>0</v>
      </c>
      <c r="R104" s="25">
        <f>SUMIF(Projetos_Ciclo!$B$3:$B$97,'Gráfico Tendência 2018-2022'!$O$103,Projetos_Ciclo!$Z$3:$Z$97)</f>
        <v>0</v>
      </c>
      <c r="S104" s="25">
        <f>SUMIF(Projetos_Ciclo!$B$3:$B$97,'Gráfico Tendência 2018-2022'!$O$103,Projetos_Ciclo!$Z$3:$Z$97)</f>
        <v>0</v>
      </c>
      <c r="T104" s="25">
        <f>SUMIF(Projetos_Ciclo!$B$3:$B$97,'Gráfico Tendência 2018-2022'!$O$103,Projetos_Ciclo!$Z$3:$Z$97)</f>
        <v>0</v>
      </c>
      <c r="U104" s="25">
        <f>SUMIF(Projetos_Ciclo!$B$3:$B$97,'Gráfico Tendência 2018-2022'!$O$103,Projetos_Ciclo!$Z$3:$Z$97)</f>
        <v>0</v>
      </c>
      <c r="V104" s="25">
        <f>SUMIF(Projetos_Ciclo!$B$3:$B$97,'Gráfico Tendência 2018-2022'!$O$103,Projetos_Ciclo!$Z$3:$Z$97)</f>
        <v>0</v>
      </c>
      <c r="W104" s="25">
        <f>SUMIF(Projetos_Ciclo!$B$3:$B$97,'Gráfico Tendência 2018-2022'!$O$103,Projetos_Ciclo!$Z$3:$Z$97)</f>
        <v>0</v>
      </c>
      <c r="X104" s="25">
        <f>SUMIF(Projetos_Ciclo!$B$3:$B$97,'Gráfico Tendência 2018-2022'!$O$103,Projetos_Ciclo!$Z$3:$Z$97)</f>
        <v>0</v>
      </c>
      <c r="Y104" s="25">
        <f>SUMIF(Projetos_Ciclo!$B$3:$B$97,'Gráfico Tendência 2018-2022'!$O$103,Projetos_Ciclo!$Z$3:$Z$97)</f>
        <v>0</v>
      </c>
      <c r="Z104" s="25">
        <f>SUMIF(Projetos_Ciclo!$B$3:$B$97,'Gráfico Tendência 2018-2022'!$O$103,Projetos_Ciclo!$Z$3:$Z$97)</f>
        <v>0</v>
      </c>
      <c r="AA104" s="25">
        <f>SUMIF(Projetos_Ciclo!$B$3:$B$97,'Gráfico Tendência 2018-2022'!$O$103,Projetos_Ciclo!$Z$3:$Z$97)</f>
        <v>0</v>
      </c>
      <c r="AB104" s="58"/>
      <c r="AC104" s="54" t="s">
        <v>891</v>
      </c>
      <c r="AD104" s="25">
        <f>SUMIF(Projetos_Ciclo!$B$3:$B$97,'Gráfico Tendência 2018-2022'!$AC$103,Projetos_Ciclo!$Z$3:$Z$97)</f>
        <v>0</v>
      </c>
      <c r="AE104" s="25">
        <f>SUMIF(Projetos_Ciclo!$B$3:$B$97,'Gráfico Tendência 2018-2022'!$AC$103,Projetos_Ciclo!$Z$3:$Z$97)</f>
        <v>0</v>
      </c>
      <c r="AF104" s="25">
        <f>SUMIF(Projetos_Ciclo!$B$3:$B$97,'Gráfico Tendência 2018-2022'!$AC$103,Projetos_Ciclo!$Z$3:$Z$97)</f>
        <v>0</v>
      </c>
      <c r="AG104" s="25">
        <f>SUMIF(Projetos_Ciclo!$B$3:$B$97,'Gráfico Tendência 2018-2022'!$AC$103,Projetos_Ciclo!$Z$3:$Z$97)</f>
        <v>0</v>
      </c>
      <c r="AH104" s="25">
        <f>SUMIF(Projetos_Ciclo!$B$3:$B$97,'Gráfico Tendência 2018-2022'!$AC$103,Projetos_Ciclo!$Z$3:$Z$97)</f>
        <v>0</v>
      </c>
      <c r="AI104" s="25">
        <f>SUMIF(Projetos_Ciclo!$B$3:$B$97,'Gráfico Tendência 2018-2022'!$AC$103,Projetos_Ciclo!$Z$3:$Z$97)</f>
        <v>0</v>
      </c>
      <c r="AJ104" s="25">
        <f>SUMIF(Projetos_Ciclo!$B$3:$B$97,'Gráfico Tendência 2018-2022'!$AC$103,Projetos_Ciclo!$Z$3:$Z$97)</f>
        <v>0</v>
      </c>
      <c r="AK104" s="25">
        <f>SUMIF(Projetos_Ciclo!$B$3:$B$97,'Gráfico Tendência 2018-2022'!$AC$103,Projetos_Ciclo!$Z$3:$Z$97)</f>
        <v>0</v>
      </c>
      <c r="AL104" s="25">
        <f>SUMIF(Projetos_Ciclo!$B$3:$B$97,'Gráfico Tendência 2018-2022'!$AC$103,Projetos_Ciclo!$Z$3:$Z$97)</f>
        <v>0</v>
      </c>
      <c r="AM104" s="25">
        <f>SUMIF(Projetos_Ciclo!$B$3:$B$97,'Gráfico Tendência 2018-2022'!$AC$103,Projetos_Ciclo!$Z$3:$Z$97)</f>
        <v>0</v>
      </c>
      <c r="AN104" s="25">
        <f>SUMIF(Projetos_Ciclo!$B$3:$B$97,'Gráfico Tendência 2018-2022'!$AC$103,Projetos_Ciclo!$Z$3:$Z$97)</f>
        <v>0</v>
      </c>
      <c r="AO104" s="25">
        <f>SUMIF(Projetos_Ciclo!$B$3:$B$97,'Gráfico Tendência 2018-2022'!$AC$103,Projetos_Ciclo!$Z$3:$Z$97)</f>
        <v>0</v>
      </c>
      <c r="AP104" s="58"/>
    </row>
    <row r="105" spans="1:42" ht="16.5" x14ac:dyDescent="0.3">
      <c r="A105" s="55" t="s">
        <v>892</v>
      </c>
      <c r="B105" s="25">
        <f>B106</f>
        <v>0</v>
      </c>
      <c r="C105" s="25">
        <f>B105+C106</f>
        <v>0</v>
      </c>
      <c r="D105" s="25">
        <f>C105+D106</f>
        <v>0</v>
      </c>
      <c r="E105" s="25">
        <f>D105+E106</f>
        <v>0</v>
      </c>
      <c r="F105" s="25">
        <f>E105+F106</f>
        <v>0</v>
      </c>
      <c r="G105" s="25">
        <f t="shared" ref="G105" si="34">F105+G106</f>
        <v>0</v>
      </c>
      <c r="H105" s="25">
        <f t="shared" ref="H105" si="35">G105+H106</f>
        <v>0</v>
      </c>
      <c r="I105" s="25">
        <f t="shared" ref="I105" si="36">H105+I106</f>
        <v>0</v>
      </c>
      <c r="J105" s="25">
        <f t="shared" ref="J105" si="37">I105+J106</f>
        <v>0</v>
      </c>
      <c r="K105" s="25">
        <f t="shared" ref="K105" si="38">J105+K106</f>
        <v>0</v>
      </c>
      <c r="L105" s="25">
        <f t="shared" ref="L105" si="39">K105+L106</f>
        <v>0</v>
      </c>
      <c r="M105" s="25">
        <f t="shared" ref="M105" si="40">L105+M106</f>
        <v>0</v>
      </c>
      <c r="N105" s="58"/>
      <c r="O105" s="55" t="s">
        <v>892</v>
      </c>
      <c r="P105" s="25">
        <f>P106</f>
        <v>0</v>
      </c>
      <c r="Q105" s="25">
        <f>P105+Q106</f>
        <v>0</v>
      </c>
      <c r="R105" s="25">
        <f>Q105+R106</f>
        <v>0</v>
      </c>
      <c r="S105" s="25">
        <f>R105+S106</f>
        <v>0</v>
      </c>
      <c r="T105" s="25">
        <f>S105+T106</f>
        <v>0</v>
      </c>
      <c r="U105" s="25">
        <f t="shared" ref="U105:AA105" si="41">T105+U106</f>
        <v>0</v>
      </c>
      <c r="V105" s="25">
        <f t="shared" si="41"/>
        <v>0</v>
      </c>
      <c r="W105" s="25">
        <f t="shared" si="41"/>
        <v>0</v>
      </c>
      <c r="X105" s="25">
        <f t="shared" si="41"/>
        <v>0</v>
      </c>
      <c r="Y105" s="25">
        <f t="shared" si="41"/>
        <v>0</v>
      </c>
      <c r="Z105" s="25">
        <f t="shared" si="41"/>
        <v>0</v>
      </c>
      <c r="AA105" s="25">
        <f t="shared" si="41"/>
        <v>0</v>
      </c>
      <c r="AB105" s="58"/>
      <c r="AC105" s="55" t="s">
        <v>892</v>
      </c>
      <c r="AD105" s="25">
        <f>AD106</f>
        <v>0</v>
      </c>
      <c r="AE105" s="25">
        <f>AD105+AE106</f>
        <v>0</v>
      </c>
      <c r="AF105" s="25">
        <f>AE105+AF106</f>
        <v>0</v>
      </c>
      <c r="AG105" s="25">
        <f>AF105+AG106</f>
        <v>0</v>
      </c>
      <c r="AH105" s="25">
        <f>AG105+AH106</f>
        <v>0</v>
      </c>
      <c r="AI105" s="25">
        <f t="shared" ref="AI105:AO105" si="42">AH105+AI106</f>
        <v>0</v>
      </c>
      <c r="AJ105" s="25">
        <f t="shared" si="42"/>
        <v>0</v>
      </c>
      <c r="AK105" s="25">
        <f t="shared" si="42"/>
        <v>0</v>
      </c>
      <c r="AL105" s="25">
        <f t="shared" si="42"/>
        <v>0</v>
      </c>
      <c r="AM105" s="25">
        <f t="shared" si="42"/>
        <v>0</v>
      </c>
      <c r="AN105" s="25">
        <f t="shared" si="42"/>
        <v>0</v>
      </c>
      <c r="AO105" s="25">
        <f t="shared" si="42"/>
        <v>0</v>
      </c>
      <c r="AP105" s="58"/>
    </row>
    <row r="106" spans="1:42" ht="16.5" x14ac:dyDescent="0.3">
      <c r="A106" s="55" t="s">
        <v>919</v>
      </c>
      <c r="B106" s="25"/>
      <c r="C106" s="25"/>
      <c r="D106" s="25"/>
      <c r="E106" s="25"/>
      <c r="F106" s="25"/>
      <c r="G106" s="57"/>
      <c r="H106" s="57"/>
      <c r="I106" s="57"/>
      <c r="J106" s="57"/>
      <c r="K106" s="57"/>
      <c r="L106" s="57"/>
      <c r="M106" s="57"/>
      <c r="N106" s="58"/>
      <c r="O106" s="55" t="s">
        <v>919</v>
      </c>
      <c r="P106" s="25"/>
      <c r="Q106" s="25"/>
      <c r="R106" s="25"/>
      <c r="S106" s="25"/>
      <c r="T106" s="25"/>
      <c r="U106" s="57"/>
      <c r="V106" s="57"/>
      <c r="W106" s="57"/>
      <c r="X106" s="57"/>
      <c r="Y106" s="57"/>
      <c r="Z106" s="57"/>
      <c r="AA106" s="57"/>
      <c r="AB106" s="58"/>
      <c r="AC106" s="55" t="s">
        <v>919</v>
      </c>
      <c r="AD106" s="25"/>
      <c r="AE106" s="25"/>
      <c r="AF106" s="25"/>
      <c r="AG106" s="25"/>
      <c r="AH106" s="25"/>
      <c r="AI106" s="57"/>
      <c r="AJ106" s="57"/>
      <c r="AK106" s="57"/>
      <c r="AL106" s="57"/>
      <c r="AM106" s="57"/>
      <c r="AN106" s="57"/>
      <c r="AO106" s="57"/>
      <c r="AP106" s="58"/>
    </row>
    <row r="107" spans="1:42" ht="16.5" x14ac:dyDescent="0.3">
      <c r="A107" s="55" t="s">
        <v>920</v>
      </c>
      <c r="B107" s="25"/>
      <c r="C107" s="25"/>
      <c r="D107" s="25"/>
      <c r="E107" s="25"/>
      <c r="F107" s="25"/>
      <c r="G107" s="25"/>
      <c r="H107" s="25"/>
      <c r="I107" s="25"/>
      <c r="J107" s="25"/>
      <c r="K107" s="25"/>
      <c r="L107" s="25"/>
      <c r="M107" s="25"/>
      <c r="N107" s="58"/>
      <c r="O107" s="55" t="s">
        <v>920</v>
      </c>
      <c r="P107" s="25"/>
      <c r="Q107" s="25"/>
      <c r="R107" s="25"/>
      <c r="S107" s="25"/>
      <c r="T107" s="25"/>
      <c r="U107" s="25"/>
      <c r="V107" s="25"/>
      <c r="W107" s="25"/>
      <c r="X107" s="25"/>
      <c r="Y107" s="25"/>
      <c r="Z107" s="25"/>
      <c r="AA107" s="25"/>
      <c r="AB107" s="58"/>
      <c r="AP107" s="58"/>
    </row>
    <row r="108" spans="1:42" x14ac:dyDescent="0.25">
      <c r="N108" s="58"/>
      <c r="AB108" s="58"/>
      <c r="AP108" s="58"/>
    </row>
    <row r="109" spans="1:42" x14ac:dyDescent="0.25">
      <c r="N109" s="58"/>
      <c r="AB109" s="58"/>
      <c r="AP109" s="58"/>
    </row>
    <row r="110" spans="1:42" x14ac:dyDescent="0.25">
      <c r="N110" s="58"/>
      <c r="AB110" s="58"/>
      <c r="AP110" s="58"/>
    </row>
    <row r="111" spans="1:42" x14ac:dyDescent="0.25">
      <c r="N111" s="58"/>
      <c r="AB111" s="58"/>
      <c r="AP111" s="58"/>
    </row>
    <row r="112" spans="1:42" x14ac:dyDescent="0.25">
      <c r="N112" s="58"/>
      <c r="AB112" s="58"/>
      <c r="AP112" s="58"/>
    </row>
    <row r="113" spans="1:42" x14ac:dyDescent="0.25">
      <c r="N113" s="58"/>
      <c r="AB113" s="58"/>
      <c r="AP113" s="58"/>
    </row>
    <row r="114" spans="1:42" x14ac:dyDescent="0.25">
      <c r="N114" s="58"/>
      <c r="AB114" s="58"/>
      <c r="AP114" s="58"/>
    </row>
    <row r="115" spans="1:42" x14ac:dyDescent="0.25">
      <c r="N115" s="58"/>
      <c r="AB115" s="58"/>
      <c r="AP115" s="58"/>
    </row>
    <row r="116" spans="1:42" x14ac:dyDescent="0.25">
      <c r="N116" s="58"/>
      <c r="AB116" s="58"/>
      <c r="AP116" s="58"/>
    </row>
    <row r="117" spans="1:42" x14ac:dyDescent="0.25">
      <c r="N117" s="58"/>
      <c r="AB117" s="58"/>
      <c r="AP117" s="58"/>
    </row>
    <row r="118" spans="1:42" x14ac:dyDescent="0.25">
      <c r="N118" s="58"/>
      <c r="AB118" s="58"/>
      <c r="AP118" s="58"/>
    </row>
    <row r="119" spans="1:42" x14ac:dyDescent="0.25">
      <c r="N119" s="58"/>
      <c r="AB119" s="58"/>
      <c r="AP119" s="58"/>
    </row>
    <row r="120" spans="1:42" x14ac:dyDescent="0.25">
      <c r="N120" s="58"/>
      <c r="AB120" s="58"/>
      <c r="AP120" s="58"/>
    </row>
    <row r="121" spans="1:42" x14ac:dyDescent="0.25">
      <c r="N121" s="58"/>
      <c r="AB121" s="58"/>
      <c r="AP121" s="58"/>
    </row>
    <row r="122" spans="1:42" x14ac:dyDescent="0.25">
      <c r="N122" s="58"/>
      <c r="AB122" s="58"/>
      <c r="AP122" s="58"/>
    </row>
    <row r="123" spans="1:42" x14ac:dyDescent="0.25">
      <c r="N123" s="58"/>
      <c r="AB123" s="58"/>
      <c r="AP123" s="58"/>
    </row>
    <row r="124" spans="1:42" x14ac:dyDescent="0.25">
      <c r="N124" s="58"/>
      <c r="AB124" s="58"/>
      <c r="AP124" s="58"/>
    </row>
    <row r="125" spans="1:42" x14ac:dyDescent="0.25">
      <c r="N125" s="58"/>
      <c r="AB125" s="58"/>
      <c r="AP125" s="58"/>
    </row>
    <row r="126" spans="1:42" x14ac:dyDescent="0.25">
      <c r="N126" s="58"/>
      <c r="AB126" s="58"/>
      <c r="AP126" s="58"/>
    </row>
    <row r="127" spans="1:42" ht="18" x14ac:dyDescent="0.25">
      <c r="A127" s="502" t="s">
        <v>898</v>
      </c>
      <c r="B127" s="502"/>
      <c r="C127" s="502"/>
      <c r="D127" s="502"/>
      <c r="E127" s="502"/>
      <c r="F127" s="502"/>
      <c r="G127" s="502"/>
      <c r="H127" s="502"/>
      <c r="I127" s="502"/>
      <c r="J127" s="502"/>
      <c r="K127" s="503" t="s">
        <v>918</v>
      </c>
      <c r="L127" s="503"/>
      <c r="M127" s="503"/>
      <c r="N127" s="58"/>
      <c r="O127" s="502" t="s">
        <v>904</v>
      </c>
      <c r="P127" s="502"/>
      <c r="Q127" s="502"/>
      <c r="R127" s="502"/>
      <c r="S127" s="502"/>
      <c r="T127" s="502"/>
      <c r="U127" s="502"/>
      <c r="V127" s="502"/>
      <c r="W127" s="502"/>
      <c r="X127" s="502"/>
      <c r="Y127" s="503" t="s">
        <v>918</v>
      </c>
      <c r="Z127" s="503"/>
      <c r="AA127" s="503"/>
      <c r="AB127" s="58"/>
      <c r="AC127" s="502" t="s">
        <v>912</v>
      </c>
      <c r="AD127" s="502"/>
      <c r="AE127" s="502"/>
      <c r="AF127" s="502"/>
      <c r="AG127" s="502"/>
      <c r="AH127" s="502"/>
      <c r="AI127" s="502"/>
      <c r="AJ127" s="502"/>
      <c r="AK127" s="502"/>
      <c r="AL127" s="502"/>
      <c r="AM127" s="503" t="s">
        <v>918</v>
      </c>
      <c r="AN127" s="503"/>
      <c r="AO127" s="503"/>
      <c r="AP127" s="58"/>
    </row>
    <row r="128" spans="1:42" ht="16.5" x14ac:dyDescent="0.3">
      <c r="A128" s="24" t="s">
        <v>42</v>
      </c>
      <c r="B128" s="56">
        <v>43101</v>
      </c>
      <c r="C128" s="56">
        <v>43132</v>
      </c>
      <c r="D128" s="56">
        <v>43160</v>
      </c>
      <c r="E128" s="56">
        <v>43191</v>
      </c>
      <c r="F128" s="56">
        <v>43221</v>
      </c>
      <c r="G128" s="56">
        <v>43252</v>
      </c>
      <c r="H128" s="56">
        <v>43282</v>
      </c>
      <c r="I128" s="56">
        <v>43313</v>
      </c>
      <c r="J128" s="56">
        <v>43344</v>
      </c>
      <c r="K128" s="56">
        <v>43374</v>
      </c>
      <c r="L128" s="56">
        <v>43405</v>
      </c>
      <c r="M128" s="56">
        <v>43435</v>
      </c>
      <c r="N128" s="58"/>
      <c r="O128" s="24" t="s">
        <v>28</v>
      </c>
      <c r="P128" s="56">
        <v>43101</v>
      </c>
      <c r="Q128" s="56">
        <v>43132</v>
      </c>
      <c r="R128" s="56">
        <v>43160</v>
      </c>
      <c r="S128" s="56">
        <v>43191</v>
      </c>
      <c r="T128" s="56">
        <v>43221</v>
      </c>
      <c r="U128" s="56">
        <v>43252</v>
      </c>
      <c r="V128" s="56">
        <v>43282</v>
      </c>
      <c r="W128" s="56">
        <v>43313</v>
      </c>
      <c r="X128" s="56">
        <v>43344</v>
      </c>
      <c r="Y128" s="56">
        <v>43374</v>
      </c>
      <c r="Z128" s="56">
        <v>43405</v>
      </c>
      <c r="AA128" s="56">
        <v>43435</v>
      </c>
      <c r="AB128" s="58"/>
      <c r="AC128" s="24" t="s">
        <v>36</v>
      </c>
      <c r="AD128" s="56">
        <v>43101</v>
      </c>
      <c r="AE128" s="56">
        <v>43132</v>
      </c>
      <c r="AF128" s="56">
        <v>43160</v>
      </c>
      <c r="AG128" s="56">
        <v>43191</v>
      </c>
      <c r="AH128" s="56">
        <v>43221</v>
      </c>
      <c r="AI128" s="56">
        <v>43252</v>
      </c>
      <c r="AJ128" s="56">
        <v>43282</v>
      </c>
      <c r="AK128" s="56">
        <v>43313</v>
      </c>
      <c r="AL128" s="56">
        <v>43344</v>
      </c>
      <c r="AM128" s="56">
        <v>43374</v>
      </c>
      <c r="AN128" s="56">
        <v>43405</v>
      </c>
      <c r="AO128" s="56">
        <v>43435</v>
      </c>
      <c r="AP128" s="58"/>
    </row>
    <row r="129" spans="1:42" ht="16.5" x14ac:dyDescent="0.3">
      <c r="A129" s="54" t="s">
        <v>891</v>
      </c>
      <c r="B129" s="25">
        <f>SUMIF(Projetos_Ciclo!$B$3:$B$97,'Gráfico Tendência 2018-2022'!$A$128,Projetos_Ciclo!$Z$3:$Z$97)</f>
        <v>0</v>
      </c>
      <c r="C129" s="25">
        <f>SUMIF(Projetos_Ciclo!$B$3:$B$97,'Gráfico Tendência 2018-2022'!$A$128,Projetos_Ciclo!$Z$3:$Z$97)</f>
        <v>0</v>
      </c>
      <c r="D129" s="25">
        <f>SUMIF(Projetos_Ciclo!$B$3:$B$97,'Gráfico Tendência 2018-2022'!$A$128,Projetos_Ciclo!$Z$3:$Z$97)</f>
        <v>0</v>
      </c>
      <c r="E129" s="25">
        <f>SUMIF(Projetos_Ciclo!$B$3:$B$97,'Gráfico Tendência 2018-2022'!$A$128,Projetos_Ciclo!$Z$3:$Z$97)</f>
        <v>0</v>
      </c>
      <c r="F129" s="25">
        <f>SUMIF(Projetos_Ciclo!$B$3:$B$97,'Gráfico Tendência 2018-2022'!$A$128,Projetos_Ciclo!$Z$3:$Z$97)</f>
        <v>0</v>
      </c>
      <c r="G129" s="25">
        <f>SUMIF(Projetos_Ciclo!$B$3:$B$97,'Gráfico Tendência 2018-2022'!$A$128,Projetos_Ciclo!$Z$3:$Z$97)</f>
        <v>0</v>
      </c>
      <c r="H129" s="25">
        <f>SUMIF(Projetos_Ciclo!$B$3:$B$97,'Gráfico Tendência 2018-2022'!$A$128,Projetos_Ciclo!$Z$3:$Z$97)</f>
        <v>0</v>
      </c>
      <c r="I129" s="25">
        <f>SUMIF(Projetos_Ciclo!$B$3:$B$97,'Gráfico Tendência 2018-2022'!$A$128,Projetos_Ciclo!$Z$3:$Z$97)</f>
        <v>0</v>
      </c>
      <c r="J129" s="25">
        <f>SUMIF(Projetos_Ciclo!$B$3:$B$97,'Gráfico Tendência 2018-2022'!$A$128,Projetos_Ciclo!$Z$3:$Z$97)</f>
        <v>0</v>
      </c>
      <c r="K129" s="25">
        <f>SUMIF(Projetos_Ciclo!$B$3:$B$97,'Gráfico Tendência 2018-2022'!$A$128,Projetos_Ciclo!$Z$3:$Z$97)</f>
        <v>0</v>
      </c>
      <c r="L129" s="25">
        <f>SUMIF(Projetos_Ciclo!$B$3:$B$97,'Gráfico Tendência 2018-2022'!$A$128,Projetos_Ciclo!$Z$3:$Z$97)</f>
        <v>0</v>
      </c>
      <c r="M129" s="25">
        <f>SUMIF(Projetos_Ciclo!$B$3:$B$97,'Gráfico Tendência 2018-2022'!$A$128,Projetos_Ciclo!$Z$3:$Z$97)</f>
        <v>0</v>
      </c>
      <c r="N129" s="58"/>
      <c r="O129" s="54" t="s">
        <v>891</v>
      </c>
      <c r="P129" s="25">
        <f>SUMIF(Projetos_Ciclo!$B$3:$B$97,'Gráfico Tendência 2018-2022'!$O$128,Projetos_Ciclo!$Z$3:$Z$97)</f>
        <v>0</v>
      </c>
      <c r="Q129" s="25">
        <f>SUMIF(Projetos_Ciclo!$B$3:$B$97,'Gráfico Tendência 2018-2022'!$O$128,Projetos_Ciclo!$Z$3:$Z$97)</f>
        <v>0</v>
      </c>
      <c r="R129" s="25">
        <f>SUMIF(Projetos_Ciclo!$B$3:$B$97,'Gráfico Tendência 2018-2022'!$O$128,Projetos_Ciclo!$Z$3:$Z$97)</f>
        <v>0</v>
      </c>
      <c r="S129" s="25">
        <f>SUMIF(Projetos_Ciclo!$B$3:$B$97,'Gráfico Tendência 2018-2022'!$O$128,Projetos_Ciclo!$Z$3:$Z$97)</f>
        <v>0</v>
      </c>
      <c r="T129" s="25">
        <f>SUMIF(Projetos_Ciclo!$B$3:$B$97,'Gráfico Tendência 2018-2022'!$O$128,Projetos_Ciclo!$Z$3:$Z$97)</f>
        <v>0</v>
      </c>
      <c r="U129" s="25">
        <f>SUMIF(Projetos_Ciclo!$B$3:$B$97,'Gráfico Tendência 2018-2022'!$O$128,Projetos_Ciclo!$Z$3:$Z$97)</f>
        <v>0</v>
      </c>
      <c r="V129" s="25">
        <f>SUMIF(Projetos_Ciclo!$B$3:$B$97,'Gráfico Tendência 2018-2022'!$O$128,Projetos_Ciclo!$Z$3:$Z$97)</f>
        <v>0</v>
      </c>
      <c r="W129" s="25">
        <f>SUMIF(Projetos_Ciclo!$B$3:$B$97,'Gráfico Tendência 2018-2022'!$O$128,Projetos_Ciclo!$Z$3:$Z$97)</f>
        <v>0</v>
      </c>
      <c r="X129" s="25">
        <f>SUMIF(Projetos_Ciclo!$B$3:$B$97,'Gráfico Tendência 2018-2022'!$O$128,Projetos_Ciclo!$Z$3:$Z$97)</f>
        <v>0</v>
      </c>
      <c r="Y129" s="25">
        <f>SUMIF(Projetos_Ciclo!$B$3:$B$97,'Gráfico Tendência 2018-2022'!$O$128,Projetos_Ciclo!$Z$3:$Z$97)</f>
        <v>0</v>
      </c>
      <c r="Z129" s="25">
        <f>SUMIF(Projetos_Ciclo!$B$3:$B$97,'Gráfico Tendência 2018-2022'!$O$128,Projetos_Ciclo!$Z$3:$Z$97)</f>
        <v>0</v>
      </c>
      <c r="AA129" s="25">
        <f>SUMIF(Projetos_Ciclo!$B$3:$B$97,'Gráfico Tendência 2018-2022'!$O$128,Projetos_Ciclo!$Z$3:$Z$97)</f>
        <v>0</v>
      </c>
      <c r="AB129" s="58"/>
      <c r="AC129" s="54" t="s">
        <v>891</v>
      </c>
      <c r="AD129" s="25">
        <f>SUMIF(Projetos_Ciclo!$B$3:$B$97,'Gráfico Tendência 2018-2022'!$AC$128,Projetos_Ciclo!$Z$3:$Z$97)</f>
        <v>0</v>
      </c>
      <c r="AE129" s="25">
        <f>SUMIF(Projetos_Ciclo!$B$3:$B$97,'Gráfico Tendência 2018-2022'!$AC$128,Projetos_Ciclo!$Z$3:$Z$97)</f>
        <v>0</v>
      </c>
      <c r="AF129" s="25">
        <f>SUMIF(Projetos_Ciclo!$B$3:$B$97,'Gráfico Tendência 2018-2022'!$AC$128,Projetos_Ciclo!$Z$3:$Z$97)</f>
        <v>0</v>
      </c>
      <c r="AG129" s="25">
        <f>SUMIF(Projetos_Ciclo!$B$3:$B$97,'Gráfico Tendência 2018-2022'!$AC$128,Projetos_Ciclo!$Z$3:$Z$97)</f>
        <v>0</v>
      </c>
      <c r="AH129" s="25">
        <f>SUMIF(Projetos_Ciclo!$B$3:$B$97,'Gráfico Tendência 2018-2022'!$AC$128,Projetos_Ciclo!$Z$3:$Z$97)</f>
        <v>0</v>
      </c>
      <c r="AI129" s="25">
        <f>SUMIF(Projetos_Ciclo!$B$3:$B$97,'Gráfico Tendência 2018-2022'!$AC$128,Projetos_Ciclo!$Z$3:$Z$97)</f>
        <v>0</v>
      </c>
      <c r="AJ129" s="25">
        <f>SUMIF(Projetos_Ciclo!$B$3:$B$97,'Gráfico Tendência 2018-2022'!$AC$128,Projetos_Ciclo!$Z$3:$Z$97)</f>
        <v>0</v>
      </c>
      <c r="AK129" s="25">
        <f>SUMIF(Projetos_Ciclo!$B$3:$B$97,'Gráfico Tendência 2018-2022'!$AC$128,Projetos_Ciclo!$Z$3:$Z$97)</f>
        <v>0</v>
      </c>
      <c r="AL129" s="25">
        <f>SUMIF(Projetos_Ciclo!$B$3:$B$97,'Gráfico Tendência 2018-2022'!$AC$128,Projetos_Ciclo!$Z$3:$Z$97)</f>
        <v>0</v>
      </c>
      <c r="AM129" s="25">
        <f>SUMIF(Projetos_Ciclo!$B$3:$B$97,'Gráfico Tendência 2018-2022'!$AC$128,Projetos_Ciclo!$Z$3:$Z$97)</f>
        <v>0</v>
      </c>
      <c r="AN129" s="25">
        <f>SUMIF(Projetos_Ciclo!$B$3:$B$97,'Gráfico Tendência 2018-2022'!$AC$128,Projetos_Ciclo!$Z$3:$Z$97)</f>
        <v>0</v>
      </c>
      <c r="AO129" s="25">
        <f>SUMIF(Projetos_Ciclo!$B$3:$B$97,'Gráfico Tendência 2018-2022'!$AC$128,Projetos_Ciclo!$Z$3:$Z$97)</f>
        <v>0</v>
      </c>
      <c r="AP129" s="58"/>
    </row>
    <row r="130" spans="1:42" ht="16.5" x14ac:dyDescent="0.3">
      <c r="A130" s="55" t="s">
        <v>892</v>
      </c>
      <c r="B130" s="25">
        <f>B131</f>
        <v>0</v>
      </c>
      <c r="C130" s="25">
        <f>B130+C131</f>
        <v>0</v>
      </c>
      <c r="D130" s="25">
        <f>C130+D131</f>
        <v>0</v>
      </c>
      <c r="E130" s="25">
        <f>D130+E131</f>
        <v>0</v>
      </c>
      <c r="F130" s="25">
        <f>E130+F131</f>
        <v>0</v>
      </c>
      <c r="G130" s="25">
        <f t="shared" ref="G130" si="43">F130+G131</f>
        <v>0</v>
      </c>
      <c r="H130" s="25">
        <f t="shared" ref="H130" si="44">G130+H131</f>
        <v>0</v>
      </c>
      <c r="I130" s="25">
        <f t="shared" ref="I130" si="45">H130+I131</f>
        <v>0</v>
      </c>
      <c r="J130" s="25">
        <f t="shared" ref="J130" si="46">I130+J131</f>
        <v>0</v>
      </c>
      <c r="K130" s="25">
        <f t="shared" ref="K130" si="47">J130+K131</f>
        <v>0</v>
      </c>
      <c r="L130" s="25">
        <f t="shared" ref="L130" si="48">K130+L131</f>
        <v>0</v>
      </c>
      <c r="M130" s="25">
        <f t="shared" ref="M130" si="49">L130+M131</f>
        <v>0</v>
      </c>
      <c r="N130" s="58"/>
      <c r="O130" s="55" t="s">
        <v>892</v>
      </c>
      <c r="P130" s="25">
        <f>P131</f>
        <v>0</v>
      </c>
      <c r="Q130" s="25">
        <f>P130+Q131</f>
        <v>0</v>
      </c>
      <c r="R130" s="25">
        <f>Q130+R131</f>
        <v>0</v>
      </c>
      <c r="S130" s="25">
        <f>R130+S131</f>
        <v>0</v>
      </c>
      <c r="T130" s="25">
        <f>S130+T131</f>
        <v>0</v>
      </c>
      <c r="U130" s="25">
        <f t="shared" ref="U130:AA130" si="50">T130+U131</f>
        <v>0</v>
      </c>
      <c r="V130" s="25">
        <f t="shared" si="50"/>
        <v>0</v>
      </c>
      <c r="W130" s="25">
        <f t="shared" si="50"/>
        <v>0</v>
      </c>
      <c r="X130" s="25">
        <f t="shared" si="50"/>
        <v>0</v>
      </c>
      <c r="Y130" s="25">
        <f t="shared" si="50"/>
        <v>0</v>
      </c>
      <c r="Z130" s="25">
        <f t="shared" si="50"/>
        <v>0</v>
      </c>
      <c r="AA130" s="25">
        <f t="shared" si="50"/>
        <v>0</v>
      </c>
      <c r="AB130" s="58"/>
      <c r="AC130" s="55" t="s">
        <v>892</v>
      </c>
      <c r="AD130" s="25">
        <f>AD131</f>
        <v>0</v>
      </c>
      <c r="AE130" s="25">
        <f>AD130+AE131</f>
        <v>0</v>
      </c>
      <c r="AF130" s="25">
        <f>AE130+AF131</f>
        <v>0</v>
      </c>
      <c r="AG130" s="25">
        <f>AF130+AG131</f>
        <v>0</v>
      </c>
      <c r="AH130" s="25">
        <f>AG130+AH131</f>
        <v>0</v>
      </c>
      <c r="AI130" s="25">
        <f t="shared" ref="AI130:AO130" si="51">AH130+AI131</f>
        <v>0</v>
      </c>
      <c r="AJ130" s="25">
        <f t="shared" si="51"/>
        <v>0</v>
      </c>
      <c r="AK130" s="25">
        <f t="shared" si="51"/>
        <v>0</v>
      </c>
      <c r="AL130" s="25">
        <f t="shared" si="51"/>
        <v>0</v>
      </c>
      <c r="AM130" s="25">
        <f t="shared" si="51"/>
        <v>0</v>
      </c>
      <c r="AN130" s="25">
        <f t="shared" si="51"/>
        <v>0</v>
      </c>
      <c r="AO130" s="25">
        <f t="shared" si="51"/>
        <v>0</v>
      </c>
      <c r="AP130" s="58"/>
    </row>
    <row r="131" spans="1:42" ht="16.5" x14ac:dyDescent="0.3">
      <c r="A131" s="55" t="s">
        <v>919</v>
      </c>
      <c r="B131" s="25"/>
      <c r="C131" s="25"/>
      <c r="D131" s="25"/>
      <c r="E131" s="25"/>
      <c r="F131" s="25"/>
      <c r="G131" s="57"/>
      <c r="H131" s="57"/>
      <c r="I131" s="57"/>
      <c r="J131" s="57"/>
      <c r="K131" s="57"/>
      <c r="L131" s="57"/>
      <c r="M131" s="57"/>
      <c r="N131" s="58"/>
      <c r="O131" s="55" t="s">
        <v>919</v>
      </c>
      <c r="P131" s="25"/>
      <c r="Q131" s="25"/>
      <c r="R131" s="25"/>
      <c r="S131" s="25"/>
      <c r="T131" s="25"/>
      <c r="U131" s="57"/>
      <c r="V131" s="57"/>
      <c r="W131" s="57"/>
      <c r="X131" s="57"/>
      <c r="Y131" s="57"/>
      <c r="Z131" s="57"/>
      <c r="AA131" s="57"/>
      <c r="AB131" s="58"/>
      <c r="AC131" s="55" t="s">
        <v>919</v>
      </c>
      <c r="AD131" s="25"/>
      <c r="AE131" s="25"/>
      <c r="AF131" s="25"/>
      <c r="AG131" s="25"/>
      <c r="AH131" s="25"/>
      <c r="AI131" s="57"/>
      <c r="AJ131" s="57"/>
      <c r="AK131" s="57"/>
      <c r="AL131" s="57"/>
      <c r="AM131" s="57"/>
      <c r="AN131" s="57"/>
      <c r="AO131" s="57"/>
      <c r="AP131" s="58"/>
    </row>
    <row r="132" spans="1:42" ht="16.5" x14ac:dyDescent="0.3">
      <c r="A132" s="55" t="s">
        <v>920</v>
      </c>
      <c r="B132" s="25"/>
      <c r="C132" s="25"/>
      <c r="D132" s="25"/>
      <c r="E132" s="25"/>
      <c r="F132" s="25"/>
      <c r="G132" s="25"/>
      <c r="H132" s="25"/>
      <c r="I132" s="25"/>
      <c r="J132" s="25"/>
      <c r="K132" s="25"/>
      <c r="L132" s="25"/>
      <c r="M132" s="25"/>
      <c r="N132" s="58"/>
      <c r="O132" s="55" t="s">
        <v>920</v>
      </c>
      <c r="P132" s="25"/>
      <c r="Q132" s="25"/>
      <c r="R132" s="25"/>
      <c r="S132" s="25"/>
      <c r="T132" s="25"/>
      <c r="U132" s="25"/>
      <c r="V132" s="25"/>
      <c r="W132" s="25"/>
      <c r="X132" s="25"/>
      <c r="Y132" s="25"/>
      <c r="Z132" s="25"/>
      <c r="AA132" s="25"/>
      <c r="AB132" s="58"/>
      <c r="AP132" s="58"/>
    </row>
    <row r="133" spans="1:42" x14ac:dyDescent="0.25">
      <c r="N133" s="58"/>
      <c r="AB133" s="58"/>
      <c r="AP133" s="58"/>
    </row>
    <row r="134" spans="1:42" x14ac:dyDescent="0.25">
      <c r="N134" s="58"/>
      <c r="AB134" s="58"/>
      <c r="AP134" s="58"/>
    </row>
    <row r="135" spans="1:42" x14ac:dyDescent="0.25">
      <c r="N135" s="58"/>
      <c r="AB135" s="58"/>
      <c r="AP135" s="58"/>
    </row>
    <row r="136" spans="1:42" x14ac:dyDescent="0.25">
      <c r="N136" s="58"/>
      <c r="AB136" s="58"/>
      <c r="AP136" s="58"/>
    </row>
    <row r="137" spans="1:42" x14ac:dyDescent="0.25">
      <c r="N137" s="58"/>
      <c r="AB137" s="58"/>
      <c r="AP137" s="58"/>
    </row>
    <row r="138" spans="1:42" x14ac:dyDescent="0.25">
      <c r="N138" s="58"/>
      <c r="AB138" s="58"/>
      <c r="AP138" s="58"/>
    </row>
    <row r="139" spans="1:42" x14ac:dyDescent="0.25">
      <c r="N139" s="58"/>
      <c r="AB139" s="58"/>
      <c r="AP139" s="58"/>
    </row>
    <row r="140" spans="1:42" x14ac:dyDescent="0.25">
      <c r="N140" s="58"/>
      <c r="AB140" s="58"/>
      <c r="AP140" s="58"/>
    </row>
    <row r="141" spans="1:42" x14ac:dyDescent="0.25">
      <c r="N141" s="58"/>
      <c r="AB141" s="58"/>
      <c r="AP141" s="58"/>
    </row>
    <row r="142" spans="1:42" x14ac:dyDescent="0.25">
      <c r="N142" s="58"/>
      <c r="AB142" s="58"/>
      <c r="AP142" s="58"/>
    </row>
    <row r="143" spans="1:42" x14ac:dyDescent="0.25">
      <c r="N143" s="58"/>
      <c r="AB143" s="58"/>
      <c r="AP143" s="58"/>
    </row>
    <row r="144" spans="1:42" x14ac:dyDescent="0.25">
      <c r="N144" s="58"/>
      <c r="AB144" s="58"/>
      <c r="AP144" s="58"/>
    </row>
    <row r="145" spans="1:42" x14ac:dyDescent="0.25">
      <c r="N145" s="58"/>
      <c r="AB145" s="58"/>
      <c r="AP145" s="58"/>
    </row>
    <row r="146" spans="1:42" x14ac:dyDescent="0.25">
      <c r="N146" s="58"/>
      <c r="AB146" s="58"/>
      <c r="AP146" s="58"/>
    </row>
    <row r="147" spans="1:42" x14ac:dyDescent="0.25">
      <c r="N147" s="58"/>
      <c r="AB147" s="58"/>
      <c r="AP147" s="58"/>
    </row>
    <row r="148" spans="1:42" x14ac:dyDescent="0.25">
      <c r="N148" s="58"/>
      <c r="AB148" s="58"/>
      <c r="AP148" s="58"/>
    </row>
    <row r="149" spans="1:42" x14ac:dyDescent="0.25">
      <c r="N149" s="58"/>
      <c r="AB149" s="58"/>
      <c r="AP149" s="58"/>
    </row>
    <row r="150" spans="1:42" x14ac:dyDescent="0.25">
      <c r="N150" s="58"/>
      <c r="AB150" s="58"/>
      <c r="AP150" s="58"/>
    </row>
    <row r="151" spans="1:42" x14ac:dyDescent="0.25">
      <c r="N151" s="58"/>
      <c r="AB151" s="58"/>
      <c r="AP151" s="58"/>
    </row>
    <row r="152" spans="1:42" ht="18" x14ac:dyDescent="0.25">
      <c r="A152" s="502" t="s">
        <v>899</v>
      </c>
      <c r="B152" s="502"/>
      <c r="C152" s="502"/>
      <c r="D152" s="502"/>
      <c r="E152" s="502"/>
      <c r="F152" s="502"/>
      <c r="G152" s="502"/>
      <c r="H152" s="502"/>
      <c r="I152" s="502"/>
      <c r="J152" s="502"/>
      <c r="K152" s="503" t="s">
        <v>918</v>
      </c>
      <c r="L152" s="503"/>
      <c r="M152" s="503"/>
      <c r="N152" s="58"/>
      <c r="O152" s="502" t="s">
        <v>905</v>
      </c>
      <c r="P152" s="502"/>
      <c r="Q152" s="502"/>
      <c r="R152" s="502"/>
      <c r="S152" s="502"/>
      <c r="T152" s="502"/>
      <c r="U152" s="502"/>
      <c r="V152" s="502"/>
      <c r="W152" s="502"/>
      <c r="X152" s="502"/>
      <c r="Y152" s="503" t="s">
        <v>918</v>
      </c>
      <c r="Z152" s="503"/>
      <c r="AA152" s="503"/>
      <c r="AB152" s="58"/>
      <c r="AC152" s="502" t="s">
        <v>913</v>
      </c>
      <c r="AD152" s="502"/>
      <c r="AE152" s="502"/>
      <c r="AF152" s="502"/>
      <c r="AG152" s="502"/>
      <c r="AH152" s="502"/>
      <c r="AI152" s="502"/>
      <c r="AJ152" s="502"/>
      <c r="AK152" s="502"/>
      <c r="AL152" s="502"/>
      <c r="AM152" s="503" t="s">
        <v>918</v>
      </c>
      <c r="AN152" s="503"/>
      <c r="AO152" s="503"/>
      <c r="AP152" s="58"/>
    </row>
    <row r="153" spans="1:42" ht="16.5" x14ac:dyDescent="0.3">
      <c r="A153" s="24" t="s">
        <v>41</v>
      </c>
      <c r="B153" s="56">
        <v>43101</v>
      </c>
      <c r="C153" s="56">
        <v>43132</v>
      </c>
      <c r="D153" s="56">
        <v>43160</v>
      </c>
      <c r="E153" s="56">
        <v>43191</v>
      </c>
      <c r="F153" s="56">
        <v>43221</v>
      </c>
      <c r="G153" s="56">
        <v>43252</v>
      </c>
      <c r="H153" s="56">
        <v>43282</v>
      </c>
      <c r="I153" s="56">
        <v>43313</v>
      </c>
      <c r="J153" s="56">
        <v>43344</v>
      </c>
      <c r="K153" s="56">
        <v>43374</v>
      </c>
      <c r="L153" s="56">
        <v>43405</v>
      </c>
      <c r="M153" s="56">
        <v>43435</v>
      </c>
      <c r="N153" s="58"/>
      <c r="O153" s="24" t="s">
        <v>30</v>
      </c>
      <c r="P153" s="56">
        <v>43101</v>
      </c>
      <c r="Q153" s="56">
        <v>43132</v>
      </c>
      <c r="R153" s="56">
        <v>43160</v>
      </c>
      <c r="S153" s="56">
        <v>43191</v>
      </c>
      <c r="T153" s="56">
        <v>43221</v>
      </c>
      <c r="U153" s="56">
        <v>43252</v>
      </c>
      <c r="V153" s="56">
        <v>43282</v>
      </c>
      <c r="W153" s="56">
        <v>43313</v>
      </c>
      <c r="X153" s="56">
        <v>43344</v>
      </c>
      <c r="Y153" s="56">
        <v>43374</v>
      </c>
      <c r="Z153" s="56">
        <v>43405</v>
      </c>
      <c r="AA153" s="56">
        <v>43435</v>
      </c>
      <c r="AB153" s="58"/>
      <c r="AC153" s="24" t="s">
        <v>35</v>
      </c>
      <c r="AD153" s="56">
        <v>43101</v>
      </c>
      <c r="AE153" s="56">
        <v>43132</v>
      </c>
      <c r="AF153" s="56">
        <v>43160</v>
      </c>
      <c r="AG153" s="56">
        <v>43191</v>
      </c>
      <c r="AH153" s="56">
        <v>43221</v>
      </c>
      <c r="AI153" s="56">
        <v>43252</v>
      </c>
      <c r="AJ153" s="56">
        <v>43282</v>
      </c>
      <c r="AK153" s="56">
        <v>43313</v>
      </c>
      <c r="AL153" s="56">
        <v>43344</v>
      </c>
      <c r="AM153" s="56">
        <v>43374</v>
      </c>
      <c r="AN153" s="56">
        <v>43405</v>
      </c>
      <c r="AO153" s="56">
        <v>43435</v>
      </c>
      <c r="AP153" s="58"/>
    </row>
    <row r="154" spans="1:42" ht="16.5" x14ac:dyDescent="0.3">
      <c r="A154" s="54" t="s">
        <v>891</v>
      </c>
      <c r="B154" s="25">
        <f>SUMIF(Projetos_Ciclo!$B$3:$B$97,'Gráfico Tendência 2018-2022'!$A$153,Projetos_Ciclo!$Z$3:$Z$97)</f>
        <v>0</v>
      </c>
      <c r="C154" s="25">
        <f>SUMIF(Projetos_Ciclo!$B$3:$B$97,'Gráfico Tendência 2018-2022'!$A$153,Projetos_Ciclo!$Z$3:$Z$97)</f>
        <v>0</v>
      </c>
      <c r="D154" s="25">
        <f>SUMIF(Projetos_Ciclo!$B$3:$B$97,'Gráfico Tendência 2018-2022'!$A$153,Projetos_Ciclo!$Z$3:$Z$97)</f>
        <v>0</v>
      </c>
      <c r="E154" s="25">
        <f>SUMIF(Projetos_Ciclo!$B$3:$B$97,'Gráfico Tendência 2018-2022'!$A$153,Projetos_Ciclo!$Z$3:$Z$97)</f>
        <v>0</v>
      </c>
      <c r="F154" s="25">
        <f>SUMIF(Projetos_Ciclo!$B$3:$B$97,'Gráfico Tendência 2018-2022'!$A$153,Projetos_Ciclo!$Z$3:$Z$97)</f>
        <v>0</v>
      </c>
      <c r="G154" s="25">
        <f>SUMIF(Projetos_Ciclo!$B$3:$B$97,'Gráfico Tendência 2018-2022'!$A$153,Projetos_Ciclo!$Z$3:$Z$97)</f>
        <v>0</v>
      </c>
      <c r="H154" s="25">
        <f>SUMIF(Projetos_Ciclo!$B$3:$B$97,'Gráfico Tendência 2018-2022'!$A$153,Projetos_Ciclo!$Z$3:$Z$97)</f>
        <v>0</v>
      </c>
      <c r="I154" s="25">
        <f>SUMIF(Projetos_Ciclo!$B$3:$B$97,'Gráfico Tendência 2018-2022'!$A$153,Projetos_Ciclo!$Z$3:$Z$97)</f>
        <v>0</v>
      </c>
      <c r="J154" s="25">
        <f>SUMIF(Projetos_Ciclo!$B$3:$B$97,'Gráfico Tendência 2018-2022'!$A$153,Projetos_Ciclo!$Z$3:$Z$97)</f>
        <v>0</v>
      </c>
      <c r="K154" s="25">
        <f>SUMIF(Projetos_Ciclo!$B$3:$B$97,'Gráfico Tendência 2018-2022'!$A$153,Projetos_Ciclo!$Z$3:$Z$97)</f>
        <v>0</v>
      </c>
      <c r="L154" s="25">
        <f>SUMIF(Projetos_Ciclo!$B$3:$B$97,'Gráfico Tendência 2018-2022'!$A$153,Projetos_Ciclo!$Z$3:$Z$97)</f>
        <v>0</v>
      </c>
      <c r="M154" s="25">
        <f>SUMIF(Projetos_Ciclo!$B$3:$B$97,'Gráfico Tendência 2018-2022'!$A$153,Projetos_Ciclo!$Z$3:$Z$97)</f>
        <v>0</v>
      </c>
      <c r="N154" s="58"/>
      <c r="O154" s="54" t="s">
        <v>891</v>
      </c>
      <c r="P154" s="25">
        <f>SUMIF(Projetos_Ciclo!$B$3:$B$97,'Gráfico Tendência 2018-2022'!$O$153,Projetos_Ciclo!$Z$3:$Z$97)</f>
        <v>0</v>
      </c>
      <c r="Q154" s="25">
        <f>SUMIF(Projetos_Ciclo!$B$3:$B$97,'Gráfico Tendência 2018-2022'!$O$153,Projetos_Ciclo!$Z$3:$Z$97)</f>
        <v>0</v>
      </c>
      <c r="R154" s="25">
        <f>SUMIF(Projetos_Ciclo!$B$3:$B$97,'Gráfico Tendência 2018-2022'!$O$153,Projetos_Ciclo!$Z$3:$Z$97)</f>
        <v>0</v>
      </c>
      <c r="S154" s="25">
        <f>SUMIF(Projetos_Ciclo!$B$3:$B$97,'Gráfico Tendência 2018-2022'!$O$153,Projetos_Ciclo!$Z$3:$Z$97)</f>
        <v>0</v>
      </c>
      <c r="T154" s="25">
        <f>SUMIF(Projetos_Ciclo!$B$3:$B$97,'Gráfico Tendência 2018-2022'!$O$153,Projetos_Ciclo!$Z$3:$Z$97)</f>
        <v>0</v>
      </c>
      <c r="U154" s="25">
        <f>SUMIF(Projetos_Ciclo!$B$3:$B$97,'Gráfico Tendência 2018-2022'!$O$153,Projetos_Ciclo!$Z$3:$Z$97)</f>
        <v>0</v>
      </c>
      <c r="V154" s="25">
        <f>SUMIF(Projetos_Ciclo!$B$3:$B$97,'Gráfico Tendência 2018-2022'!$O$153,Projetos_Ciclo!$Z$3:$Z$97)</f>
        <v>0</v>
      </c>
      <c r="W154" s="25">
        <f>SUMIF(Projetos_Ciclo!$B$3:$B$97,'Gráfico Tendência 2018-2022'!$O$153,Projetos_Ciclo!$Z$3:$Z$97)</f>
        <v>0</v>
      </c>
      <c r="X154" s="25">
        <f>SUMIF(Projetos_Ciclo!$B$3:$B$97,'Gráfico Tendência 2018-2022'!$O$153,Projetos_Ciclo!$Z$3:$Z$97)</f>
        <v>0</v>
      </c>
      <c r="Y154" s="25">
        <f>SUMIF(Projetos_Ciclo!$B$3:$B$97,'Gráfico Tendência 2018-2022'!$O$153,Projetos_Ciclo!$Z$3:$Z$97)</f>
        <v>0</v>
      </c>
      <c r="Z154" s="25">
        <f>SUMIF(Projetos_Ciclo!$B$3:$B$97,'Gráfico Tendência 2018-2022'!$O$153,Projetos_Ciclo!$Z$3:$Z$97)</f>
        <v>0</v>
      </c>
      <c r="AA154" s="25">
        <f>SUMIF(Projetos_Ciclo!$B$3:$B$97,'Gráfico Tendência 2018-2022'!$O$153,Projetos_Ciclo!$Z$3:$Z$97)</f>
        <v>0</v>
      </c>
      <c r="AB154" s="58"/>
      <c r="AC154" s="54" t="s">
        <v>891</v>
      </c>
      <c r="AD154" s="25">
        <f>SUMIF(Projetos_Ciclo!$B$3:$B$97,'Gráfico Tendência 2018-2022'!$AC$153,Projetos_Ciclo!$Z$3:$Z$97)</f>
        <v>0</v>
      </c>
      <c r="AE154" s="25">
        <f>SUMIF(Projetos_Ciclo!$B$3:$B$97,'Gráfico Tendência 2018-2022'!$AC$153,Projetos_Ciclo!$Z$3:$Z$97)</f>
        <v>0</v>
      </c>
      <c r="AF154" s="25">
        <f>SUMIF(Projetos_Ciclo!$B$3:$B$97,'Gráfico Tendência 2018-2022'!$AC$153,Projetos_Ciclo!$Z$3:$Z$97)</f>
        <v>0</v>
      </c>
      <c r="AG154" s="25">
        <f>SUMIF(Projetos_Ciclo!$B$3:$B$97,'Gráfico Tendência 2018-2022'!$AC$153,Projetos_Ciclo!$Z$3:$Z$97)</f>
        <v>0</v>
      </c>
      <c r="AH154" s="25">
        <f>SUMIF(Projetos_Ciclo!$B$3:$B$97,'Gráfico Tendência 2018-2022'!$AC$153,Projetos_Ciclo!$Z$3:$Z$97)</f>
        <v>0</v>
      </c>
      <c r="AI154" s="25">
        <f>SUMIF(Projetos_Ciclo!$B$3:$B$97,'Gráfico Tendência 2018-2022'!$AC$153,Projetos_Ciclo!$Z$3:$Z$97)</f>
        <v>0</v>
      </c>
      <c r="AJ154" s="25">
        <f>SUMIF(Projetos_Ciclo!$B$3:$B$97,'Gráfico Tendência 2018-2022'!$AC$153,Projetos_Ciclo!$Z$3:$Z$97)</f>
        <v>0</v>
      </c>
      <c r="AK154" s="25">
        <f>SUMIF(Projetos_Ciclo!$B$3:$B$97,'Gráfico Tendência 2018-2022'!$AC$153,Projetos_Ciclo!$Z$3:$Z$97)</f>
        <v>0</v>
      </c>
      <c r="AL154" s="25">
        <f>SUMIF(Projetos_Ciclo!$B$3:$B$97,'Gráfico Tendência 2018-2022'!$AC$153,Projetos_Ciclo!$Z$3:$Z$97)</f>
        <v>0</v>
      </c>
      <c r="AM154" s="25">
        <f>SUMIF(Projetos_Ciclo!$B$3:$B$97,'Gráfico Tendência 2018-2022'!$AC$153,Projetos_Ciclo!$Z$3:$Z$97)</f>
        <v>0</v>
      </c>
      <c r="AN154" s="25">
        <f>SUMIF(Projetos_Ciclo!$B$3:$B$97,'Gráfico Tendência 2018-2022'!$AC$153,Projetos_Ciclo!$Z$3:$Z$97)</f>
        <v>0</v>
      </c>
      <c r="AO154" s="25">
        <f>SUMIF(Projetos_Ciclo!$B$3:$B$97,'Gráfico Tendência 2018-2022'!$AC$153,Projetos_Ciclo!$Z$3:$Z$97)</f>
        <v>0</v>
      </c>
      <c r="AP154" s="58"/>
    </row>
    <row r="155" spans="1:42" ht="16.5" x14ac:dyDescent="0.3">
      <c r="A155" s="55" t="s">
        <v>892</v>
      </c>
      <c r="B155" s="25">
        <f>B156</f>
        <v>0</v>
      </c>
      <c r="C155" s="25">
        <f>B155+C156</f>
        <v>0</v>
      </c>
      <c r="D155" s="25">
        <f>C155+D156</f>
        <v>0</v>
      </c>
      <c r="E155" s="25">
        <f>D155+E156</f>
        <v>0</v>
      </c>
      <c r="F155" s="25">
        <f>E155+F156</f>
        <v>0</v>
      </c>
      <c r="G155" s="25">
        <f t="shared" ref="G155" si="52">F155+G156</f>
        <v>0</v>
      </c>
      <c r="H155" s="25">
        <f t="shared" ref="H155" si="53">G155+H156</f>
        <v>0</v>
      </c>
      <c r="I155" s="25">
        <f t="shared" ref="I155" si="54">H155+I156</f>
        <v>0</v>
      </c>
      <c r="J155" s="25">
        <f t="shared" ref="J155" si="55">I155+J156</f>
        <v>0</v>
      </c>
      <c r="K155" s="25">
        <f t="shared" ref="K155" si="56">J155+K156</f>
        <v>0</v>
      </c>
      <c r="L155" s="25">
        <f t="shared" ref="L155" si="57">K155+L156</f>
        <v>0</v>
      </c>
      <c r="M155" s="25">
        <f t="shared" ref="M155" si="58">L155+M156</f>
        <v>0</v>
      </c>
      <c r="N155" s="58"/>
      <c r="O155" s="55" t="s">
        <v>892</v>
      </c>
      <c r="P155" s="25">
        <f>P156</f>
        <v>0</v>
      </c>
      <c r="Q155" s="25">
        <f>P155+Q156</f>
        <v>0</v>
      </c>
      <c r="R155" s="25">
        <f>Q155+R156</f>
        <v>0</v>
      </c>
      <c r="S155" s="25">
        <f>R155+S156</f>
        <v>0</v>
      </c>
      <c r="T155" s="25">
        <f>S155+T156</f>
        <v>0</v>
      </c>
      <c r="U155" s="25">
        <f t="shared" ref="U155:AA155" si="59">T155+U156</f>
        <v>0</v>
      </c>
      <c r="V155" s="25">
        <f t="shared" si="59"/>
        <v>0</v>
      </c>
      <c r="W155" s="25">
        <f t="shared" si="59"/>
        <v>0</v>
      </c>
      <c r="X155" s="25">
        <f t="shared" si="59"/>
        <v>0</v>
      </c>
      <c r="Y155" s="25">
        <f t="shared" si="59"/>
        <v>0</v>
      </c>
      <c r="Z155" s="25">
        <f t="shared" si="59"/>
        <v>0</v>
      </c>
      <c r="AA155" s="25">
        <f t="shared" si="59"/>
        <v>0</v>
      </c>
      <c r="AB155" s="58"/>
      <c r="AC155" s="55" t="s">
        <v>892</v>
      </c>
      <c r="AD155" s="25">
        <f>AD156</f>
        <v>0</v>
      </c>
      <c r="AE155" s="25">
        <f>AD155+AE156</f>
        <v>0</v>
      </c>
      <c r="AF155" s="25">
        <f>AE155+AF156</f>
        <v>0</v>
      </c>
      <c r="AG155" s="25">
        <f>AF155+AG156</f>
        <v>0</v>
      </c>
      <c r="AH155" s="25">
        <f>AG155+AH156</f>
        <v>0</v>
      </c>
      <c r="AI155" s="25">
        <f t="shared" ref="AI155:AO155" si="60">AH155+AI156</f>
        <v>0</v>
      </c>
      <c r="AJ155" s="25">
        <f t="shared" si="60"/>
        <v>0</v>
      </c>
      <c r="AK155" s="25">
        <f t="shared" si="60"/>
        <v>0</v>
      </c>
      <c r="AL155" s="25">
        <f t="shared" si="60"/>
        <v>0</v>
      </c>
      <c r="AM155" s="25">
        <f t="shared" si="60"/>
        <v>0</v>
      </c>
      <c r="AN155" s="25">
        <f t="shared" si="60"/>
        <v>0</v>
      </c>
      <c r="AO155" s="25">
        <f t="shared" si="60"/>
        <v>0</v>
      </c>
      <c r="AP155" s="58"/>
    </row>
    <row r="156" spans="1:42" ht="16.5" x14ac:dyDescent="0.3">
      <c r="A156" s="55" t="s">
        <v>919</v>
      </c>
      <c r="B156" s="25"/>
      <c r="C156" s="25"/>
      <c r="D156" s="25"/>
      <c r="E156" s="25"/>
      <c r="F156" s="25"/>
      <c r="G156" s="57"/>
      <c r="H156" s="57"/>
      <c r="I156" s="57"/>
      <c r="J156" s="57"/>
      <c r="K156" s="57"/>
      <c r="L156" s="57"/>
      <c r="M156" s="57"/>
      <c r="N156" s="58"/>
      <c r="O156" s="55" t="s">
        <v>919</v>
      </c>
      <c r="P156" s="25"/>
      <c r="Q156" s="25"/>
      <c r="R156" s="25"/>
      <c r="S156" s="25"/>
      <c r="T156" s="25"/>
      <c r="U156" s="57"/>
      <c r="V156" s="57"/>
      <c r="W156" s="57"/>
      <c r="X156" s="57"/>
      <c r="Y156" s="57"/>
      <c r="Z156" s="57"/>
      <c r="AA156" s="57"/>
      <c r="AB156" s="58"/>
      <c r="AC156" s="55" t="s">
        <v>919</v>
      </c>
      <c r="AD156" s="25"/>
      <c r="AE156" s="25"/>
      <c r="AF156" s="25"/>
      <c r="AG156" s="25"/>
      <c r="AH156" s="25"/>
      <c r="AI156" s="57"/>
      <c r="AJ156" s="57"/>
      <c r="AK156" s="57"/>
      <c r="AL156" s="57"/>
      <c r="AM156" s="57"/>
      <c r="AN156" s="57"/>
      <c r="AO156" s="57"/>
      <c r="AP156" s="58"/>
    </row>
    <row r="157" spans="1:42" ht="16.5" x14ac:dyDescent="0.3">
      <c r="A157" s="55" t="s">
        <v>920</v>
      </c>
      <c r="B157" s="25"/>
      <c r="C157" s="25"/>
      <c r="D157" s="25"/>
      <c r="E157" s="25"/>
      <c r="F157" s="25"/>
      <c r="G157" s="25"/>
      <c r="H157" s="25"/>
      <c r="I157" s="25"/>
      <c r="J157" s="25"/>
      <c r="K157" s="25"/>
      <c r="L157" s="25"/>
      <c r="M157" s="25"/>
      <c r="N157" s="58"/>
      <c r="O157" s="55" t="s">
        <v>920</v>
      </c>
      <c r="P157" s="25"/>
      <c r="Q157" s="25"/>
      <c r="R157" s="25"/>
      <c r="S157" s="25"/>
      <c r="T157" s="25"/>
      <c r="U157" s="25"/>
      <c r="V157" s="25"/>
      <c r="W157" s="25"/>
      <c r="X157" s="25"/>
      <c r="Y157" s="25"/>
      <c r="Z157" s="25"/>
      <c r="AA157" s="25"/>
      <c r="AB157" s="58"/>
      <c r="AP157" s="58"/>
    </row>
    <row r="158" spans="1:42" x14ac:dyDescent="0.25">
      <c r="N158" s="58"/>
      <c r="AB158" s="58"/>
      <c r="AP158" s="58"/>
    </row>
    <row r="159" spans="1:42" x14ac:dyDescent="0.25">
      <c r="N159" s="58"/>
      <c r="AB159" s="58"/>
      <c r="AP159" s="58"/>
    </row>
    <row r="160" spans="1:42" x14ac:dyDescent="0.25">
      <c r="N160" s="58"/>
      <c r="AB160" s="58"/>
      <c r="AP160" s="58"/>
    </row>
    <row r="161" spans="14:42" x14ac:dyDescent="0.25">
      <c r="N161" s="58"/>
      <c r="AB161" s="58"/>
      <c r="AP161" s="58"/>
    </row>
    <row r="162" spans="14:42" x14ac:dyDescent="0.25">
      <c r="N162" s="58"/>
      <c r="AB162" s="58"/>
      <c r="AP162" s="58"/>
    </row>
    <row r="163" spans="14:42" x14ac:dyDescent="0.25">
      <c r="N163" s="58"/>
      <c r="AB163" s="58"/>
      <c r="AP163" s="58"/>
    </row>
    <row r="164" spans="14:42" x14ac:dyDescent="0.25">
      <c r="N164" s="58"/>
      <c r="AB164" s="58"/>
      <c r="AP164" s="58"/>
    </row>
    <row r="165" spans="14:42" x14ac:dyDescent="0.25">
      <c r="N165" s="58"/>
      <c r="AB165" s="58"/>
      <c r="AP165" s="58"/>
    </row>
    <row r="166" spans="14:42" x14ac:dyDescent="0.25">
      <c r="N166" s="58"/>
      <c r="AB166" s="58"/>
      <c r="AP166" s="58"/>
    </row>
    <row r="167" spans="14:42" x14ac:dyDescent="0.25">
      <c r="N167" s="58"/>
      <c r="AB167" s="58"/>
      <c r="AP167" s="58"/>
    </row>
    <row r="168" spans="14:42" x14ac:dyDescent="0.25">
      <c r="N168" s="58"/>
      <c r="AB168" s="58"/>
      <c r="AP168" s="58"/>
    </row>
    <row r="169" spans="14:42" x14ac:dyDescent="0.25">
      <c r="N169" s="58"/>
      <c r="AB169" s="58"/>
      <c r="AP169" s="58"/>
    </row>
    <row r="170" spans="14:42" x14ac:dyDescent="0.25">
      <c r="N170" s="58"/>
      <c r="AB170" s="58"/>
      <c r="AP170" s="58"/>
    </row>
    <row r="171" spans="14:42" x14ac:dyDescent="0.25">
      <c r="N171" s="58"/>
      <c r="AB171" s="58"/>
      <c r="AP171" s="58"/>
    </row>
    <row r="172" spans="14:42" x14ac:dyDescent="0.25">
      <c r="N172" s="58"/>
      <c r="AB172" s="58"/>
      <c r="AP172" s="58"/>
    </row>
    <row r="173" spans="14:42" x14ac:dyDescent="0.25">
      <c r="N173" s="58"/>
      <c r="AB173" s="58"/>
      <c r="AP173" s="58"/>
    </row>
    <row r="174" spans="14:42" x14ac:dyDescent="0.25">
      <c r="N174" s="58"/>
      <c r="AB174" s="58"/>
      <c r="AP174" s="58"/>
    </row>
    <row r="175" spans="14:42" x14ac:dyDescent="0.25">
      <c r="N175" s="58"/>
      <c r="AB175" s="58"/>
      <c r="AP175" s="58"/>
    </row>
    <row r="176" spans="14:42" x14ac:dyDescent="0.25">
      <c r="N176" s="58"/>
      <c r="AB176" s="58"/>
      <c r="AP176" s="58"/>
    </row>
    <row r="177" spans="14:42" ht="18" x14ac:dyDescent="0.25">
      <c r="N177" s="58"/>
      <c r="O177" s="502" t="s">
        <v>906</v>
      </c>
      <c r="P177" s="502"/>
      <c r="Q177" s="502"/>
      <c r="R177" s="502"/>
      <c r="S177" s="502"/>
      <c r="T177" s="502"/>
      <c r="U177" s="502"/>
      <c r="V177" s="502"/>
      <c r="W177" s="502"/>
      <c r="X177" s="502"/>
      <c r="Y177" s="503" t="s">
        <v>918</v>
      </c>
      <c r="Z177" s="503"/>
      <c r="AA177" s="503"/>
      <c r="AB177" s="58"/>
      <c r="AP177" s="58"/>
    </row>
    <row r="178" spans="14:42" ht="16.5" x14ac:dyDescent="0.3">
      <c r="N178" s="58"/>
      <c r="O178" s="24" t="s">
        <v>29</v>
      </c>
      <c r="P178" s="56">
        <v>43101</v>
      </c>
      <c r="Q178" s="56">
        <v>43132</v>
      </c>
      <c r="R178" s="56">
        <v>43160</v>
      </c>
      <c r="S178" s="56">
        <v>43191</v>
      </c>
      <c r="T178" s="56">
        <v>43221</v>
      </c>
      <c r="U178" s="56">
        <v>43252</v>
      </c>
      <c r="V178" s="56">
        <v>43282</v>
      </c>
      <c r="W178" s="56">
        <v>43313</v>
      </c>
      <c r="X178" s="56">
        <v>43344</v>
      </c>
      <c r="Y178" s="56">
        <v>43374</v>
      </c>
      <c r="Z178" s="56">
        <v>43405</v>
      </c>
      <c r="AA178" s="56">
        <v>43435</v>
      </c>
      <c r="AB178" s="58"/>
      <c r="AP178" s="58"/>
    </row>
    <row r="179" spans="14:42" ht="16.5" x14ac:dyDescent="0.3">
      <c r="N179" s="58"/>
      <c r="O179" s="54" t="s">
        <v>891</v>
      </c>
      <c r="P179" s="25">
        <f>SUMIF(Projetos_Ciclo!$B$3:$B$97,'Gráfico Tendência 2018-2022'!$O$178,Projetos_Ciclo!$Z$3:$Z$97)</f>
        <v>0</v>
      </c>
      <c r="Q179" s="25">
        <f>SUMIF(Projetos_Ciclo!$B$3:$B$97,'Gráfico Tendência 2018-2022'!$O$178,Projetos_Ciclo!$Z$3:$Z$97)</f>
        <v>0</v>
      </c>
      <c r="R179" s="25">
        <f>SUMIF(Projetos_Ciclo!$B$3:$B$97,'Gráfico Tendência 2018-2022'!$O$178,Projetos_Ciclo!$Z$3:$Z$97)</f>
        <v>0</v>
      </c>
      <c r="S179" s="25">
        <f>SUMIF(Projetos_Ciclo!$B$3:$B$97,'Gráfico Tendência 2018-2022'!$O$178,Projetos_Ciclo!$Z$3:$Z$97)</f>
        <v>0</v>
      </c>
      <c r="T179" s="25">
        <f>SUMIF(Projetos_Ciclo!$B$3:$B$97,'Gráfico Tendência 2018-2022'!$O$178,Projetos_Ciclo!$Z$3:$Z$97)</f>
        <v>0</v>
      </c>
      <c r="U179" s="25">
        <f>SUMIF(Projetos_Ciclo!$B$3:$B$97,'Gráfico Tendência 2018-2022'!$O$178,Projetos_Ciclo!$Z$3:$Z$97)</f>
        <v>0</v>
      </c>
      <c r="V179" s="25">
        <f>SUMIF(Projetos_Ciclo!$B$3:$B$97,'Gráfico Tendência 2018-2022'!$O$178,Projetos_Ciclo!$Z$3:$Z$97)</f>
        <v>0</v>
      </c>
      <c r="W179" s="25">
        <f>SUMIF(Projetos_Ciclo!$B$3:$B$97,'Gráfico Tendência 2018-2022'!$O$178,Projetos_Ciclo!$Z$3:$Z$97)</f>
        <v>0</v>
      </c>
      <c r="X179" s="25">
        <f>SUMIF(Projetos_Ciclo!$B$3:$B$97,'Gráfico Tendência 2018-2022'!$O$178,Projetos_Ciclo!$Z$3:$Z$97)</f>
        <v>0</v>
      </c>
      <c r="Y179" s="25">
        <f>SUMIF(Projetos_Ciclo!$B$3:$B$97,'Gráfico Tendência 2018-2022'!$O$178,Projetos_Ciclo!$Z$3:$Z$97)</f>
        <v>0</v>
      </c>
      <c r="Z179" s="25">
        <f>SUMIF(Projetos_Ciclo!$B$3:$B$97,'Gráfico Tendência 2018-2022'!$O$178,Projetos_Ciclo!$Z$3:$Z$97)</f>
        <v>0</v>
      </c>
      <c r="AA179" s="25">
        <f>SUMIF(Projetos_Ciclo!$B$3:$B$97,'Gráfico Tendência 2018-2022'!$O$178,Projetos_Ciclo!$Z$3:$Z$97)</f>
        <v>0</v>
      </c>
      <c r="AB179" s="58"/>
      <c r="AP179" s="58"/>
    </row>
    <row r="180" spans="14:42" ht="16.5" x14ac:dyDescent="0.3">
      <c r="N180" s="58"/>
      <c r="O180" s="55" t="s">
        <v>892</v>
      </c>
      <c r="P180" s="25">
        <f>P181</f>
        <v>0</v>
      </c>
      <c r="Q180" s="25">
        <f>P180+Q181</f>
        <v>0</v>
      </c>
      <c r="R180" s="25">
        <f>Q180+R181</f>
        <v>0</v>
      </c>
      <c r="S180" s="25">
        <f>R180+S181</f>
        <v>0</v>
      </c>
      <c r="T180" s="25">
        <f>S180+T181</f>
        <v>0</v>
      </c>
      <c r="U180" s="25">
        <f t="shared" ref="U180:AA180" si="61">T180+U181</f>
        <v>0</v>
      </c>
      <c r="V180" s="25">
        <f t="shared" si="61"/>
        <v>0</v>
      </c>
      <c r="W180" s="25">
        <f t="shared" si="61"/>
        <v>0</v>
      </c>
      <c r="X180" s="25">
        <f t="shared" si="61"/>
        <v>0</v>
      </c>
      <c r="Y180" s="25">
        <f t="shared" si="61"/>
        <v>0</v>
      </c>
      <c r="Z180" s="25">
        <f t="shared" si="61"/>
        <v>0</v>
      </c>
      <c r="AA180" s="25">
        <f t="shared" si="61"/>
        <v>0</v>
      </c>
      <c r="AB180" s="58"/>
      <c r="AP180" s="58"/>
    </row>
    <row r="181" spans="14:42" ht="16.5" x14ac:dyDescent="0.3">
      <c r="N181" s="58"/>
      <c r="O181" s="55" t="s">
        <v>919</v>
      </c>
      <c r="P181" s="25"/>
      <c r="Q181" s="25"/>
      <c r="R181" s="25"/>
      <c r="S181" s="25"/>
      <c r="T181" s="25"/>
      <c r="U181" s="57"/>
      <c r="V181" s="57"/>
      <c r="W181" s="57"/>
      <c r="X181" s="57"/>
      <c r="Y181" s="57"/>
      <c r="Z181" s="57"/>
      <c r="AA181" s="57"/>
      <c r="AB181" s="58"/>
      <c r="AP181" s="58"/>
    </row>
    <row r="182" spans="14:42" ht="16.5" x14ac:dyDescent="0.3">
      <c r="N182" s="58"/>
      <c r="O182" s="55" t="s">
        <v>920</v>
      </c>
      <c r="P182" s="25"/>
      <c r="Q182" s="25"/>
      <c r="R182" s="25"/>
      <c r="S182" s="25"/>
      <c r="T182" s="25"/>
      <c r="U182" s="25"/>
      <c r="V182" s="25"/>
      <c r="W182" s="25"/>
      <c r="X182" s="25"/>
      <c r="Y182" s="25"/>
      <c r="Z182" s="25"/>
      <c r="AA182" s="25"/>
      <c r="AB182" s="58"/>
      <c r="AP182" s="58"/>
    </row>
    <row r="183" spans="14:42" x14ac:dyDescent="0.25">
      <c r="N183" s="58"/>
      <c r="AB183" s="58"/>
      <c r="AP183" s="58"/>
    </row>
    <row r="184" spans="14:42" x14ac:dyDescent="0.25">
      <c r="N184" s="58"/>
      <c r="AB184" s="58"/>
      <c r="AP184" s="58"/>
    </row>
    <row r="185" spans="14:42" x14ac:dyDescent="0.25">
      <c r="N185" s="58"/>
      <c r="AB185" s="58"/>
      <c r="AP185" s="58"/>
    </row>
    <row r="186" spans="14:42" x14ac:dyDescent="0.25">
      <c r="N186" s="58"/>
      <c r="AB186" s="58"/>
      <c r="AP186" s="58"/>
    </row>
    <row r="187" spans="14:42" x14ac:dyDescent="0.25">
      <c r="N187" s="58"/>
      <c r="AB187" s="58"/>
      <c r="AP187" s="58"/>
    </row>
    <row r="188" spans="14:42" x14ac:dyDescent="0.25">
      <c r="N188" s="58"/>
      <c r="AB188" s="58"/>
      <c r="AP188" s="58"/>
    </row>
    <row r="189" spans="14:42" x14ac:dyDescent="0.25">
      <c r="N189" s="58"/>
      <c r="AB189" s="58"/>
      <c r="AP189" s="58"/>
    </row>
    <row r="190" spans="14:42" x14ac:dyDescent="0.25">
      <c r="N190" s="58"/>
      <c r="AB190" s="58"/>
      <c r="AP190" s="58"/>
    </row>
    <row r="191" spans="14:42" x14ac:dyDescent="0.25">
      <c r="N191" s="58"/>
      <c r="AB191" s="58"/>
      <c r="AP191" s="58"/>
    </row>
    <row r="192" spans="14:42" x14ac:dyDescent="0.25">
      <c r="N192" s="58"/>
      <c r="AB192" s="58"/>
      <c r="AP192" s="58"/>
    </row>
    <row r="193" spans="14:42" x14ac:dyDescent="0.25">
      <c r="N193" s="58"/>
      <c r="AB193" s="58"/>
      <c r="AP193" s="58"/>
    </row>
    <row r="194" spans="14:42" x14ac:dyDescent="0.25">
      <c r="N194" s="58"/>
      <c r="AB194" s="58"/>
      <c r="AP194" s="58"/>
    </row>
    <row r="195" spans="14:42" x14ac:dyDescent="0.25">
      <c r="N195" s="58"/>
      <c r="AB195" s="58"/>
      <c r="AP195" s="58"/>
    </row>
    <row r="196" spans="14:42" x14ac:dyDescent="0.25">
      <c r="N196" s="58"/>
      <c r="AB196" s="58"/>
      <c r="AP196" s="58"/>
    </row>
    <row r="197" spans="14:42" x14ac:dyDescent="0.25">
      <c r="N197" s="58"/>
      <c r="AB197" s="58"/>
      <c r="AP197" s="58"/>
    </row>
    <row r="198" spans="14:42" x14ac:dyDescent="0.25">
      <c r="N198" s="58"/>
      <c r="AB198" s="58"/>
      <c r="AP198" s="58"/>
    </row>
    <row r="199" spans="14:42" x14ac:dyDescent="0.25">
      <c r="N199" s="58"/>
      <c r="AB199" s="58"/>
      <c r="AP199" s="58"/>
    </row>
    <row r="200" spans="14:42" x14ac:dyDescent="0.25">
      <c r="N200" s="58"/>
      <c r="AB200" s="58"/>
      <c r="AP200" s="58"/>
    </row>
    <row r="201" spans="14:42" x14ac:dyDescent="0.25">
      <c r="N201" s="58"/>
      <c r="AB201" s="58"/>
      <c r="AP201" s="58"/>
    </row>
  </sheetData>
  <mergeCells count="50">
    <mergeCell ref="AM77:AO77"/>
    <mergeCell ref="AM1:AO1"/>
    <mergeCell ref="AM27:AO27"/>
    <mergeCell ref="AM52:AO52"/>
    <mergeCell ref="AQ1:AZ1"/>
    <mergeCell ref="BA1:BC1"/>
    <mergeCell ref="AQ27:AZ27"/>
    <mergeCell ref="BA27:BC27"/>
    <mergeCell ref="AQ52:AZ52"/>
    <mergeCell ref="BA52:BC52"/>
    <mergeCell ref="AC102:AL102"/>
    <mergeCell ref="AM102:AO102"/>
    <mergeCell ref="AC127:AL127"/>
    <mergeCell ref="AM127:AO127"/>
    <mergeCell ref="O152:X152"/>
    <mergeCell ref="Y152:AA152"/>
    <mergeCell ref="Y102:AA102"/>
    <mergeCell ref="O127:X127"/>
    <mergeCell ref="Y127:AA127"/>
    <mergeCell ref="AM152:AO152"/>
    <mergeCell ref="O177:X177"/>
    <mergeCell ref="Y177:AA177"/>
    <mergeCell ref="AC1:AL1"/>
    <mergeCell ref="AC27:AL27"/>
    <mergeCell ref="AC52:AL52"/>
    <mergeCell ref="AC77:AL77"/>
    <mergeCell ref="AC152:AL152"/>
    <mergeCell ref="O1:X1"/>
    <mergeCell ref="Y1:AA1"/>
    <mergeCell ref="O27:X27"/>
    <mergeCell ref="Y27:AA27"/>
    <mergeCell ref="O52:X52"/>
    <mergeCell ref="Y52:AA52"/>
    <mergeCell ref="O77:X77"/>
    <mergeCell ref="Y77:AA77"/>
    <mergeCell ref="O102:X102"/>
    <mergeCell ref="A102:J102"/>
    <mergeCell ref="K102:M102"/>
    <mergeCell ref="A127:J127"/>
    <mergeCell ref="K127:M127"/>
    <mergeCell ref="A152:J152"/>
    <mergeCell ref="K152:M152"/>
    <mergeCell ref="A77:J77"/>
    <mergeCell ref="K77:M77"/>
    <mergeCell ref="K1:M1"/>
    <mergeCell ref="A1:J1"/>
    <mergeCell ref="A27:J27"/>
    <mergeCell ref="K27:M27"/>
    <mergeCell ref="A52:J52"/>
    <mergeCell ref="K52:M52"/>
  </mergeCells>
  <pageMargins left="0.511811024" right="0.511811024" top="0.78740157499999996" bottom="0.78740157499999996" header="0.31496062000000002" footer="0.31496062000000002"/>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26</vt:i4>
      </vt:variant>
      <vt:variant>
        <vt:lpstr>Intervalos nomeados</vt:lpstr>
      </vt:variant>
      <vt:variant>
        <vt:i4>3</vt:i4>
      </vt:variant>
    </vt:vector>
  </HeadingPairs>
  <TitlesOfParts>
    <vt:vector size="29" baseType="lpstr">
      <vt:lpstr>Resumo</vt:lpstr>
      <vt:lpstr>Projetos_Ciclo</vt:lpstr>
      <vt:lpstr>2018 e 2019 TD</vt:lpstr>
      <vt:lpstr>Quadros resumo</vt:lpstr>
      <vt:lpstr>Gráfico - Curva de Desembolsos</vt:lpstr>
      <vt:lpstr>CEI_032018</vt:lpstr>
      <vt:lpstr>CEI_042018</vt:lpstr>
      <vt:lpstr>CEI_052018</vt:lpstr>
      <vt:lpstr>DDC</vt:lpstr>
      <vt:lpstr>PD</vt:lpstr>
      <vt:lpstr>CEI_062018</vt:lpstr>
      <vt:lpstr>CEI_072018</vt:lpstr>
      <vt:lpstr>CEI_022018</vt:lpstr>
      <vt:lpstr>CEI_012018</vt:lpstr>
      <vt:lpstr>CEI_082018</vt:lpstr>
      <vt:lpstr>Workshop DGE</vt:lpstr>
      <vt:lpstr>Acompanhamento 2019</vt:lpstr>
      <vt:lpstr>CEI_092018</vt:lpstr>
      <vt:lpstr>Recurso DDC</vt:lpstr>
      <vt:lpstr>Junção de Projetos</vt:lpstr>
      <vt:lpstr>Plan1</vt:lpstr>
      <vt:lpstr>Macroprojetos</vt:lpstr>
      <vt:lpstr>Resultado do Seminário-D</vt:lpstr>
      <vt:lpstr>Linha do Tempo</vt:lpstr>
      <vt:lpstr>Projetos x Riscos Não Execução</vt:lpstr>
      <vt:lpstr>Gráfico Tendência 2018-2022</vt:lpstr>
      <vt:lpstr>Projetos_Ciclo!Area_de_impressao</vt:lpstr>
      <vt:lpstr>Resumo!Area_de_impressao</vt:lpstr>
      <vt:lpstr>Projetos_Ciclo!Titulos_de_impressao</vt:lpstr>
    </vt:vector>
  </TitlesOfParts>
  <Company>CEMIG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C056191</dc:creator>
  <cp:lastModifiedBy>c055300</cp:lastModifiedBy>
  <cp:lastPrinted>2017-12-14T10:06:35Z</cp:lastPrinted>
  <dcterms:created xsi:type="dcterms:W3CDTF">2017-04-28T19:12:27Z</dcterms:created>
  <dcterms:modified xsi:type="dcterms:W3CDTF">2018-10-02T19:05:24Z</dcterms:modified>
</cp:coreProperties>
</file>